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ilena Vargas\OneDrive - correo.udistrital.edu.co\Documentos\OTROS\"/>
    </mc:Choice>
  </mc:AlternateContent>
  <xr:revisionPtr revIDLastSave="0" documentId="8_{63CC8F88-A042-4F5D-AD5E-E2F57001851B}" xr6:coauthVersionLast="47" xr6:coauthVersionMax="47" xr10:uidLastSave="{00000000-0000-0000-0000-000000000000}"/>
  <bookViews>
    <workbookView xWindow="0" yWindow="0" windowWidth="11325" windowHeight="9600" xr2:uid="{8134384C-74D7-428F-B966-C892E82AE647}"/>
  </bookViews>
  <sheets>
    <sheet name="Presentación" sheetId="19" r:id="rId1"/>
    <sheet name="1. PLATOS" sheetId="11" r:id="rId2"/>
    <sheet name="2. FICHAS TÉCNICAS" sheetId="2" r:id="rId3"/>
    <sheet name="3. PRECIOS Y COSTOS" sheetId="9" r:id="rId4"/>
    <sheet name="4. COSTOS MO-CIF" sheetId="15" r:id="rId5"/>
    <sheet name="5. PROYECCIONES" sheetId="12" r:id="rId6"/>
    <sheet name="6. PONDERADOS" sheetId="10" r:id="rId7"/>
    <sheet name="7. FLUJOGRAMA" sheetId="14" r:id="rId8"/>
    <sheet name="8. REQUERIMIENTOS 14" sheetId="4" r:id="rId9"/>
    <sheet name="9. PROCESOS " sheetId="6" r:id="rId10"/>
    <sheet name="10. EQUIPO DE TRABAJO" sheetId="5" r:id="rId11"/>
    <sheet name="11. MODELO FINANCIERO" sheetId="17" r:id="rId12"/>
  </sheets>
  <definedNames>
    <definedName name="_xlnm.Print_Area" localSheetId="0">Presentación!$E$2:$K$29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9" i="15" l="1"/>
  <c r="M124" i="4"/>
  <c r="Q91" i="5"/>
  <c r="Q90" i="5"/>
  <c r="Q88" i="5"/>
  <c r="Q92" i="5"/>
  <c r="Q89" i="5"/>
  <c r="R88" i="5"/>
  <c r="R90" i="5"/>
  <c r="M114" i="4"/>
  <c r="Q110" i="12"/>
  <c r="Q98" i="12"/>
  <c r="AD78" i="15"/>
  <c r="U56" i="12"/>
  <c r="U50" i="12"/>
  <c r="AB3028" i="9"/>
  <c r="AB2661" i="9"/>
  <c r="Y302" i="12"/>
  <c r="Y293" i="12"/>
  <c r="Y285" i="12"/>
  <c r="O302" i="12"/>
  <c r="O286" i="12"/>
  <c r="E314" i="12"/>
  <c r="F314" i="12" s="1"/>
  <c r="G314" i="12" s="1"/>
  <c r="H314" i="12" s="1"/>
  <c r="I314" i="12" s="1"/>
  <c r="E292" i="12"/>
  <c r="E279" i="12"/>
  <c r="AO2434" i="9"/>
  <c r="AA2434" i="9"/>
  <c r="AO2421" i="9"/>
  <c r="AA2421" i="9"/>
  <c r="AO2454" i="9"/>
  <c r="AA2454" i="9"/>
  <c r="AO2446" i="9"/>
  <c r="AA2446" i="9"/>
  <c r="AO2476" i="9"/>
  <c r="AA2476" i="9"/>
  <c r="AO2471" i="9"/>
  <c r="AA2471" i="9"/>
  <c r="AO2468" i="9"/>
  <c r="AA2468" i="9"/>
  <c r="M96" i="14"/>
  <c r="E313" i="12"/>
  <c r="F313" i="12" s="1"/>
  <c r="G313" i="12" s="1"/>
  <c r="H313" i="12" s="1"/>
  <c r="I313" i="12" s="1"/>
  <c r="AS2432" i="9"/>
  <c r="AS2433" i="9"/>
  <c r="AH2433" i="9"/>
  <c r="AH2434" i="9"/>
  <c r="AG2433" i="9"/>
  <c r="AG2434" i="9"/>
  <c r="AE2433" i="9"/>
  <c r="T2433" i="9"/>
  <c r="U2433" i="9"/>
  <c r="T2434" i="9"/>
  <c r="U2434" i="9"/>
  <c r="S2433" i="9"/>
  <c r="S2434" i="9"/>
  <c r="P2435" i="9"/>
  <c r="Q2434" i="9"/>
  <c r="Q2435" i="9"/>
  <c r="O2434" i="9"/>
  <c r="N2434" i="9"/>
  <c r="Q2433" i="9"/>
  <c r="O2433" i="9"/>
  <c r="N2433" i="9"/>
  <c r="M16" i="17"/>
  <c r="AG16" i="17" s="1"/>
  <c r="AR14" i="17" s="1"/>
  <c r="N16" i="17"/>
  <c r="AH16" i="17" s="1"/>
  <c r="AS14" i="17" s="1"/>
  <c r="O16" i="17"/>
  <c r="AI16" i="17" s="1"/>
  <c r="AT14" i="17" s="1"/>
  <c r="P16" i="17"/>
  <c r="AJ16" i="17" s="1"/>
  <c r="AU14" i="17" s="1"/>
  <c r="L16" i="17"/>
  <c r="AF16" i="17" s="1"/>
  <c r="AQ14" i="17" s="1"/>
  <c r="X18" i="6"/>
  <c r="O18" i="6"/>
  <c r="X19" i="6"/>
  <c r="L15" i="17"/>
  <c r="AF15" i="17" s="1"/>
  <c r="AQ15" i="17" s="1"/>
  <c r="BI11" i="15"/>
  <c r="M118" i="4"/>
  <c r="V64" i="15"/>
  <c r="V63" i="15"/>
  <c r="BF20" i="15"/>
  <c r="AL2499" i="9"/>
  <c r="AL2500" i="9"/>
  <c r="AL2501" i="9"/>
  <c r="AB2146" i="9"/>
  <c r="AB2145" i="9"/>
  <c r="AB2144" i="9"/>
  <c r="AB2121" i="9"/>
  <c r="AB2120" i="9"/>
  <c r="AB2119" i="9"/>
  <c r="AB2074" i="9"/>
  <c r="AB2073" i="9"/>
  <c r="AB2072" i="9"/>
  <c r="AB1982" i="9"/>
  <c r="AB1981" i="9"/>
  <c r="AB1980" i="9"/>
  <c r="AB1956" i="9"/>
  <c r="AB1955" i="9"/>
  <c r="AB1954" i="9"/>
  <c r="AB1677" i="9"/>
  <c r="AB1676" i="9"/>
  <c r="AB1675" i="9"/>
  <c r="AB1649" i="9"/>
  <c r="AB1648" i="9"/>
  <c r="AB1647" i="9"/>
  <c r="AB1626" i="9"/>
  <c r="AB1625" i="9"/>
  <c r="AB1624" i="9"/>
  <c r="AB1603" i="9"/>
  <c r="AB1602" i="9"/>
  <c r="AB1601" i="9"/>
  <c r="AB1530" i="9"/>
  <c r="AB1529" i="9"/>
  <c r="AB1528" i="9"/>
  <c r="AB1507" i="9"/>
  <c r="AB1506" i="9"/>
  <c r="AB1505" i="9"/>
  <c r="AB1459" i="9"/>
  <c r="AB1458" i="9"/>
  <c r="AB1457" i="9"/>
  <c r="AB1434" i="9"/>
  <c r="AB1433" i="9"/>
  <c r="AB1432" i="9"/>
  <c r="AB1410" i="9"/>
  <c r="AB1409" i="9"/>
  <c r="AB1408" i="9"/>
  <c r="AB1385" i="9"/>
  <c r="AB1384" i="9"/>
  <c r="AB1383" i="9"/>
  <c r="AB1359" i="9"/>
  <c r="AB1358" i="9"/>
  <c r="AB1357" i="9"/>
  <c r="AL1338" i="9"/>
  <c r="AL1337" i="9"/>
  <c r="AL1336" i="9"/>
  <c r="AB1336" i="9"/>
  <c r="AB1335" i="9"/>
  <c r="AB1334" i="9"/>
  <c r="AB1313" i="9"/>
  <c r="AB1312" i="9"/>
  <c r="AB1311" i="9"/>
  <c r="AB1288" i="9"/>
  <c r="AB1287" i="9"/>
  <c r="AB1286" i="9"/>
  <c r="AB1265" i="9"/>
  <c r="AB1264" i="9"/>
  <c r="AB1263" i="9"/>
  <c r="AL1242" i="9"/>
  <c r="AL1241" i="9"/>
  <c r="AL1240" i="9"/>
  <c r="AB1242" i="9"/>
  <c r="AB1241" i="9"/>
  <c r="AB1240" i="9"/>
  <c r="AL1219" i="9"/>
  <c r="AL1218" i="9"/>
  <c r="AL1217" i="9"/>
  <c r="AB1219" i="9"/>
  <c r="AB1218" i="9"/>
  <c r="AB1217" i="9"/>
  <c r="AB1195" i="9"/>
  <c r="AB1194" i="9"/>
  <c r="AB1193" i="9"/>
  <c r="AB1099" i="9"/>
  <c r="AB1098" i="9"/>
  <c r="AB1097" i="9"/>
  <c r="AB1071" i="9"/>
  <c r="AB1070" i="9"/>
  <c r="AB1069" i="9"/>
  <c r="AB1049" i="9"/>
  <c r="AB1048" i="9"/>
  <c r="AB1047" i="9"/>
  <c r="AB1026" i="9"/>
  <c r="AB1025" i="9"/>
  <c r="AB1024" i="9"/>
  <c r="AB1001" i="9"/>
  <c r="AB1000" i="9"/>
  <c r="AB999" i="9"/>
  <c r="AB978" i="9"/>
  <c r="AB977" i="9"/>
  <c r="AB976" i="9"/>
  <c r="AB953" i="9"/>
  <c r="AB952" i="9"/>
  <c r="AB951" i="9"/>
  <c r="AB932" i="9"/>
  <c r="AB931" i="9"/>
  <c r="AB930" i="9"/>
  <c r="AB907" i="9"/>
  <c r="AB906" i="9"/>
  <c r="AB905" i="9"/>
  <c r="AB863" i="9"/>
  <c r="AB862" i="9"/>
  <c r="AB861" i="9"/>
  <c r="AB838" i="9"/>
  <c r="AB837" i="9"/>
  <c r="AB836" i="9"/>
  <c r="AB719" i="9"/>
  <c r="AB718" i="9"/>
  <c r="AB717" i="9"/>
  <c r="AB697" i="9"/>
  <c r="AB696" i="9"/>
  <c r="AB695" i="9"/>
  <c r="AB646" i="9"/>
  <c r="AB645" i="9"/>
  <c r="AB644" i="9"/>
  <c r="AB619" i="9"/>
  <c r="AB618" i="9"/>
  <c r="AB617" i="9"/>
  <c r="AB545" i="9"/>
  <c r="AB544" i="9"/>
  <c r="AB543" i="9"/>
  <c r="AB523" i="9"/>
  <c r="AB522" i="9"/>
  <c r="AB521" i="9"/>
  <c r="AB474" i="9"/>
  <c r="AB473" i="9"/>
  <c r="AB472" i="9"/>
  <c r="AB454" i="9"/>
  <c r="AB453" i="9"/>
  <c r="AB452" i="9"/>
  <c r="AB382" i="9"/>
  <c r="AB381" i="9"/>
  <c r="AB380" i="9"/>
  <c r="AB334" i="9"/>
  <c r="AB333" i="9"/>
  <c r="AB332" i="9"/>
  <c r="AB313" i="9"/>
  <c r="AB312" i="9"/>
  <c r="AB311" i="9"/>
  <c r="AB289" i="9"/>
  <c r="AB288" i="9"/>
  <c r="AB287" i="9"/>
  <c r="AB263" i="9"/>
  <c r="AB262" i="9"/>
  <c r="AB261" i="9"/>
  <c r="AB241" i="9"/>
  <c r="AB240" i="9"/>
  <c r="AB239" i="9"/>
  <c r="AB219" i="9"/>
  <c r="AB218" i="9"/>
  <c r="AB217" i="9"/>
  <c r="AB192" i="9"/>
  <c r="AB191" i="9"/>
  <c r="AB190" i="9"/>
  <c r="AB165" i="9"/>
  <c r="AB164" i="9"/>
  <c r="AB163" i="9"/>
  <c r="AB144" i="9"/>
  <c r="AB143" i="9"/>
  <c r="AB142" i="9"/>
  <c r="AB121" i="9"/>
  <c r="AB120" i="9"/>
  <c r="AB119" i="9"/>
  <c r="AB96" i="9"/>
  <c r="AB95" i="9"/>
  <c r="AB94" i="9"/>
  <c r="AB75" i="9"/>
  <c r="AD52" i="9"/>
  <c r="AV30" i="15"/>
  <c r="AV18" i="15"/>
  <c r="AV19" i="15"/>
  <c r="AV20" i="15"/>
  <c r="AV21" i="15"/>
  <c r="AV22" i="15"/>
  <c r="AV23" i="15"/>
  <c r="AV24" i="15"/>
  <c r="AV25" i="15"/>
  <c r="AV26" i="15"/>
  <c r="AV27" i="15"/>
  <c r="AV28" i="15"/>
  <c r="AV29" i="15"/>
  <c r="M116" i="4"/>
  <c r="M115" i="4"/>
  <c r="M113" i="4"/>
  <c r="AH21" i="15"/>
  <c r="AH15" i="15"/>
  <c r="BC17" i="15"/>
  <c r="AS30" i="15"/>
  <c r="AS20" i="15"/>
  <c r="AS21" i="15"/>
  <c r="AS22" i="15"/>
  <c r="AS23" i="15"/>
  <c r="AS24" i="15"/>
  <c r="AS25" i="15"/>
  <c r="AS26" i="15"/>
  <c r="AS27" i="15"/>
  <c r="AS28" i="15"/>
  <c r="AS29" i="15"/>
  <c r="AS19" i="15"/>
  <c r="AH16" i="15"/>
  <c r="AH20" i="15"/>
  <c r="AH19" i="15"/>
  <c r="Y22" i="15"/>
  <c r="Y21" i="15"/>
  <c r="Y17" i="15"/>
  <c r="X22" i="15"/>
  <c r="X21" i="15"/>
  <c r="X18" i="15"/>
  <c r="X17" i="15"/>
  <c r="X20" i="15"/>
  <c r="V49" i="15"/>
  <c r="R17" i="5"/>
  <c r="R3334" i="9"/>
  <c r="R3333" i="9"/>
  <c r="R3332" i="9"/>
  <c r="P3329" i="9"/>
  <c r="O3327" i="9"/>
  <c r="O3326" i="9"/>
  <c r="O3328" i="9"/>
  <c r="N3328" i="9"/>
  <c r="Q3328" i="9" s="1"/>
  <c r="U3328" i="9" s="1"/>
  <c r="N3327" i="9"/>
  <c r="Q3327" i="9" s="1"/>
  <c r="N3326" i="9"/>
  <c r="Q3326" i="9" s="1"/>
  <c r="S3328" i="9"/>
  <c r="T3328" i="9" s="1"/>
  <c r="S3327" i="9"/>
  <c r="T3327" i="9" s="1"/>
  <c r="S3326" i="9"/>
  <c r="T3326" i="9" s="1"/>
  <c r="X17" i="17"/>
  <c r="Y17" i="17"/>
  <c r="N19" i="17" s="1"/>
  <c r="AH19" i="17" s="1"/>
  <c r="AS17" i="17" s="1"/>
  <c r="Z17" i="17"/>
  <c r="O19" i="17" s="1"/>
  <c r="AI19" i="17" s="1"/>
  <c r="AT17" i="17" s="1"/>
  <c r="AA17" i="17"/>
  <c r="P19" i="17" s="1"/>
  <c r="AJ19" i="17" s="1"/>
  <c r="AU17" i="17" s="1"/>
  <c r="W17" i="17"/>
  <c r="Q82" i="12"/>
  <c r="AA58" i="15"/>
  <c r="AA57" i="15"/>
  <c r="M19" i="17"/>
  <c r="AG19" i="17" s="1"/>
  <c r="AR17" i="17" s="1"/>
  <c r="R82" i="12"/>
  <c r="S82" i="12"/>
  <c r="T82" i="12" s="1"/>
  <c r="U82" i="12" s="1"/>
  <c r="K67" i="4"/>
  <c r="R81" i="12"/>
  <c r="AQ18" i="6"/>
  <c r="F47" i="14"/>
  <c r="F88" i="14"/>
  <c r="F87" i="14"/>
  <c r="F95" i="14"/>
  <c r="F96" i="14"/>
  <c r="F94" i="14"/>
  <c r="M92" i="14"/>
  <c r="M91" i="14"/>
  <c r="M95" i="14" s="1"/>
  <c r="M90" i="14"/>
  <c r="M94" i="14" s="1"/>
  <c r="M88" i="14"/>
  <c r="M87" i="14"/>
  <c r="M86" i="14"/>
  <c r="C84" i="14"/>
  <c r="C83" i="14"/>
  <c r="F92" i="14"/>
  <c r="F91" i="14"/>
  <c r="F90" i="14"/>
  <c r="F86" i="14"/>
  <c r="W16" i="17"/>
  <c r="V53" i="15"/>
  <c r="V54" i="15" s="1"/>
  <c r="V55" i="15" s="1"/>
  <c r="L17" i="17"/>
  <c r="AF17" i="17" s="1"/>
  <c r="AQ16" i="17" s="1"/>
  <c r="V62" i="15"/>
  <c r="V61" i="15"/>
  <c r="M14" i="15"/>
  <c r="L11" i="15"/>
  <c r="AH29" i="6"/>
  <c r="AH28" i="6"/>
  <c r="AH31" i="6"/>
  <c r="AH30" i="6"/>
  <c r="AH32" i="6"/>
  <c r="E47" i="14"/>
  <c r="N2185" i="9"/>
  <c r="U52" i="9"/>
  <c r="N2468" i="9"/>
  <c r="AH2463" i="9"/>
  <c r="AH2464" i="9"/>
  <c r="AH2465" i="9"/>
  <c r="AH2466" i="9"/>
  <c r="AH2467" i="9"/>
  <c r="AH2468" i="9"/>
  <c r="AH2469" i="9"/>
  <c r="AH2470" i="9"/>
  <c r="AH2471" i="9"/>
  <c r="AH2472" i="9"/>
  <c r="AH2473" i="9"/>
  <c r="AH2474" i="9"/>
  <c r="AH2475" i="9"/>
  <c r="AH2476" i="9"/>
  <c r="AH2477" i="9"/>
  <c r="AH2478" i="9"/>
  <c r="AH2479" i="9"/>
  <c r="AH2462" i="9"/>
  <c r="AG2463" i="9"/>
  <c r="AG2464" i="9"/>
  <c r="AG2465" i="9"/>
  <c r="AG2466" i="9"/>
  <c r="AG2467" i="9"/>
  <c r="AG2468" i="9"/>
  <c r="AG2469" i="9"/>
  <c r="AG2470" i="9"/>
  <c r="AG2471" i="9"/>
  <c r="AG2472" i="9"/>
  <c r="AG2473" i="9"/>
  <c r="AG2474" i="9"/>
  <c r="AG2475" i="9"/>
  <c r="AG2476" i="9"/>
  <c r="AG2477" i="9"/>
  <c r="AG2478" i="9"/>
  <c r="AG2479" i="9"/>
  <c r="AG2462" i="9"/>
  <c r="AH2441" i="9"/>
  <c r="AH2442" i="9"/>
  <c r="AH2443" i="9"/>
  <c r="AH2444" i="9"/>
  <c r="AH2445" i="9"/>
  <c r="AH2446" i="9"/>
  <c r="AH2447" i="9"/>
  <c r="AH2448" i="9"/>
  <c r="AH2449" i="9"/>
  <c r="AH2450" i="9"/>
  <c r="AH2451" i="9"/>
  <c r="AH2452" i="9"/>
  <c r="AH2453" i="9"/>
  <c r="AH2454" i="9"/>
  <c r="AH2455" i="9"/>
  <c r="AH2440" i="9"/>
  <c r="AG2441" i="9"/>
  <c r="AG2442" i="9"/>
  <c r="AG2443" i="9"/>
  <c r="AG2444" i="9"/>
  <c r="AG2445" i="9"/>
  <c r="AG2446" i="9"/>
  <c r="AG2447" i="9"/>
  <c r="AG2448" i="9"/>
  <c r="AG2449" i="9"/>
  <c r="AG2450" i="9"/>
  <c r="AG2451" i="9"/>
  <c r="AG2452" i="9"/>
  <c r="AG2453" i="9"/>
  <c r="AG2454" i="9"/>
  <c r="AG2455" i="9"/>
  <c r="AG2440" i="9"/>
  <c r="AH2414" i="9"/>
  <c r="AH2415" i="9"/>
  <c r="AH2416" i="9"/>
  <c r="AH2417" i="9"/>
  <c r="AH2418" i="9"/>
  <c r="AH2419" i="9"/>
  <c r="AH2420" i="9"/>
  <c r="AH2421" i="9"/>
  <c r="AH2422" i="9"/>
  <c r="AH2423" i="9"/>
  <c r="AH2424" i="9"/>
  <c r="AH2425" i="9"/>
  <c r="AH2426" i="9"/>
  <c r="AH2427" i="9"/>
  <c r="AH2428" i="9"/>
  <c r="AH2429" i="9"/>
  <c r="AH2430" i="9"/>
  <c r="AH2431" i="9"/>
  <c r="AH2432" i="9"/>
  <c r="AH2413" i="9"/>
  <c r="AG2414" i="9"/>
  <c r="AG2415" i="9"/>
  <c r="AG2416" i="9"/>
  <c r="AG2417" i="9"/>
  <c r="AG2418" i="9"/>
  <c r="AG2419" i="9"/>
  <c r="AG2420" i="9"/>
  <c r="AG2421" i="9"/>
  <c r="AG2422" i="9"/>
  <c r="AG2423" i="9"/>
  <c r="AG2424" i="9"/>
  <c r="AG2425" i="9"/>
  <c r="AG2426" i="9"/>
  <c r="AG2427" i="9"/>
  <c r="AG2428" i="9"/>
  <c r="AG2429" i="9"/>
  <c r="AG2430" i="9"/>
  <c r="AG2431" i="9"/>
  <c r="AG2432" i="9"/>
  <c r="AG2413" i="9"/>
  <c r="AH2381" i="9"/>
  <c r="AG2381" i="9"/>
  <c r="AH2382" i="9"/>
  <c r="AH2383" i="9"/>
  <c r="AH2384" i="9"/>
  <c r="AH2385" i="9"/>
  <c r="AH2386" i="9"/>
  <c r="AH2387" i="9"/>
  <c r="AH2388" i="9"/>
  <c r="AH2389" i="9"/>
  <c r="AH2390" i="9"/>
  <c r="AH2391" i="9"/>
  <c r="AH2392" i="9"/>
  <c r="AH2393" i="9"/>
  <c r="AH2394" i="9"/>
  <c r="AH2395" i="9"/>
  <c r="AH2396" i="9"/>
  <c r="AH2397" i="9"/>
  <c r="AH2398" i="9"/>
  <c r="AH2399" i="9"/>
  <c r="AH2400" i="9"/>
  <c r="AH2401" i="9"/>
  <c r="AH2402" i="9"/>
  <c r="AH2403" i="9"/>
  <c r="AH2404" i="9"/>
  <c r="AH2405" i="9"/>
  <c r="AH2406"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H2349" i="9"/>
  <c r="AH2350" i="9"/>
  <c r="AH2351" i="9"/>
  <c r="AH2352" i="9"/>
  <c r="AH2353" i="9"/>
  <c r="AH2354" i="9"/>
  <c r="AH2355" i="9"/>
  <c r="AH2356" i="9"/>
  <c r="AH2357" i="9"/>
  <c r="AH2358" i="9"/>
  <c r="AH2359" i="9"/>
  <c r="AH2360" i="9"/>
  <c r="AH2361" i="9"/>
  <c r="AH2362" i="9"/>
  <c r="AH2363" i="9"/>
  <c r="AH2364" i="9"/>
  <c r="AH2365" i="9"/>
  <c r="AH2366" i="9"/>
  <c r="AH2367" i="9"/>
  <c r="AH2368" i="9"/>
  <c r="AH2369" i="9"/>
  <c r="AH2370" i="9"/>
  <c r="AH2371" i="9"/>
  <c r="AH2372" i="9"/>
  <c r="AH2373" i="9"/>
  <c r="AH2374" i="9"/>
  <c r="AH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48" i="9"/>
  <c r="AH2315" i="9"/>
  <c r="AH2316" i="9"/>
  <c r="AH2317" i="9"/>
  <c r="AH2318" i="9"/>
  <c r="AH2319" i="9"/>
  <c r="AH2320" i="9"/>
  <c r="AH2321" i="9"/>
  <c r="AH2322" i="9"/>
  <c r="AH2323" i="9"/>
  <c r="AH2324" i="9"/>
  <c r="AH2325" i="9"/>
  <c r="AH2326" i="9"/>
  <c r="AH2327" i="9"/>
  <c r="AH2328" i="9"/>
  <c r="AH2329" i="9"/>
  <c r="AH2330" i="9"/>
  <c r="AH2331" i="9"/>
  <c r="AH2332" i="9"/>
  <c r="AH2333" i="9"/>
  <c r="AH2334" i="9"/>
  <c r="AH2335" i="9"/>
  <c r="AH2336" i="9"/>
  <c r="AH2337" i="9"/>
  <c r="AH2338" i="9"/>
  <c r="AH2339" i="9"/>
  <c r="AH2340" i="9"/>
  <c r="AH2341" i="9"/>
  <c r="AH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14" i="9"/>
  <c r="AH2280" i="9"/>
  <c r="AH2281" i="9"/>
  <c r="AH2282" i="9"/>
  <c r="AH2283" i="9"/>
  <c r="AH2284" i="9"/>
  <c r="AH2285" i="9"/>
  <c r="AH2286" i="9"/>
  <c r="AH2287" i="9"/>
  <c r="AH2288" i="9"/>
  <c r="AH2289" i="9"/>
  <c r="AH2290" i="9"/>
  <c r="AH2291" i="9"/>
  <c r="AH2292" i="9"/>
  <c r="AH2293" i="9"/>
  <c r="AH2294" i="9"/>
  <c r="AH2295" i="9"/>
  <c r="AH2296" i="9"/>
  <c r="AH2297" i="9"/>
  <c r="AH2298" i="9"/>
  <c r="AH2299" i="9"/>
  <c r="AH2300" i="9"/>
  <c r="AH2301" i="9"/>
  <c r="AH2302" i="9"/>
  <c r="AH2303" i="9"/>
  <c r="AH2304" i="9"/>
  <c r="AH2305" i="9"/>
  <c r="AH2306" i="9"/>
  <c r="AH2307" i="9"/>
  <c r="AH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279" i="9"/>
  <c r="AH2248" i="9"/>
  <c r="AH2249" i="9"/>
  <c r="AH2250" i="9"/>
  <c r="AH2251" i="9"/>
  <c r="AH2252" i="9"/>
  <c r="AH2253" i="9"/>
  <c r="AH2254" i="9"/>
  <c r="AH2255" i="9"/>
  <c r="AH2256" i="9"/>
  <c r="AH2257" i="9"/>
  <c r="AH2258" i="9"/>
  <c r="AH2259" i="9"/>
  <c r="AH2260" i="9"/>
  <c r="AH2261" i="9"/>
  <c r="AH2262" i="9"/>
  <c r="AH2263" i="9"/>
  <c r="AH2264" i="9"/>
  <c r="AH2265" i="9"/>
  <c r="AH2266" i="9"/>
  <c r="AH2267" i="9"/>
  <c r="AH2268" i="9"/>
  <c r="AH2269" i="9"/>
  <c r="AH2270" i="9"/>
  <c r="AH2271" i="9"/>
  <c r="AH2272" i="9"/>
  <c r="AH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47" i="9"/>
  <c r="AH2213" i="9"/>
  <c r="AH2214" i="9"/>
  <c r="AH2215" i="9"/>
  <c r="AH2216" i="9"/>
  <c r="AH2217" i="9"/>
  <c r="AH2218" i="9"/>
  <c r="AH2219" i="9"/>
  <c r="AH2220" i="9"/>
  <c r="AH2221" i="9"/>
  <c r="AH2222" i="9"/>
  <c r="AH2223" i="9"/>
  <c r="AH2224" i="9"/>
  <c r="AH2225" i="9"/>
  <c r="AH2226" i="9"/>
  <c r="AH2227" i="9"/>
  <c r="AH2228" i="9"/>
  <c r="AH2229" i="9"/>
  <c r="AH2230" i="9"/>
  <c r="AH2231" i="9"/>
  <c r="AH2232" i="9"/>
  <c r="AH2233" i="9"/>
  <c r="AH2234" i="9"/>
  <c r="AH2235" i="9"/>
  <c r="AH2236" i="9"/>
  <c r="AH2237" i="9"/>
  <c r="AH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12" i="9"/>
  <c r="AH2183" i="9"/>
  <c r="AH2184" i="9"/>
  <c r="AH2185" i="9"/>
  <c r="AH2186" i="9"/>
  <c r="AH2187" i="9"/>
  <c r="AH2188" i="9"/>
  <c r="AH2189" i="9"/>
  <c r="AH2190" i="9"/>
  <c r="AH2191" i="9"/>
  <c r="AH2192" i="9"/>
  <c r="AH2193" i="9"/>
  <c r="AH2194" i="9"/>
  <c r="AH2195" i="9"/>
  <c r="AH2196" i="9"/>
  <c r="AH2197" i="9"/>
  <c r="AH2198" i="9"/>
  <c r="AH2199" i="9"/>
  <c r="AH2200" i="9"/>
  <c r="AH2201" i="9"/>
  <c r="AH2202" i="9"/>
  <c r="AH2203" i="9"/>
  <c r="AH2204" i="9"/>
  <c r="AH2205" i="9"/>
  <c r="AH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182" i="9"/>
  <c r="F78" i="14"/>
  <c r="F77" i="14"/>
  <c r="U3326" i="9" l="1"/>
  <c r="U3327" i="9"/>
  <c r="U3329" i="9" s="1"/>
  <c r="R3331" i="9" s="1"/>
  <c r="R3336" i="9" s="1"/>
  <c r="R3337" i="9" s="1"/>
  <c r="R3338" i="9" s="1"/>
  <c r="E67" i="14"/>
  <c r="E68" i="14"/>
  <c r="E72" i="14"/>
  <c r="E69" i="14"/>
  <c r="E78" i="14" s="1"/>
  <c r="C97" i="14" s="1"/>
  <c r="C98" i="14" s="1"/>
  <c r="C99" i="14" s="1"/>
  <c r="R3309" i="9"/>
  <c r="S3309" i="9" s="1"/>
  <c r="T3309" i="9" s="1"/>
  <c r="O3309" i="9"/>
  <c r="N3309" i="9"/>
  <c r="Q3309" i="9" s="1"/>
  <c r="S3007" i="9"/>
  <c r="T3007" i="9" s="1"/>
  <c r="O3007" i="9"/>
  <c r="N3007" i="9"/>
  <c r="Q3007" i="9" s="1"/>
  <c r="S2938" i="9"/>
  <c r="T2938" i="9" s="1"/>
  <c r="O2938" i="9"/>
  <c r="N2938" i="9"/>
  <c r="Q2938" i="9" s="1"/>
  <c r="N2934" i="9"/>
  <c r="N2869" i="9"/>
  <c r="AB2848" i="9"/>
  <c r="AC2848" i="9" s="1"/>
  <c r="AD2848" i="9" s="1"/>
  <c r="Y2848" i="9"/>
  <c r="X2848" i="9"/>
  <c r="AA2848" i="9" s="1"/>
  <c r="R2848" i="9"/>
  <c r="S2848" i="9" s="1"/>
  <c r="T2848" i="9" s="1"/>
  <c r="O2848" i="9"/>
  <c r="N2848" i="9"/>
  <c r="Q2848" i="9" s="1"/>
  <c r="S2640" i="9"/>
  <c r="O2640" i="9"/>
  <c r="N2640" i="9"/>
  <c r="Q2640" i="9" s="1"/>
  <c r="AX52" i="9"/>
  <c r="F194" i="12"/>
  <c r="G194" i="12" s="1"/>
  <c r="H194" i="12" s="1"/>
  <c r="I194" i="12" s="1"/>
  <c r="F197" i="12"/>
  <c r="G197" i="12" s="1"/>
  <c r="H197" i="12" s="1"/>
  <c r="I197" i="12" s="1"/>
  <c r="F196" i="12"/>
  <c r="G196" i="12" s="1"/>
  <c r="H196" i="12" s="1"/>
  <c r="I196" i="12" s="1"/>
  <c r="F195" i="12"/>
  <c r="G195" i="12" s="1"/>
  <c r="H195" i="12" s="1"/>
  <c r="I195" i="12" s="1"/>
  <c r="F158" i="12"/>
  <c r="G158" i="12" s="1"/>
  <c r="H158" i="12" s="1"/>
  <c r="I158" i="12" s="1"/>
  <c r="F159" i="12"/>
  <c r="G159" i="12" s="1"/>
  <c r="H159" i="12" s="1"/>
  <c r="I159" i="12" s="1"/>
  <c r="F160" i="12"/>
  <c r="G160" i="12" s="1"/>
  <c r="H160" i="12" s="1"/>
  <c r="I160" i="12" s="1"/>
  <c r="F161" i="12"/>
  <c r="G161" i="12" s="1"/>
  <c r="H161" i="12" s="1"/>
  <c r="I161" i="12" s="1"/>
  <c r="AX51" i="9"/>
  <c r="R3294" i="9"/>
  <c r="AA2188" i="9"/>
  <c r="Y2188" i="9"/>
  <c r="Y2194" i="9"/>
  <c r="AA2194" i="9"/>
  <c r="AA2220" i="9"/>
  <c r="Y2220" i="9"/>
  <c r="Y2222" i="9"/>
  <c r="AA2222" i="9"/>
  <c r="AA2258" i="9"/>
  <c r="Y2258" i="9"/>
  <c r="Y2256" i="9"/>
  <c r="AA2256" i="9"/>
  <c r="AA2290" i="9"/>
  <c r="Y2290" i="9"/>
  <c r="Y2292" i="9"/>
  <c r="AA2292" i="9"/>
  <c r="AA2356" i="9"/>
  <c r="Y2356" i="9"/>
  <c r="Y2360" i="9"/>
  <c r="AA2360" i="9"/>
  <c r="AA2387" i="9"/>
  <c r="Y2387" i="9"/>
  <c r="Y2393" i="9"/>
  <c r="AA2393" i="9"/>
  <c r="AA2422" i="9"/>
  <c r="AA2423" i="9"/>
  <c r="Y2423" i="9"/>
  <c r="Y2422" i="9"/>
  <c r="AA2323" i="9"/>
  <c r="Y2323" i="9"/>
  <c r="Y2325" i="9"/>
  <c r="AA2325" i="9"/>
  <c r="BD2299" i="9"/>
  <c r="BD2298" i="9"/>
  <c r="BD2297" i="9"/>
  <c r="BD2229" i="9"/>
  <c r="BD2228" i="9"/>
  <c r="BD2205" i="9"/>
  <c r="BD2204" i="9"/>
  <c r="BD2203" i="9"/>
  <c r="AB73" i="9"/>
  <c r="AB74" i="9"/>
  <c r="BI51" i="9"/>
  <c r="AN51" i="9"/>
  <c r="AD51" i="9"/>
  <c r="U51" i="9"/>
  <c r="U50" i="9"/>
  <c r="BI52" i="9"/>
  <c r="AN52" i="9"/>
  <c r="R52" i="9"/>
  <c r="I52" i="9"/>
  <c r="R3317" i="9"/>
  <c r="R3316" i="9"/>
  <c r="R3315" i="9"/>
  <c r="R3293" i="9"/>
  <c r="R3292" i="9"/>
  <c r="R3271" i="9"/>
  <c r="R3270" i="9"/>
  <c r="R3269" i="9"/>
  <c r="R3246" i="9"/>
  <c r="R3245" i="9"/>
  <c r="R3244" i="9"/>
  <c r="R3224" i="9"/>
  <c r="R3223" i="9"/>
  <c r="R3200" i="9"/>
  <c r="R3199" i="9"/>
  <c r="R3198" i="9"/>
  <c r="R3176" i="9"/>
  <c r="R3175" i="9"/>
  <c r="R3154" i="9"/>
  <c r="R3153" i="9"/>
  <c r="R3152" i="9"/>
  <c r="R3130" i="9"/>
  <c r="R3129" i="9"/>
  <c r="R3108" i="9"/>
  <c r="R3107" i="9"/>
  <c r="R3106" i="9"/>
  <c r="AB3085" i="9"/>
  <c r="AB3084" i="9"/>
  <c r="AB3083" i="9"/>
  <c r="R3085" i="9"/>
  <c r="R3084" i="9"/>
  <c r="R3083" i="9"/>
  <c r="AB3063" i="9"/>
  <c r="AB3062" i="9"/>
  <c r="AB3061" i="9"/>
  <c r="R3063" i="9"/>
  <c r="R3062" i="9"/>
  <c r="R3061" i="9"/>
  <c r="AB3037" i="9"/>
  <c r="AB3036" i="9"/>
  <c r="AB3035" i="9"/>
  <c r="R3037" i="9"/>
  <c r="R3036" i="9"/>
  <c r="R3035" i="9"/>
  <c r="AB3014" i="9"/>
  <c r="AB3013" i="9"/>
  <c r="AB3012" i="9"/>
  <c r="R3014" i="9"/>
  <c r="R3013" i="9"/>
  <c r="R3012" i="9"/>
  <c r="AB2993" i="9"/>
  <c r="AB2992" i="9"/>
  <c r="AB2991" i="9"/>
  <c r="R2993" i="9"/>
  <c r="R2992" i="9"/>
  <c r="R2991" i="9"/>
  <c r="AB2970" i="9"/>
  <c r="AB2969" i="9"/>
  <c r="AB2968" i="9"/>
  <c r="R2970" i="9"/>
  <c r="R2969" i="9"/>
  <c r="R2968" i="9"/>
  <c r="AB2945" i="9"/>
  <c r="AB2944" i="9"/>
  <c r="AB2943" i="9"/>
  <c r="R2945" i="9"/>
  <c r="R2944" i="9"/>
  <c r="R2943" i="9"/>
  <c r="AB2925" i="9"/>
  <c r="AB2924" i="9"/>
  <c r="AB2923" i="9"/>
  <c r="R2925" i="9"/>
  <c r="R2924" i="9"/>
  <c r="R2923" i="9"/>
  <c r="AB2902" i="9"/>
  <c r="AB2901" i="9"/>
  <c r="AB2900" i="9"/>
  <c r="R2902" i="9"/>
  <c r="R2901" i="9"/>
  <c r="R2900" i="9"/>
  <c r="AB2879" i="9"/>
  <c r="AB2878" i="9"/>
  <c r="AB2877" i="9"/>
  <c r="R2879" i="9"/>
  <c r="R2878" i="9"/>
  <c r="R2877" i="9"/>
  <c r="AB2856" i="9"/>
  <c r="AB2855" i="9"/>
  <c r="AB2854" i="9"/>
  <c r="R2856" i="9"/>
  <c r="R2855" i="9"/>
  <c r="R2854" i="9"/>
  <c r="AB2833" i="9"/>
  <c r="AB2832" i="9"/>
  <c r="AB2831" i="9"/>
  <c r="R2833" i="9"/>
  <c r="R2832" i="9"/>
  <c r="R2831" i="9"/>
  <c r="AB2808" i="9"/>
  <c r="AB2807" i="9"/>
  <c r="AB2806" i="9"/>
  <c r="R2808" i="9"/>
  <c r="R2807" i="9"/>
  <c r="R2806" i="9"/>
  <c r="AB2787" i="9"/>
  <c r="AB2786" i="9"/>
  <c r="AB2785" i="9"/>
  <c r="R2787" i="9"/>
  <c r="R2786" i="9"/>
  <c r="R2785" i="9"/>
  <c r="AB2764" i="9"/>
  <c r="AB2763" i="9"/>
  <c r="AB2762" i="9"/>
  <c r="R2764" i="9"/>
  <c r="R2763" i="9"/>
  <c r="R2762" i="9"/>
  <c r="AB2739" i="9"/>
  <c r="AB2738" i="9"/>
  <c r="AB2737" i="9"/>
  <c r="R2739" i="9"/>
  <c r="R2738" i="9"/>
  <c r="R2737" i="9"/>
  <c r="AB2718" i="9"/>
  <c r="AB2717" i="9"/>
  <c r="AB2716" i="9"/>
  <c r="R2718" i="9"/>
  <c r="R2717" i="9"/>
  <c r="R2716" i="9"/>
  <c r="AB2694" i="9"/>
  <c r="AB2693" i="9"/>
  <c r="AB2692" i="9"/>
  <c r="R2694" i="9"/>
  <c r="R2693" i="9"/>
  <c r="R2692" i="9"/>
  <c r="AB2672" i="9"/>
  <c r="AB2671" i="9"/>
  <c r="AB2670" i="9"/>
  <c r="R2672" i="9"/>
  <c r="R2671" i="9"/>
  <c r="R2670" i="9"/>
  <c r="AB2648" i="9"/>
  <c r="AB2647" i="9"/>
  <c r="AB2646" i="9"/>
  <c r="R2648" i="9"/>
  <c r="R2647" i="9"/>
  <c r="R2646" i="9"/>
  <c r="R2620" i="9"/>
  <c r="R2621" i="9"/>
  <c r="R2622" i="9"/>
  <c r="U2620" i="9"/>
  <c r="U2621" i="9"/>
  <c r="U2622" i="9"/>
  <c r="AB2620" i="9"/>
  <c r="AB2621" i="9"/>
  <c r="AB2622" i="9"/>
  <c r="AE2620" i="9"/>
  <c r="AE2621" i="9"/>
  <c r="AE2622" i="9"/>
  <c r="AL2595" i="9"/>
  <c r="AL2594" i="9"/>
  <c r="AL2593" i="9"/>
  <c r="AB2595" i="9"/>
  <c r="AB2594" i="9"/>
  <c r="AB2593" i="9"/>
  <c r="R2595" i="9"/>
  <c r="R2594" i="9"/>
  <c r="R2593" i="9"/>
  <c r="BF2572" i="9"/>
  <c r="BF2571" i="9"/>
  <c r="BF2570" i="9"/>
  <c r="AV2572" i="9"/>
  <c r="AV2571" i="9"/>
  <c r="AV2570" i="9"/>
  <c r="AL2570" i="9"/>
  <c r="AL2569" i="9"/>
  <c r="AL2568" i="9"/>
  <c r="AB2571" i="9"/>
  <c r="AB2570" i="9"/>
  <c r="AB2569" i="9"/>
  <c r="R2571" i="9"/>
  <c r="R2570" i="9"/>
  <c r="R2569" i="9"/>
  <c r="AB2549" i="9"/>
  <c r="AB2548" i="9"/>
  <c r="AB2547" i="9"/>
  <c r="R2549" i="9"/>
  <c r="R2548" i="9"/>
  <c r="R2547" i="9"/>
  <c r="AB2526" i="9"/>
  <c r="AB2525" i="9"/>
  <c r="AB2524" i="9"/>
  <c r="R2526" i="9"/>
  <c r="R2525" i="9"/>
  <c r="R2524" i="9"/>
  <c r="BF2503" i="9"/>
  <c r="BF2502" i="9"/>
  <c r="BF2501" i="9"/>
  <c r="AV2503" i="9"/>
  <c r="AV2502" i="9"/>
  <c r="AV2501" i="9"/>
  <c r="AB2503" i="9"/>
  <c r="AB2502" i="9"/>
  <c r="AB2501" i="9"/>
  <c r="R2503" i="9"/>
  <c r="R2502" i="9"/>
  <c r="R2501" i="9"/>
  <c r="R2169" i="9"/>
  <c r="R2168" i="9"/>
  <c r="R2167" i="9"/>
  <c r="R2146" i="9"/>
  <c r="R2145" i="9"/>
  <c r="R2144" i="9"/>
  <c r="R2123" i="9"/>
  <c r="R2122" i="9"/>
  <c r="R2121" i="9"/>
  <c r="R2099" i="9"/>
  <c r="R2098" i="9"/>
  <c r="R2097" i="9"/>
  <c r="R2076" i="9"/>
  <c r="R2075" i="9"/>
  <c r="R2074" i="9"/>
  <c r="R2052" i="9"/>
  <c r="R2051" i="9"/>
  <c r="R2050" i="9"/>
  <c r="R2029" i="9"/>
  <c r="R2028" i="9"/>
  <c r="R2027" i="9"/>
  <c r="R2006" i="9"/>
  <c r="R2005" i="9"/>
  <c r="R2004" i="9"/>
  <c r="R1982" i="9"/>
  <c r="R1981" i="9"/>
  <c r="R1980" i="9"/>
  <c r="R1959" i="9"/>
  <c r="R1958" i="9"/>
  <c r="R1957" i="9"/>
  <c r="R1934" i="9"/>
  <c r="R1933" i="9"/>
  <c r="R1932" i="9"/>
  <c r="R1911" i="9"/>
  <c r="R1910" i="9"/>
  <c r="R1909" i="9"/>
  <c r="R1888" i="9"/>
  <c r="R1887" i="9"/>
  <c r="R1886" i="9"/>
  <c r="R1865" i="9"/>
  <c r="R1864" i="9"/>
  <c r="R1863" i="9"/>
  <c r="R1842" i="9"/>
  <c r="R1841" i="9"/>
  <c r="R1840" i="9"/>
  <c r="R1819" i="9"/>
  <c r="R1818" i="9"/>
  <c r="R1817" i="9"/>
  <c r="R1796" i="9"/>
  <c r="R1795" i="9"/>
  <c r="R1794" i="9"/>
  <c r="R1774" i="9"/>
  <c r="R1773" i="9"/>
  <c r="R1772" i="9"/>
  <c r="R1750" i="9"/>
  <c r="R1749" i="9"/>
  <c r="R1748" i="9"/>
  <c r="R1725" i="9"/>
  <c r="R1724" i="9"/>
  <c r="R1723" i="9"/>
  <c r="R1700" i="9"/>
  <c r="R1699" i="9"/>
  <c r="R1698" i="9"/>
  <c r="R1678" i="9"/>
  <c r="R1677" i="9"/>
  <c r="R1676" i="9"/>
  <c r="R1654" i="9"/>
  <c r="R1653" i="9"/>
  <c r="R1652" i="9"/>
  <c r="R1626" i="9"/>
  <c r="R1625" i="9"/>
  <c r="R1624" i="9"/>
  <c r="R1603" i="9"/>
  <c r="R1602" i="9"/>
  <c r="R1601" i="9"/>
  <c r="R1581" i="9"/>
  <c r="R1580" i="9"/>
  <c r="R1579" i="9"/>
  <c r="R1556" i="9"/>
  <c r="R1555" i="9"/>
  <c r="R1554" i="9"/>
  <c r="R1533" i="9"/>
  <c r="R1532" i="9"/>
  <c r="R1531" i="9"/>
  <c r="R1507" i="9"/>
  <c r="R1506" i="9"/>
  <c r="R1505" i="9"/>
  <c r="R1484" i="9"/>
  <c r="R1483" i="9"/>
  <c r="R1482" i="9"/>
  <c r="R1457" i="9"/>
  <c r="R1456" i="9"/>
  <c r="R1455" i="9"/>
  <c r="R1434" i="9"/>
  <c r="R1433" i="9"/>
  <c r="R1432" i="9"/>
  <c r="R1408" i="9"/>
  <c r="R1407" i="9"/>
  <c r="R1406" i="9"/>
  <c r="R1385" i="9"/>
  <c r="R1384" i="9"/>
  <c r="R1383" i="9"/>
  <c r="R1360" i="9"/>
  <c r="R1359" i="9"/>
  <c r="R1358" i="9"/>
  <c r="R1340" i="9"/>
  <c r="R1339" i="9"/>
  <c r="R1338" i="9"/>
  <c r="R1311" i="9"/>
  <c r="R1310" i="9"/>
  <c r="R1309" i="9"/>
  <c r="R1288" i="9"/>
  <c r="R1287" i="9"/>
  <c r="R1286" i="9"/>
  <c r="R1265" i="9"/>
  <c r="R1264" i="9"/>
  <c r="R1263" i="9"/>
  <c r="R1242" i="9"/>
  <c r="R1241" i="9"/>
  <c r="R1240" i="9"/>
  <c r="R1220" i="9"/>
  <c r="R1219" i="9"/>
  <c r="R1218" i="9"/>
  <c r="R1197" i="9"/>
  <c r="R1196" i="9"/>
  <c r="R1195" i="9"/>
  <c r="R1173" i="9"/>
  <c r="R1172" i="9"/>
  <c r="R1171" i="9"/>
  <c r="R1149" i="9"/>
  <c r="R1148" i="9"/>
  <c r="R1147" i="9"/>
  <c r="R1122" i="9"/>
  <c r="R1121" i="9"/>
  <c r="R1120" i="9"/>
  <c r="R1097" i="9"/>
  <c r="R1096" i="9"/>
  <c r="R1095" i="9"/>
  <c r="R1075" i="9"/>
  <c r="R1074" i="9"/>
  <c r="R1073" i="9"/>
  <c r="R1049" i="9"/>
  <c r="R1048" i="9"/>
  <c r="R1047" i="9"/>
  <c r="R1024" i="9"/>
  <c r="R1023" i="9"/>
  <c r="R1022" i="9"/>
  <c r="R1001" i="9"/>
  <c r="R1000" i="9"/>
  <c r="R999" i="9"/>
  <c r="R978" i="9"/>
  <c r="R977" i="9"/>
  <c r="R976" i="9"/>
  <c r="R955" i="9"/>
  <c r="R954" i="9"/>
  <c r="R953" i="9"/>
  <c r="R932" i="9"/>
  <c r="R931" i="9"/>
  <c r="R930" i="9"/>
  <c r="R909" i="9"/>
  <c r="R908" i="9"/>
  <c r="R907" i="9"/>
  <c r="R886" i="9"/>
  <c r="R885" i="9"/>
  <c r="R884" i="9"/>
  <c r="R863" i="9"/>
  <c r="R862" i="9"/>
  <c r="R861" i="9"/>
  <c r="R840" i="9"/>
  <c r="R839" i="9"/>
  <c r="R838" i="9"/>
  <c r="R818" i="9"/>
  <c r="R817" i="9"/>
  <c r="R816" i="9"/>
  <c r="R792" i="9"/>
  <c r="R791" i="9"/>
  <c r="R790" i="9"/>
  <c r="R768" i="9"/>
  <c r="R767" i="9"/>
  <c r="R766" i="9"/>
  <c r="R743" i="9"/>
  <c r="R742" i="9"/>
  <c r="R741" i="9"/>
  <c r="R719" i="9"/>
  <c r="R718" i="9"/>
  <c r="R717" i="9"/>
  <c r="R692" i="9"/>
  <c r="R691" i="9"/>
  <c r="R690" i="9"/>
  <c r="R670" i="9"/>
  <c r="R669" i="9"/>
  <c r="R668" i="9"/>
  <c r="R647" i="9"/>
  <c r="R646" i="9"/>
  <c r="R645" i="9"/>
  <c r="R621" i="9"/>
  <c r="R620" i="9"/>
  <c r="R619" i="9"/>
  <c r="R599" i="9"/>
  <c r="R598" i="9"/>
  <c r="R597" i="9"/>
  <c r="R573" i="9"/>
  <c r="R572" i="9"/>
  <c r="R571" i="9"/>
  <c r="R549" i="9"/>
  <c r="R548" i="9"/>
  <c r="R547" i="9"/>
  <c r="R523" i="9"/>
  <c r="R522" i="9"/>
  <c r="R521" i="9"/>
  <c r="R500" i="9"/>
  <c r="R499" i="9"/>
  <c r="R498" i="9"/>
  <c r="R477" i="9"/>
  <c r="R476" i="9"/>
  <c r="R475" i="9"/>
  <c r="R454" i="9"/>
  <c r="R453" i="9"/>
  <c r="R452" i="9"/>
  <c r="R431" i="9"/>
  <c r="R430" i="9"/>
  <c r="R429" i="9"/>
  <c r="R407" i="9"/>
  <c r="R406" i="9"/>
  <c r="R405" i="9"/>
  <c r="R384" i="9"/>
  <c r="R383" i="9"/>
  <c r="R382" i="9"/>
  <c r="R359" i="9"/>
  <c r="R358" i="9"/>
  <c r="R357" i="9"/>
  <c r="R336" i="9"/>
  <c r="R335" i="9"/>
  <c r="R334" i="9"/>
  <c r="R314" i="9"/>
  <c r="R313" i="9"/>
  <c r="R312" i="9"/>
  <c r="R287" i="9"/>
  <c r="R286" i="9"/>
  <c r="R285" i="9"/>
  <c r="R265" i="9"/>
  <c r="R264" i="9"/>
  <c r="R263" i="9"/>
  <c r="R241" i="9"/>
  <c r="R240" i="9"/>
  <c r="R239" i="9"/>
  <c r="R212" i="9"/>
  <c r="R211" i="9"/>
  <c r="R210" i="9"/>
  <c r="R190" i="9"/>
  <c r="R189" i="9"/>
  <c r="R188" i="9"/>
  <c r="R167" i="9"/>
  <c r="R166" i="9"/>
  <c r="R165" i="9"/>
  <c r="R144" i="9"/>
  <c r="R143" i="9"/>
  <c r="R142" i="9"/>
  <c r="R121" i="9"/>
  <c r="R120" i="9"/>
  <c r="R119" i="9"/>
  <c r="R98" i="9"/>
  <c r="R97" i="9"/>
  <c r="R96" i="9"/>
  <c r="R75" i="9"/>
  <c r="R74" i="9"/>
  <c r="R73" i="9"/>
  <c r="BI50" i="9"/>
  <c r="AX50" i="9"/>
  <c r="AN50" i="9"/>
  <c r="AD50" i="9"/>
  <c r="BF52" i="9"/>
  <c r="BF51" i="9"/>
  <c r="BF50" i="9"/>
  <c r="AU52" i="9"/>
  <c r="AU51" i="9"/>
  <c r="AU50" i="9"/>
  <c r="AK52" i="9"/>
  <c r="AK51" i="9"/>
  <c r="AK50" i="9"/>
  <c r="AA52" i="9"/>
  <c r="AA51" i="9"/>
  <c r="AA50" i="9"/>
  <c r="R51" i="9"/>
  <c r="R50" i="9"/>
  <c r="I51" i="9"/>
  <c r="I50" i="9"/>
  <c r="F50" i="9"/>
  <c r="F51" i="9"/>
  <c r="F52" i="9"/>
  <c r="BD2221" i="9"/>
  <c r="BE2221" i="9" s="1"/>
  <c r="BF2221" i="9" s="1"/>
  <c r="BD2220" i="9"/>
  <c r="BE2220" i="9" s="1"/>
  <c r="BF2220" i="9" s="1"/>
  <c r="BD2292" i="9"/>
  <c r="BE2292" i="9" s="1"/>
  <c r="BF2292" i="9" s="1"/>
  <c r="BD2289" i="9"/>
  <c r="BE2289" i="9" s="1"/>
  <c r="BF2289" i="9" s="1"/>
  <c r="BD2285" i="9"/>
  <c r="BE2285" i="9" s="1"/>
  <c r="BF2285" i="9" s="1"/>
  <c r="BE2290" i="9"/>
  <c r="BF2290" i="9" s="1"/>
  <c r="BE2291" i="9"/>
  <c r="BF2291" i="9" s="1"/>
  <c r="BE2293" i="9"/>
  <c r="BF2293" i="9" s="1"/>
  <c r="BA2293" i="9"/>
  <c r="AZ2293" i="9"/>
  <c r="BC2293" i="9" s="1"/>
  <c r="BA2292" i="9"/>
  <c r="AZ2292" i="9"/>
  <c r="BC2292" i="9" s="1"/>
  <c r="BA2291" i="9"/>
  <c r="AZ2291" i="9"/>
  <c r="BC2291" i="9" s="1"/>
  <c r="BA2290" i="9"/>
  <c r="AZ2290" i="9"/>
  <c r="BC2290" i="9" s="1"/>
  <c r="BA2289" i="9"/>
  <c r="AZ2289" i="9"/>
  <c r="BC2289" i="9" s="1"/>
  <c r="BA2288" i="9"/>
  <c r="AZ2288" i="9"/>
  <c r="BC2288" i="9" s="1"/>
  <c r="BA2287" i="9"/>
  <c r="AZ2287" i="9"/>
  <c r="BC2287" i="9" s="1"/>
  <c r="BA2286" i="9"/>
  <c r="AZ2286" i="9"/>
  <c r="BC2286" i="9" s="1"/>
  <c r="BA2285" i="9"/>
  <c r="AZ2285" i="9"/>
  <c r="BC2285" i="9" s="1"/>
  <c r="BD2288" i="9"/>
  <c r="BE2288" i="9" s="1"/>
  <c r="BF2288" i="9" s="1"/>
  <c r="BE2287" i="9"/>
  <c r="BF2287" i="9" s="1"/>
  <c r="BE2286" i="9"/>
  <c r="BF2286" i="9" s="1"/>
  <c r="BA2222" i="9"/>
  <c r="AZ2222" i="9"/>
  <c r="BC2222" i="9" s="1"/>
  <c r="BA2221" i="9"/>
  <c r="BA2220" i="9"/>
  <c r="AZ2220" i="9"/>
  <c r="BC2220" i="9" s="1"/>
  <c r="BA2219" i="9"/>
  <c r="AZ2219" i="9"/>
  <c r="BC2219" i="9" s="1"/>
  <c r="BA2218" i="9"/>
  <c r="AZ2218" i="9"/>
  <c r="BB2225" i="9"/>
  <c r="BE2222" i="9"/>
  <c r="BF2222" i="9" s="1"/>
  <c r="AZ2221" i="9"/>
  <c r="BC2221" i="9" s="1"/>
  <c r="BE2219" i="9"/>
  <c r="BF2219" i="9" s="1"/>
  <c r="BE2218" i="9"/>
  <c r="BF2218" i="9" s="1"/>
  <c r="BB2200" i="9"/>
  <c r="BE2193" i="9"/>
  <c r="BF2193" i="9" s="1"/>
  <c r="BE2194" i="9"/>
  <c r="BF2194" i="9" s="1"/>
  <c r="BE2195" i="9"/>
  <c r="BF2195" i="9" s="1"/>
  <c r="BE2196" i="9"/>
  <c r="BF2196" i="9" s="1"/>
  <c r="BE2197" i="9"/>
  <c r="BF2197" i="9" s="1"/>
  <c r="BD2199" i="9"/>
  <c r="BE2199" i="9" s="1"/>
  <c r="BF2199" i="9" s="1"/>
  <c r="BD2198" i="9"/>
  <c r="BE2198" i="9" s="1"/>
  <c r="BF2198" i="9" s="1"/>
  <c r="BA2199" i="9"/>
  <c r="AZ2199" i="9"/>
  <c r="BC2199" i="9" s="1"/>
  <c r="BA2198" i="9"/>
  <c r="AZ2198" i="9"/>
  <c r="BC2198" i="9" s="1"/>
  <c r="BA2197" i="9"/>
  <c r="AZ2197" i="9"/>
  <c r="BC2197" i="9" s="1"/>
  <c r="BA2196" i="9"/>
  <c r="AZ2196" i="9"/>
  <c r="BC2196" i="9" s="1"/>
  <c r="BA2195" i="9"/>
  <c r="AZ2195" i="9"/>
  <c r="BC2195" i="9" s="1"/>
  <c r="BA2194" i="9"/>
  <c r="AZ2194" i="9"/>
  <c r="BC2194" i="9" s="1"/>
  <c r="BA2193" i="9"/>
  <c r="AZ2193" i="9"/>
  <c r="BC2193" i="9" s="1"/>
  <c r="BA2192" i="9"/>
  <c r="AZ2192" i="9"/>
  <c r="BC2192" i="9" s="1"/>
  <c r="BA2191" i="9"/>
  <c r="AZ2191" i="9"/>
  <c r="BC2191" i="9" s="1"/>
  <c r="BA2190" i="9"/>
  <c r="AZ2190" i="9"/>
  <c r="BC2190" i="9" s="1"/>
  <c r="BA2189" i="9"/>
  <c r="AZ2189" i="9"/>
  <c r="BC2189" i="9" s="1"/>
  <c r="BA2188" i="9"/>
  <c r="AZ2188" i="9"/>
  <c r="BC2188" i="9" s="1"/>
  <c r="BE2192" i="9"/>
  <c r="BF2192" i="9" s="1"/>
  <c r="BD2191" i="9"/>
  <c r="BE2191" i="9" s="1"/>
  <c r="BF2191" i="9" s="1"/>
  <c r="BE2190" i="9"/>
  <c r="BF2190" i="9" s="1"/>
  <c r="BE2189" i="9"/>
  <c r="BF2189" i="9" s="1"/>
  <c r="BE2188" i="9"/>
  <c r="BF2188" i="9" s="1"/>
  <c r="Y2479" i="9"/>
  <c r="R2479" i="9"/>
  <c r="S2479" i="9" s="1"/>
  <c r="T2479" i="9" s="1"/>
  <c r="O2479" i="9"/>
  <c r="N2479" i="9"/>
  <c r="Q2479" i="9" s="1"/>
  <c r="AF2466" i="9"/>
  <c r="V2428" i="9"/>
  <c r="V2430" i="9"/>
  <c r="W2451" i="9"/>
  <c r="AA2469" i="9"/>
  <c r="AF2467" i="9"/>
  <c r="AE2467" i="9"/>
  <c r="AB2464" i="9"/>
  <c r="AA2464" i="9"/>
  <c r="AF2384" i="9"/>
  <c r="AF2351" i="9"/>
  <c r="AF2340" i="9"/>
  <c r="AE2340" i="9"/>
  <c r="AF2324" i="9"/>
  <c r="AF2320" i="9"/>
  <c r="AF2317" i="9"/>
  <c r="AE2291" i="9"/>
  <c r="AF2285" i="9"/>
  <c r="AF2282" i="9"/>
  <c r="AF2236" i="9"/>
  <c r="AF2235" i="9"/>
  <c r="AF2232" i="9"/>
  <c r="AF2231" i="9"/>
  <c r="AF2230" i="9"/>
  <c r="AF2229" i="9"/>
  <c r="AF2226" i="9"/>
  <c r="AF2225" i="9"/>
  <c r="AF2224" i="9"/>
  <c r="AF2221" i="9"/>
  <c r="AE2230" i="9"/>
  <c r="AD2231" i="9"/>
  <c r="AE2231" i="9"/>
  <c r="AF2215" i="9"/>
  <c r="AF2250" i="9"/>
  <c r="X2234" i="9"/>
  <c r="AF2185" i="9"/>
  <c r="N2186" i="9"/>
  <c r="N2184" i="9"/>
  <c r="N2203" i="9"/>
  <c r="N2204" i="9"/>
  <c r="N2225" i="9"/>
  <c r="N2224" i="9"/>
  <c r="N2223" i="9"/>
  <c r="N2222" i="9"/>
  <c r="N2221" i="9"/>
  <c r="N2220" i="9"/>
  <c r="N2219" i="9"/>
  <c r="N2218" i="9"/>
  <c r="N2217" i="9"/>
  <c r="N2216" i="9"/>
  <c r="N2215" i="9"/>
  <c r="N2214" i="9"/>
  <c r="N2205" i="9"/>
  <c r="N2306" i="9"/>
  <c r="N2307" i="9"/>
  <c r="N2341" i="9"/>
  <c r="N2374" i="9"/>
  <c r="N2406" i="9"/>
  <c r="AF2389" i="9"/>
  <c r="AE2389" i="9"/>
  <c r="AD2389" i="9"/>
  <c r="Y2389" i="9"/>
  <c r="W2389" i="9"/>
  <c r="Z2386" i="9"/>
  <c r="Y2386" i="9"/>
  <c r="AC2385" i="9"/>
  <c r="AB2385" i="9"/>
  <c r="AA2385" i="9"/>
  <c r="Z2385" i="9"/>
  <c r="Y2385" i="9"/>
  <c r="X2385" i="9"/>
  <c r="W2385" i="9"/>
  <c r="V2385" i="9"/>
  <c r="AB2384" i="9"/>
  <c r="AA2384" i="9"/>
  <c r="Z2384" i="9"/>
  <c r="Y2384" i="9"/>
  <c r="AC2383" i="9"/>
  <c r="AB2383" i="9"/>
  <c r="AA2383" i="9"/>
  <c r="Z2383" i="9"/>
  <c r="Y2383" i="9"/>
  <c r="X2383" i="9"/>
  <c r="W2383" i="9"/>
  <c r="V2383" i="9"/>
  <c r="AF2354" i="9"/>
  <c r="AE2354" i="9"/>
  <c r="AD2354" i="9"/>
  <c r="Y2354" i="9"/>
  <c r="W2354" i="9"/>
  <c r="Z2353" i="9"/>
  <c r="Y2353" i="9"/>
  <c r="AC2352" i="9"/>
  <c r="AB2352" i="9"/>
  <c r="AA2352" i="9"/>
  <c r="Z2352" i="9"/>
  <c r="Y2352" i="9"/>
  <c r="X2352" i="9"/>
  <c r="W2352" i="9"/>
  <c r="V2352" i="9"/>
  <c r="AB2351" i="9"/>
  <c r="AA2351" i="9"/>
  <c r="Z2351" i="9"/>
  <c r="Y2351" i="9"/>
  <c r="AC2350" i="9"/>
  <c r="AB2350" i="9"/>
  <c r="AA2350" i="9"/>
  <c r="Z2350" i="9"/>
  <c r="Y2350" i="9"/>
  <c r="X2350" i="9"/>
  <c r="W2350" i="9"/>
  <c r="V2350" i="9"/>
  <c r="AE2322" i="9"/>
  <c r="AD2322" i="9"/>
  <c r="Y2322" i="9"/>
  <c r="W2322" i="9"/>
  <c r="Z2320" i="9"/>
  <c r="W2320" i="9"/>
  <c r="Z2319" i="9"/>
  <c r="Y2319" i="9"/>
  <c r="AC2318" i="9"/>
  <c r="AB2318" i="9"/>
  <c r="AA2318" i="9"/>
  <c r="Z2318" i="9"/>
  <c r="Y2318" i="9"/>
  <c r="X2318" i="9"/>
  <c r="W2318" i="9"/>
  <c r="V2318" i="9"/>
  <c r="AB2317" i="9"/>
  <c r="AA2317" i="9"/>
  <c r="Z2317" i="9"/>
  <c r="Y2317" i="9"/>
  <c r="AC2316" i="9"/>
  <c r="AB2316" i="9"/>
  <c r="AA2316" i="9"/>
  <c r="Z2316" i="9"/>
  <c r="Y2316" i="9"/>
  <c r="X2316" i="9"/>
  <c r="W2316" i="9"/>
  <c r="V2316" i="9"/>
  <c r="AE2296" i="9"/>
  <c r="AE2297" i="9"/>
  <c r="AE2298" i="9"/>
  <c r="AE2299" i="9"/>
  <c r="AE2300" i="9"/>
  <c r="AF2287" i="9"/>
  <c r="AE2287" i="9"/>
  <c r="AD2287" i="9"/>
  <c r="Y2287" i="9"/>
  <c r="W2287" i="9"/>
  <c r="Z2285" i="9"/>
  <c r="W2285" i="9"/>
  <c r="Z2284" i="9"/>
  <c r="Y2284" i="9"/>
  <c r="AC2283" i="9"/>
  <c r="AB2283" i="9"/>
  <c r="AA2283" i="9"/>
  <c r="Z2283" i="9"/>
  <c r="Y2283" i="9"/>
  <c r="X2283" i="9"/>
  <c r="W2283" i="9"/>
  <c r="V2283" i="9"/>
  <c r="AB2282" i="9"/>
  <c r="AA2282" i="9"/>
  <c r="Z2282" i="9"/>
  <c r="Y2282" i="9"/>
  <c r="AC2281" i="9"/>
  <c r="AB2281" i="9"/>
  <c r="AA2281" i="9"/>
  <c r="Z2281" i="9"/>
  <c r="Y2281" i="9"/>
  <c r="X2281" i="9"/>
  <c r="W2281" i="9"/>
  <c r="V2281" i="9"/>
  <c r="AE2259" i="9"/>
  <c r="AF2255" i="9"/>
  <c r="AE2255" i="9"/>
  <c r="AD2255" i="9"/>
  <c r="Y2255" i="9"/>
  <c r="W2255" i="9"/>
  <c r="AF2253" i="9"/>
  <c r="Z2253" i="9"/>
  <c r="W2253" i="9"/>
  <c r="Z2252" i="9"/>
  <c r="Y2252" i="9"/>
  <c r="AC2251" i="9"/>
  <c r="AB2251" i="9"/>
  <c r="AA2251" i="9"/>
  <c r="Z2251" i="9"/>
  <c r="Y2251" i="9"/>
  <c r="X2251" i="9"/>
  <c r="W2251" i="9"/>
  <c r="V2251" i="9"/>
  <c r="AB2250" i="9"/>
  <c r="AA2250" i="9"/>
  <c r="Z2250" i="9"/>
  <c r="Y2250" i="9"/>
  <c r="AC2249" i="9"/>
  <c r="AB2249" i="9"/>
  <c r="AA2249" i="9"/>
  <c r="Z2249" i="9"/>
  <c r="Y2249" i="9"/>
  <c r="X2249" i="9"/>
  <c r="W2249" i="9"/>
  <c r="V2249" i="9"/>
  <c r="AF2219" i="9"/>
  <c r="AE2219" i="9"/>
  <c r="AD2219" i="9"/>
  <c r="Y2219" i="9"/>
  <c r="W2219" i="9"/>
  <c r="AF2218" i="9"/>
  <c r="Z2218" i="9"/>
  <c r="W2218" i="9"/>
  <c r="Z2217" i="9"/>
  <c r="Y2217" i="9"/>
  <c r="AC2216" i="9"/>
  <c r="AB2216" i="9"/>
  <c r="AA2216" i="9"/>
  <c r="Z2216" i="9"/>
  <c r="Y2216" i="9"/>
  <c r="X2216" i="9"/>
  <c r="W2216" i="9"/>
  <c r="V2216" i="9"/>
  <c r="AB2215" i="9"/>
  <c r="AA2215" i="9"/>
  <c r="Z2215" i="9"/>
  <c r="Y2215" i="9"/>
  <c r="AC2214" i="9"/>
  <c r="AB2214" i="9"/>
  <c r="AA2214" i="9"/>
  <c r="Z2214" i="9"/>
  <c r="Y2214" i="9"/>
  <c r="X2214" i="9"/>
  <c r="W2214" i="9"/>
  <c r="V2214" i="9"/>
  <c r="AA2185" i="9"/>
  <c r="X2470" i="9"/>
  <c r="Z2469" i="9"/>
  <c r="Z2470" i="9"/>
  <c r="AA2470" i="9"/>
  <c r="AB2469" i="9"/>
  <c r="AB2470" i="9"/>
  <c r="AE2472" i="9"/>
  <c r="AE2473" i="9"/>
  <c r="AE2474" i="9"/>
  <c r="AE2475" i="9"/>
  <c r="AE2477" i="9"/>
  <c r="AE2478" i="9"/>
  <c r="AF2472" i="9"/>
  <c r="AF2473" i="9"/>
  <c r="AF2474" i="9"/>
  <c r="AF2475" i="9"/>
  <c r="AF2477" i="9"/>
  <c r="AF2478" i="9"/>
  <c r="W2449" i="9"/>
  <c r="X2445" i="9"/>
  <c r="X2450" i="9"/>
  <c r="Y2451" i="9"/>
  <c r="Z2445" i="9"/>
  <c r="Z2449" i="9"/>
  <c r="AA2445" i="9"/>
  <c r="AB2445" i="9"/>
  <c r="AD2451" i="9"/>
  <c r="AE2447" i="9"/>
  <c r="AE2448" i="9"/>
  <c r="AE2450" i="9"/>
  <c r="AE2452" i="9"/>
  <c r="AE2453" i="9"/>
  <c r="AE2455" i="9"/>
  <c r="AF2447" i="9"/>
  <c r="AF2448" i="9"/>
  <c r="AF2452" i="9"/>
  <c r="AF2453" i="9"/>
  <c r="W2418" i="9"/>
  <c r="X2429" i="9"/>
  <c r="X2431" i="9"/>
  <c r="X2432" i="9"/>
  <c r="Y2418" i="9"/>
  <c r="AD2418" i="9"/>
  <c r="AE2419" i="9"/>
  <c r="AE2420" i="9"/>
  <c r="AE2424" i="9"/>
  <c r="AE2425" i="9"/>
  <c r="AE2426" i="9"/>
  <c r="AE2427" i="9"/>
  <c r="AE2429" i="9"/>
  <c r="AE2431" i="9"/>
  <c r="AE2432" i="9"/>
  <c r="AF2419" i="9"/>
  <c r="AF2420" i="9"/>
  <c r="AF2424" i="9"/>
  <c r="AF2425" i="9"/>
  <c r="AF2426" i="9"/>
  <c r="AF2427" i="9"/>
  <c r="W2390" i="9"/>
  <c r="W2391" i="9"/>
  <c r="X2397" i="9"/>
  <c r="X2398" i="9"/>
  <c r="X2402" i="9"/>
  <c r="X2403" i="9"/>
  <c r="Y2388" i="9"/>
  <c r="Z2390" i="9"/>
  <c r="Z2391" i="9"/>
  <c r="AE2388" i="9"/>
  <c r="AE2392" i="9"/>
  <c r="AE2394" i="9"/>
  <c r="AE2395" i="9"/>
  <c r="AE2396" i="9"/>
  <c r="AE2397" i="9"/>
  <c r="AE2398" i="9"/>
  <c r="AE2399" i="9"/>
  <c r="AE2400" i="9"/>
  <c r="AE2401" i="9"/>
  <c r="AE2402" i="9"/>
  <c r="AE2403" i="9"/>
  <c r="AE2404" i="9"/>
  <c r="AE2405" i="9"/>
  <c r="AF2390" i="9"/>
  <c r="AF2391" i="9"/>
  <c r="AF2392" i="9"/>
  <c r="AF2394" i="9"/>
  <c r="AF2395" i="9"/>
  <c r="AF2396" i="9"/>
  <c r="AF2399" i="9"/>
  <c r="AF2400" i="9"/>
  <c r="AF2401" i="9"/>
  <c r="AF2404" i="9"/>
  <c r="AF2405" i="9"/>
  <c r="W2355" i="9"/>
  <c r="X2363" i="9"/>
  <c r="X2367" i="9"/>
  <c r="X2371" i="9"/>
  <c r="X2372" i="9"/>
  <c r="Y2357" i="9"/>
  <c r="Y2358" i="9"/>
  <c r="Z2355" i="9"/>
  <c r="Z2357" i="9"/>
  <c r="Z2358" i="9"/>
  <c r="AE2359" i="9"/>
  <c r="AE2361" i="9"/>
  <c r="AE2362" i="9"/>
  <c r="AE2363" i="9"/>
  <c r="AE2364" i="9"/>
  <c r="AE2365" i="9"/>
  <c r="AE2366" i="9"/>
  <c r="AE2367" i="9"/>
  <c r="AE2368" i="9"/>
  <c r="AE2369" i="9"/>
  <c r="AE2370" i="9"/>
  <c r="AE2371" i="9"/>
  <c r="AE2372" i="9"/>
  <c r="AE2373" i="9"/>
  <c r="AF2355" i="9"/>
  <c r="AF2359" i="9"/>
  <c r="AF2361" i="9"/>
  <c r="AF2362" i="9"/>
  <c r="AF2364" i="9"/>
  <c r="AF2365" i="9"/>
  <c r="AF2366" i="9"/>
  <c r="AF2368" i="9"/>
  <c r="AF2369" i="9"/>
  <c r="AF2370" i="9"/>
  <c r="AF2373" i="9"/>
  <c r="AF2322" i="9"/>
  <c r="AF2326" i="9"/>
  <c r="AF2327" i="9"/>
  <c r="AF2328" i="9"/>
  <c r="AF2329" i="9"/>
  <c r="AF2332" i="9"/>
  <c r="AF2335" i="9"/>
  <c r="AF2336" i="9"/>
  <c r="AF2337" i="9"/>
  <c r="AF2339" i="9"/>
  <c r="AE2321" i="9"/>
  <c r="AE2324" i="9"/>
  <c r="AE2326" i="9"/>
  <c r="AE2327" i="9"/>
  <c r="AE2328" i="9"/>
  <c r="AE2329" i="9"/>
  <c r="AE2330" i="9"/>
  <c r="AE2331" i="9"/>
  <c r="AE2332" i="9"/>
  <c r="AE2333" i="9"/>
  <c r="AE2334" i="9"/>
  <c r="AE2335" i="9"/>
  <c r="AE2336" i="9"/>
  <c r="AE2337" i="9"/>
  <c r="AE2338" i="9"/>
  <c r="AE2339" i="9"/>
  <c r="Y2321" i="9"/>
  <c r="X2324" i="9"/>
  <c r="X2330" i="9"/>
  <c r="X2331" i="9"/>
  <c r="X2333" i="9"/>
  <c r="X2334" i="9"/>
  <c r="X2338" i="9"/>
  <c r="AE2286" i="9"/>
  <c r="AE2293" i="9"/>
  <c r="AE2294" i="9"/>
  <c r="AE2295" i="9"/>
  <c r="AE2301" i="9"/>
  <c r="AE2302" i="9"/>
  <c r="AE2303" i="9"/>
  <c r="AE2304" i="9"/>
  <c r="AE2305" i="9"/>
  <c r="AE2306" i="9"/>
  <c r="Z2288" i="9"/>
  <c r="Z2289" i="9"/>
  <c r="Y2286" i="9"/>
  <c r="Y2288" i="9"/>
  <c r="Y2289" i="9"/>
  <c r="X2293" i="9"/>
  <c r="X2294" i="9"/>
  <c r="X2295" i="9"/>
  <c r="X2301" i="9"/>
  <c r="X2302" i="9"/>
  <c r="X2304" i="9"/>
  <c r="AF2291" i="9"/>
  <c r="AF2293" i="9"/>
  <c r="AF2296" i="9"/>
  <c r="AF2297" i="9"/>
  <c r="AF2298" i="9"/>
  <c r="AF2299" i="9"/>
  <c r="AF2300" i="9"/>
  <c r="AF2303" i="9"/>
  <c r="AF2305" i="9"/>
  <c r="AF2306" i="9"/>
  <c r="AF2257" i="9"/>
  <c r="AF2259" i="9"/>
  <c r="AF2261" i="9"/>
  <c r="AF2264" i="9"/>
  <c r="AF2265" i="9"/>
  <c r="AF2266" i="9"/>
  <c r="AF2267" i="9"/>
  <c r="AF2269" i="9"/>
  <c r="AF2270" i="9"/>
  <c r="AE2257" i="9"/>
  <c r="AE2260" i="9"/>
  <c r="AE2261" i="9"/>
  <c r="AE2262" i="9"/>
  <c r="AE2263" i="9"/>
  <c r="AE2264" i="9"/>
  <c r="AE2265" i="9"/>
  <c r="AE2266" i="9"/>
  <c r="AE2267" i="9"/>
  <c r="AE2268" i="9"/>
  <c r="AE2269" i="9"/>
  <c r="AE2270" i="9"/>
  <c r="AE2271" i="9"/>
  <c r="Z2254" i="9"/>
  <c r="Y2254" i="9"/>
  <c r="X2260" i="9"/>
  <c r="X2262" i="9"/>
  <c r="X2263" i="9"/>
  <c r="X2268" i="9"/>
  <c r="X2271" i="9"/>
  <c r="AE2221" i="9"/>
  <c r="AE2223" i="9"/>
  <c r="AE2224" i="9"/>
  <c r="AE2225" i="9"/>
  <c r="AE2226" i="9"/>
  <c r="AE2227" i="9"/>
  <c r="AE2228" i="9"/>
  <c r="AE2229" i="9"/>
  <c r="AE2232" i="9"/>
  <c r="AE2233" i="9"/>
  <c r="AE2234" i="9"/>
  <c r="AE2235" i="9"/>
  <c r="AE2236" i="9"/>
  <c r="X2223" i="9"/>
  <c r="X2227" i="9"/>
  <c r="X2228" i="9"/>
  <c r="X2233" i="9"/>
  <c r="AD2465" i="9"/>
  <c r="Y2465" i="9"/>
  <c r="W2465" i="9"/>
  <c r="Z2464" i="9"/>
  <c r="X2464" i="9"/>
  <c r="AB2444" i="9"/>
  <c r="AA2444" i="9"/>
  <c r="Z2444" i="9"/>
  <c r="X2444" i="9"/>
  <c r="AE2443" i="9"/>
  <c r="X2443" i="9"/>
  <c r="AF2442" i="9"/>
  <c r="AE2442" i="9"/>
  <c r="AB2417" i="9"/>
  <c r="AA2417" i="9"/>
  <c r="Z2417" i="9"/>
  <c r="AB2416" i="9"/>
  <c r="AA2416" i="9"/>
  <c r="Z2416" i="9"/>
  <c r="X2416" i="9"/>
  <c r="AB2415" i="9"/>
  <c r="AA2415" i="9"/>
  <c r="Z2415" i="9"/>
  <c r="X2415" i="9"/>
  <c r="AF2189" i="9"/>
  <c r="AF2192" i="9"/>
  <c r="AF2193" i="9"/>
  <c r="AF2195" i="9"/>
  <c r="AF2198" i="9"/>
  <c r="AF2199" i="9"/>
  <c r="AF2202" i="9"/>
  <c r="AF2203" i="9"/>
  <c r="AF2204" i="9"/>
  <c r="AE2192" i="9"/>
  <c r="AE2193" i="9"/>
  <c r="AE2195" i="9"/>
  <c r="AE2196" i="9"/>
  <c r="AE2197" i="9"/>
  <c r="AE2198" i="9"/>
  <c r="AE2199" i="9"/>
  <c r="AE2200" i="9"/>
  <c r="AE2201" i="9"/>
  <c r="AE2202" i="9"/>
  <c r="AE2203" i="9"/>
  <c r="AE2204" i="9"/>
  <c r="AD2192" i="9"/>
  <c r="AC2186" i="9"/>
  <c r="AB2185" i="9"/>
  <c r="AB2186" i="9"/>
  <c r="AA2186" i="9"/>
  <c r="Z2185" i="9"/>
  <c r="Z2186" i="9"/>
  <c r="Z2187" i="9"/>
  <c r="Z2189" i="9"/>
  <c r="Z2190" i="9"/>
  <c r="Z2191" i="9"/>
  <c r="Y2185" i="9"/>
  <c r="Y2186" i="9"/>
  <c r="Y2187" i="9"/>
  <c r="Y2190" i="9"/>
  <c r="Y2191" i="9"/>
  <c r="Y2192" i="9"/>
  <c r="X2186" i="9"/>
  <c r="X2196" i="9"/>
  <c r="X2197" i="9"/>
  <c r="W2186" i="9"/>
  <c r="W2189" i="9"/>
  <c r="W2192" i="9"/>
  <c r="V2186" i="9"/>
  <c r="AC2184" i="9"/>
  <c r="AB2184" i="9"/>
  <c r="AA2184" i="9"/>
  <c r="Z2184" i="9"/>
  <c r="Y2184" i="9"/>
  <c r="X2184" i="9"/>
  <c r="W2184" i="9"/>
  <c r="V2184" i="9"/>
  <c r="M40" i="15"/>
  <c r="X14" i="15"/>
  <c r="BM16" i="15"/>
  <c r="AS15" i="15"/>
  <c r="AH14" i="15"/>
  <c r="X15" i="15"/>
  <c r="O43" i="5"/>
  <c r="N43" i="5"/>
  <c r="M43" i="5"/>
  <c r="O41" i="5"/>
  <c r="N41" i="5"/>
  <c r="M41" i="5"/>
  <c r="O31" i="5"/>
  <c r="O30" i="5"/>
  <c r="N31" i="5"/>
  <c r="M31" i="5"/>
  <c r="Z32" i="5"/>
  <c r="AB32" i="5" s="1"/>
  <c r="AC32" i="5"/>
  <c r="M101" i="4"/>
  <c r="BM39" i="15"/>
  <c r="BC19" i="15"/>
  <c r="BC18" i="15"/>
  <c r="BC15" i="15"/>
  <c r="BC16" i="15" s="1"/>
  <c r="BC14" i="15"/>
  <c r="AS41" i="15"/>
  <c r="AS40" i="15"/>
  <c r="AS39" i="15"/>
  <c r="AS33" i="15"/>
  <c r="AS32" i="15"/>
  <c r="AS31" i="15"/>
  <c r="AS18" i="15"/>
  <c r="AS17" i="15"/>
  <c r="AS16" i="15"/>
  <c r="AS14" i="15"/>
  <c r="AT11" i="15"/>
  <c r="AQ11" i="15"/>
  <c r="AN11" i="15"/>
  <c r="M58" i="4"/>
  <c r="X53" i="15"/>
  <c r="X54" i="15" s="1"/>
  <c r="M111" i="4"/>
  <c r="AB2610" i="9"/>
  <c r="AC2610" i="9" s="1"/>
  <c r="AD2610" i="9" s="1"/>
  <c r="AB2609" i="9"/>
  <c r="AC2609" i="9" s="1"/>
  <c r="AD2609" i="9" s="1"/>
  <c r="AB2608" i="9"/>
  <c r="AC2608" i="9" s="1"/>
  <c r="AD2608" i="9" s="1"/>
  <c r="Y2613" i="9"/>
  <c r="X2613" i="9"/>
  <c r="AA2613" i="9" s="1"/>
  <c r="Y2612" i="9"/>
  <c r="X2612" i="9"/>
  <c r="AA2612" i="9" s="1"/>
  <c r="Y2611" i="9"/>
  <c r="X2611" i="9"/>
  <c r="AA2611" i="9" s="1"/>
  <c r="Y2610" i="9"/>
  <c r="X2610" i="9"/>
  <c r="AA2610" i="9" s="1"/>
  <c r="Y2609" i="9"/>
  <c r="X2609" i="9"/>
  <c r="AA2609" i="9" s="1"/>
  <c r="Y2608" i="9"/>
  <c r="X2608" i="9"/>
  <c r="AA2608" i="9" s="1"/>
  <c r="Y2607" i="9"/>
  <c r="X2607" i="9"/>
  <c r="AA2607" i="9" s="1"/>
  <c r="Y2606" i="9"/>
  <c r="N2609" i="9"/>
  <c r="Q2609" i="9" s="1"/>
  <c r="N2608" i="9"/>
  <c r="Q2608" i="9" s="1"/>
  <c r="O2608" i="9"/>
  <c r="S2608" i="9"/>
  <c r="T2608" i="9" s="1"/>
  <c r="O2609" i="9"/>
  <c r="R2609" i="9"/>
  <c r="S2609" i="9" s="1"/>
  <c r="T2609" i="9" s="1"/>
  <c r="N2610" i="9"/>
  <c r="Q2610" i="9" s="1"/>
  <c r="O2610" i="9"/>
  <c r="R2610" i="9"/>
  <c r="S2610" i="9" s="1"/>
  <c r="T2610" i="9" s="1"/>
  <c r="N2611" i="9"/>
  <c r="Q2611" i="9" s="1"/>
  <c r="O2611" i="9"/>
  <c r="S2611" i="9"/>
  <c r="T2611" i="9" s="1"/>
  <c r="Z2615" i="9"/>
  <c r="AC2613" i="9"/>
  <c r="AD2613" i="9" s="1"/>
  <c r="AB2612" i="9"/>
  <c r="AC2612" i="9" s="1"/>
  <c r="AD2612" i="9" s="1"/>
  <c r="AC2611" i="9"/>
  <c r="AD2611" i="9" s="1"/>
  <c r="AC2607" i="9"/>
  <c r="AD2607" i="9" s="1"/>
  <c r="AC2606" i="9"/>
  <c r="AD2606" i="9" s="1"/>
  <c r="AB2585" i="9"/>
  <c r="AC2585" i="9" s="1"/>
  <c r="AD2585" i="9" s="1"/>
  <c r="AB2584" i="9"/>
  <c r="AC2584" i="9" s="1"/>
  <c r="AD2584" i="9" s="1"/>
  <c r="Y2587" i="9"/>
  <c r="X2587" i="9"/>
  <c r="AA2587" i="9" s="1"/>
  <c r="Y2586" i="9"/>
  <c r="X2586" i="9"/>
  <c r="AA2586" i="9" s="1"/>
  <c r="Y2585" i="9"/>
  <c r="X2585" i="9"/>
  <c r="AA2585" i="9" s="1"/>
  <c r="Y2584" i="9"/>
  <c r="X2584" i="9"/>
  <c r="AA2584" i="9" s="1"/>
  <c r="AC2587" i="9"/>
  <c r="AD2587" i="9" s="1"/>
  <c r="AC2586" i="9"/>
  <c r="AD2586" i="9" s="1"/>
  <c r="AH2588" i="9"/>
  <c r="AH2587" i="9"/>
  <c r="AI2588" i="9"/>
  <c r="Y2582" i="9"/>
  <c r="Z2590" i="9"/>
  <c r="AC2583" i="9"/>
  <c r="AD2583" i="9" s="1"/>
  <c r="AC2582" i="9"/>
  <c r="AD2582" i="9" s="1"/>
  <c r="Y2562" i="9"/>
  <c r="X2562" i="9"/>
  <c r="AA2562" i="9" s="1"/>
  <c r="Y2560" i="9"/>
  <c r="X2560" i="9"/>
  <c r="AA2560" i="9" s="1"/>
  <c r="Y2559" i="9"/>
  <c r="Z2566" i="9"/>
  <c r="AC2562" i="9"/>
  <c r="AD2562" i="9" s="1"/>
  <c r="AC2561" i="9"/>
  <c r="AD2561" i="9" s="1"/>
  <c r="AC2560" i="9"/>
  <c r="AD2560" i="9" s="1"/>
  <c r="AC2559" i="9"/>
  <c r="AD2559" i="9" s="1"/>
  <c r="AB2539" i="9"/>
  <c r="AC2539" i="9" s="1"/>
  <c r="AD2539" i="9" s="1"/>
  <c r="AB2538" i="9"/>
  <c r="AC2538" i="9" s="1"/>
  <c r="AD2538" i="9" s="1"/>
  <c r="AB2537" i="9"/>
  <c r="AC2537" i="9" s="1"/>
  <c r="AD2537" i="9" s="1"/>
  <c r="Y2542" i="9"/>
  <c r="X2542" i="9"/>
  <c r="AA2542" i="9" s="1"/>
  <c r="Y2541" i="9"/>
  <c r="X2541" i="9"/>
  <c r="AA2541" i="9" s="1"/>
  <c r="Y2540" i="9"/>
  <c r="X2540" i="9"/>
  <c r="AA2540" i="9" s="1"/>
  <c r="Y2539" i="9"/>
  <c r="X2539" i="9"/>
  <c r="AA2539" i="9" s="1"/>
  <c r="Y2538" i="9"/>
  <c r="X2538" i="9"/>
  <c r="AA2538" i="9" s="1"/>
  <c r="Y2537" i="9"/>
  <c r="X2537" i="9"/>
  <c r="AA2537" i="9" s="1"/>
  <c r="Y2536" i="9"/>
  <c r="Z2544" i="9"/>
  <c r="AC2542" i="9"/>
  <c r="AD2542" i="9" s="1"/>
  <c r="AC2541" i="9"/>
  <c r="AD2541" i="9" s="1"/>
  <c r="AC2540" i="9"/>
  <c r="AD2540" i="9" s="1"/>
  <c r="AC2536" i="9"/>
  <c r="AD2536" i="9" s="1"/>
  <c r="AB2516" i="9"/>
  <c r="AC2516" i="9" s="1"/>
  <c r="AD2516" i="9" s="1"/>
  <c r="Y2516" i="9"/>
  <c r="X2516" i="9"/>
  <c r="AA2516" i="9" s="1"/>
  <c r="X2514" i="9"/>
  <c r="AA2514" i="9" s="1"/>
  <c r="X2515" i="9"/>
  <c r="AA2515" i="9" s="1"/>
  <c r="Y2515" i="9"/>
  <c r="Y2514" i="9"/>
  <c r="Y2513" i="9"/>
  <c r="Z2521" i="9"/>
  <c r="AC2515" i="9"/>
  <c r="AD2515" i="9" s="1"/>
  <c r="AC2514" i="9"/>
  <c r="AD2514" i="9" s="1"/>
  <c r="AC2513" i="9"/>
  <c r="AD2513" i="9" s="1"/>
  <c r="AB2494" i="9"/>
  <c r="AC2494" i="9" s="1"/>
  <c r="AD2494" i="9" s="1"/>
  <c r="Y2494" i="9"/>
  <c r="X2494" i="9"/>
  <c r="AA2494" i="9" s="1"/>
  <c r="Y2493" i="9"/>
  <c r="X2493" i="9"/>
  <c r="AA2493" i="9" s="1"/>
  <c r="Y2491" i="9"/>
  <c r="X2491" i="9"/>
  <c r="AA2491" i="9" s="1"/>
  <c r="Y2490" i="9"/>
  <c r="Z2498" i="9"/>
  <c r="AC2493" i="9"/>
  <c r="AD2493" i="9" s="1"/>
  <c r="AC2492" i="9"/>
  <c r="AD2492" i="9" s="1"/>
  <c r="AC2491" i="9"/>
  <c r="AD2491" i="9" s="1"/>
  <c r="AC2490" i="9"/>
  <c r="AD2490" i="9" s="1"/>
  <c r="AB3076" i="9"/>
  <c r="AC3076" i="9" s="1"/>
  <c r="AD3076" i="9" s="1"/>
  <c r="AB3075" i="9"/>
  <c r="AC3075" i="9" s="1"/>
  <c r="AD3075" i="9" s="1"/>
  <c r="AB3073" i="9"/>
  <c r="AC3073" i="9" s="1"/>
  <c r="AD3073" i="9" s="1"/>
  <c r="Y3078" i="9"/>
  <c r="X3078" i="9"/>
  <c r="AA3078" i="9" s="1"/>
  <c r="Y3077" i="9"/>
  <c r="X3077" i="9"/>
  <c r="AA3077" i="9" s="1"/>
  <c r="Y3076" i="9"/>
  <c r="X3076" i="9"/>
  <c r="AA3076" i="9" s="1"/>
  <c r="Y3075" i="9"/>
  <c r="X3075" i="9"/>
  <c r="AA3075" i="9" s="1"/>
  <c r="Y3074" i="9"/>
  <c r="X3074" i="9"/>
  <c r="AA3074" i="9" s="1"/>
  <c r="Y3073" i="9"/>
  <c r="X3073" i="9"/>
  <c r="AA3073" i="9" s="1"/>
  <c r="Y3072" i="9"/>
  <c r="X3072" i="9"/>
  <c r="AA3072" i="9" s="1"/>
  <c r="AB3054" i="9"/>
  <c r="AC3054" i="9" s="1"/>
  <c r="AD3054" i="9" s="1"/>
  <c r="AB3053" i="9"/>
  <c r="AC3053" i="9" s="1"/>
  <c r="AD3053" i="9" s="1"/>
  <c r="AB3052" i="9"/>
  <c r="AC3052" i="9" s="1"/>
  <c r="AD3052" i="9" s="1"/>
  <c r="AB3051" i="9"/>
  <c r="AC3051" i="9" s="1"/>
  <c r="AD3051" i="9" s="1"/>
  <c r="AB3050" i="9"/>
  <c r="AC3050" i="9" s="1"/>
  <c r="AD3050" i="9" s="1"/>
  <c r="AB3049" i="9"/>
  <c r="AC3049" i="9" s="1"/>
  <c r="AD3049" i="9" s="1"/>
  <c r="Y3056" i="9"/>
  <c r="X3056" i="9"/>
  <c r="AA3056" i="9" s="1"/>
  <c r="Y3055" i="9"/>
  <c r="X3055" i="9"/>
  <c r="AA3055" i="9" s="1"/>
  <c r="Y3054" i="9"/>
  <c r="X3054" i="9"/>
  <c r="AA3054" i="9" s="1"/>
  <c r="Y3053" i="9"/>
  <c r="X3053" i="9"/>
  <c r="AA3053" i="9" s="1"/>
  <c r="Y3052" i="9"/>
  <c r="X3052" i="9"/>
  <c r="AA3052" i="9" s="1"/>
  <c r="Y3051" i="9"/>
  <c r="X3051" i="9"/>
  <c r="AA3051" i="9" s="1"/>
  <c r="Y3050" i="9"/>
  <c r="X3050" i="9"/>
  <c r="AA3050" i="9" s="1"/>
  <c r="Y3049" i="9"/>
  <c r="X3049" i="9"/>
  <c r="AB3027" i="9"/>
  <c r="AC3027" i="9" s="1"/>
  <c r="AD3027" i="9" s="1"/>
  <c r="AB3026" i="9"/>
  <c r="AC3026" i="9" s="1"/>
  <c r="AD3026" i="9" s="1"/>
  <c r="Y3029" i="9"/>
  <c r="X3029" i="9"/>
  <c r="AA3029" i="9" s="1"/>
  <c r="Y3028" i="9"/>
  <c r="X3028" i="9"/>
  <c r="AA3028" i="9" s="1"/>
  <c r="Y3027" i="9"/>
  <c r="X3027" i="9"/>
  <c r="AA3027" i="9" s="1"/>
  <c r="Y3026" i="9"/>
  <c r="X3026" i="9"/>
  <c r="AB3004" i="9"/>
  <c r="AC3004" i="9" s="1"/>
  <c r="AD3004" i="9" s="1"/>
  <c r="AB3003" i="9"/>
  <c r="AC3003" i="9" s="1"/>
  <c r="AD3003" i="9" s="1"/>
  <c r="Y3006" i="9"/>
  <c r="X3006" i="9"/>
  <c r="AA3006" i="9" s="1"/>
  <c r="Y3005" i="9"/>
  <c r="X3005" i="9"/>
  <c r="AA3005" i="9" s="1"/>
  <c r="Y3004" i="9"/>
  <c r="X3004" i="9"/>
  <c r="AA3004" i="9" s="1"/>
  <c r="Y3003" i="9"/>
  <c r="X3003" i="9"/>
  <c r="AB2982" i="9"/>
  <c r="AC2982" i="9" s="1"/>
  <c r="AD2982" i="9" s="1"/>
  <c r="AB2981" i="9"/>
  <c r="AC2981" i="9" s="1"/>
  <c r="AD2981" i="9" s="1"/>
  <c r="AB2980" i="9"/>
  <c r="AC2980" i="9" s="1"/>
  <c r="AD2980" i="9" s="1"/>
  <c r="Y2984" i="9"/>
  <c r="X2984" i="9"/>
  <c r="AA2984" i="9" s="1"/>
  <c r="Y2983" i="9"/>
  <c r="X2983" i="9"/>
  <c r="AA2983" i="9" s="1"/>
  <c r="Y2982" i="9"/>
  <c r="X2982" i="9"/>
  <c r="AA2982" i="9" s="1"/>
  <c r="Y2981" i="9"/>
  <c r="X2981" i="9"/>
  <c r="AA2981" i="9" s="1"/>
  <c r="Y2980" i="9"/>
  <c r="X2980" i="9"/>
  <c r="AA2980" i="9" s="1"/>
  <c r="AB2960" i="9"/>
  <c r="AC2960" i="9" s="1"/>
  <c r="AD2960" i="9" s="1"/>
  <c r="Y2961" i="9"/>
  <c r="X2961" i="9"/>
  <c r="AA2961" i="9" s="1"/>
  <c r="Y2960" i="9"/>
  <c r="X2960" i="9"/>
  <c r="AA2960" i="9" s="1"/>
  <c r="Y2959" i="9"/>
  <c r="X2959" i="9"/>
  <c r="AA2959" i="9" s="1"/>
  <c r="Y2958" i="9"/>
  <c r="X2958" i="9"/>
  <c r="AA2958" i="9" s="1"/>
  <c r="Y2957" i="9"/>
  <c r="X2957" i="9"/>
  <c r="AA2957" i="9" s="1"/>
  <c r="AB2935" i="9"/>
  <c r="AC2935" i="9" s="1"/>
  <c r="AD2935" i="9" s="1"/>
  <c r="Y2937" i="9"/>
  <c r="X2937" i="9"/>
  <c r="AA2937" i="9" s="1"/>
  <c r="Y2936" i="9"/>
  <c r="X2936" i="9"/>
  <c r="AA2936" i="9" s="1"/>
  <c r="Y2935" i="9"/>
  <c r="X2935" i="9"/>
  <c r="AA2935" i="9" s="1"/>
  <c r="Y2934" i="9"/>
  <c r="X2934" i="9"/>
  <c r="AA2934" i="9" s="1"/>
  <c r="AB2913" i="9"/>
  <c r="AC2913" i="9" s="1"/>
  <c r="AD2913" i="9" s="1"/>
  <c r="AB2912" i="9"/>
  <c r="AC2912" i="9" s="1"/>
  <c r="AD2912" i="9" s="1"/>
  <c r="Y2916" i="9"/>
  <c r="X2916" i="9"/>
  <c r="AA2916" i="9" s="1"/>
  <c r="Y2915" i="9"/>
  <c r="X2915" i="9"/>
  <c r="AA2915" i="9" s="1"/>
  <c r="Y2913" i="9"/>
  <c r="X2913" i="9"/>
  <c r="AA2913" i="9" s="1"/>
  <c r="Y2912" i="9"/>
  <c r="X2912" i="9"/>
  <c r="AA2912" i="9" s="1"/>
  <c r="AE2912" i="9" s="1"/>
  <c r="AB2892" i="9"/>
  <c r="AC2892" i="9" s="1"/>
  <c r="AD2892" i="9" s="1"/>
  <c r="AB2891" i="9"/>
  <c r="AC2891" i="9" s="1"/>
  <c r="AD2891" i="9" s="1"/>
  <c r="Y2894" i="9"/>
  <c r="X2894" i="9"/>
  <c r="AA2894" i="9" s="1"/>
  <c r="Y2893" i="9"/>
  <c r="X2893" i="9"/>
  <c r="AA2893" i="9" s="1"/>
  <c r="Y2892" i="9"/>
  <c r="X2892" i="9"/>
  <c r="AA2892" i="9" s="1"/>
  <c r="Y2891" i="9"/>
  <c r="X2891" i="9"/>
  <c r="AA2891" i="9" s="1"/>
  <c r="AE2891" i="9" s="1"/>
  <c r="Y2890" i="9"/>
  <c r="X2890" i="9"/>
  <c r="AA2890" i="9" s="1"/>
  <c r="Y2889" i="9"/>
  <c r="X2889" i="9"/>
  <c r="AB2868" i="9"/>
  <c r="AC2868" i="9" s="1"/>
  <c r="AD2868" i="9" s="1"/>
  <c r="AB2867" i="9"/>
  <c r="AC2867" i="9" s="1"/>
  <c r="AD2867" i="9" s="1"/>
  <c r="AB2866" i="9"/>
  <c r="AC2866" i="9" s="1"/>
  <c r="AD2866" i="9" s="1"/>
  <c r="Y2870" i="9"/>
  <c r="X2870" i="9"/>
  <c r="AA2870" i="9" s="1"/>
  <c r="Y2869" i="9"/>
  <c r="X2869" i="9"/>
  <c r="AA2869" i="9" s="1"/>
  <c r="Y2868" i="9"/>
  <c r="X2868" i="9"/>
  <c r="AA2868" i="9" s="1"/>
  <c r="Y2867" i="9"/>
  <c r="X2867" i="9"/>
  <c r="AA2867" i="9" s="1"/>
  <c r="Y2866" i="9"/>
  <c r="X2866" i="9"/>
  <c r="AA2866" i="9" s="1"/>
  <c r="AB2846" i="9"/>
  <c r="AC2846" i="9" s="1"/>
  <c r="AD2846" i="9" s="1"/>
  <c r="AB2844" i="9"/>
  <c r="AC2844" i="9" s="1"/>
  <c r="AD2844" i="9" s="1"/>
  <c r="Y2847" i="9"/>
  <c r="X2847" i="9"/>
  <c r="AA2847" i="9" s="1"/>
  <c r="Y2846" i="9"/>
  <c r="X2846" i="9"/>
  <c r="AA2846" i="9" s="1"/>
  <c r="Y2845" i="9"/>
  <c r="X2845" i="9"/>
  <c r="AA2845" i="9" s="1"/>
  <c r="Y2844" i="9"/>
  <c r="X2844" i="9"/>
  <c r="AA2844" i="9" s="1"/>
  <c r="Y2843" i="9"/>
  <c r="X2843" i="9"/>
  <c r="AA2843" i="9" s="1"/>
  <c r="AB2822" i="9"/>
  <c r="AC2822" i="9" s="1"/>
  <c r="AB2820" i="9"/>
  <c r="AC2820" i="9" s="1"/>
  <c r="AD2820" i="9" s="1"/>
  <c r="Y2824" i="9"/>
  <c r="X2824" i="9"/>
  <c r="AA2824" i="9" s="1"/>
  <c r="Y2823" i="9"/>
  <c r="X2823" i="9"/>
  <c r="Y2820" i="9"/>
  <c r="Y2822" i="9"/>
  <c r="X2822" i="9"/>
  <c r="AA2822" i="9" s="1"/>
  <c r="Y2821" i="9"/>
  <c r="X2821" i="9"/>
  <c r="AA2821" i="9" s="1"/>
  <c r="X2820" i="9"/>
  <c r="AA2820" i="9" s="1"/>
  <c r="N2820" i="9"/>
  <c r="AB2798" i="9"/>
  <c r="AC2798" i="9" s="1"/>
  <c r="AD2798" i="9" s="1"/>
  <c r="AB2797" i="9"/>
  <c r="AC2797" i="9" s="1"/>
  <c r="AD2797" i="9" s="1"/>
  <c r="Y2800" i="9"/>
  <c r="X2800" i="9"/>
  <c r="AA2800" i="9" s="1"/>
  <c r="Y2799" i="9"/>
  <c r="X2799" i="9"/>
  <c r="AA2799" i="9" s="1"/>
  <c r="Y2798" i="9"/>
  <c r="X2798" i="9"/>
  <c r="AA2798" i="9" s="1"/>
  <c r="Y2797" i="9"/>
  <c r="X2797" i="9"/>
  <c r="AB2776" i="9"/>
  <c r="AC2776" i="9" s="1"/>
  <c r="AD2776" i="9" s="1"/>
  <c r="AB2774" i="9"/>
  <c r="AC2774" i="9" s="1"/>
  <c r="AD2774" i="9" s="1"/>
  <c r="Y2779" i="9"/>
  <c r="X2779" i="9"/>
  <c r="AA2779" i="9" s="1"/>
  <c r="Y2778" i="9"/>
  <c r="X2778" i="9"/>
  <c r="AA2778" i="9" s="1"/>
  <c r="Y2777" i="9"/>
  <c r="X2777" i="9"/>
  <c r="AA2777" i="9" s="1"/>
  <c r="N2779" i="9"/>
  <c r="N2778" i="9"/>
  <c r="N2777" i="9"/>
  <c r="N2776" i="9"/>
  <c r="N2775" i="9"/>
  <c r="N2774" i="9"/>
  <c r="Y2776" i="9"/>
  <c r="X2776" i="9"/>
  <c r="AA2776" i="9" s="1"/>
  <c r="Y2775" i="9"/>
  <c r="X2775" i="9"/>
  <c r="AA2775" i="9" s="1"/>
  <c r="Y2774" i="9"/>
  <c r="X2774" i="9"/>
  <c r="AA2774" i="9" s="1"/>
  <c r="AB2751" i="9"/>
  <c r="AC2751" i="9" s="1"/>
  <c r="AD2751" i="9" s="1"/>
  <c r="Y2755" i="9"/>
  <c r="X2755" i="9"/>
  <c r="AA2755" i="9" s="1"/>
  <c r="Y2753" i="9"/>
  <c r="Y2752" i="9"/>
  <c r="Y2754" i="9"/>
  <c r="X2754" i="9"/>
  <c r="AA2754" i="9" s="1"/>
  <c r="X2753" i="9"/>
  <c r="AA2753" i="9" s="1"/>
  <c r="X2752" i="9"/>
  <c r="AA2752" i="9" s="1"/>
  <c r="N2752" i="9"/>
  <c r="Y2751" i="9"/>
  <c r="X2751" i="9"/>
  <c r="AA2751" i="9" s="1"/>
  <c r="R2729" i="9"/>
  <c r="AB2729" i="9"/>
  <c r="AC2729" i="9" s="1"/>
  <c r="AD2729" i="9" s="1"/>
  <c r="AB2728" i="9"/>
  <c r="AC2728" i="9" s="1"/>
  <c r="AD2728" i="9" s="1"/>
  <c r="Y2731" i="9"/>
  <c r="X2731" i="9"/>
  <c r="AA2731" i="9" s="1"/>
  <c r="Y2730" i="9"/>
  <c r="X2730" i="9"/>
  <c r="AA2730" i="9" s="1"/>
  <c r="Y2729" i="9"/>
  <c r="Y2728" i="9"/>
  <c r="X2728" i="9"/>
  <c r="AB2705" i="9"/>
  <c r="AC2705" i="9" s="1"/>
  <c r="AD2705" i="9" s="1"/>
  <c r="Y2710" i="9"/>
  <c r="X2710" i="9"/>
  <c r="AA2710" i="9" s="1"/>
  <c r="Y2709" i="9"/>
  <c r="X2709" i="9"/>
  <c r="AA2709" i="9" s="1"/>
  <c r="Y2708" i="9"/>
  <c r="X2708" i="9"/>
  <c r="AA2708" i="9" s="1"/>
  <c r="Y2707" i="9"/>
  <c r="X2707" i="9"/>
  <c r="AA2707" i="9" s="1"/>
  <c r="Y2706" i="9"/>
  <c r="X2706" i="9"/>
  <c r="AA2706" i="9" s="1"/>
  <c r="Y2705" i="9"/>
  <c r="X2705" i="9"/>
  <c r="AA2705" i="9" s="1"/>
  <c r="AB2683" i="9"/>
  <c r="AC2683" i="9" s="1"/>
  <c r="AD2683" i="9" s="1"/>
  <c r="Y2685" i="9"/>
  <c r="X2685" i="9"/>
  <c r="AA2685" i="9" s="1"/>
  <c r="Y2684" i="9"/>
  <c r="X2684" i="9"/>
  <c r="AA2684" i="9" s="1"/>
  <c r="Y2683" i="9"/>
  <c r="X2683" i="9"/>
  <c r="AA2683" i="9" s="1"/>
  <c r="Y2682" i="9"/>
  <c r="X2682" i="9"/>
  <c r="AA2682" i="9" s="1"/>
  <c r="Y2681" i="9"/>
  <c r="X2681" i="9"/>
  <c r="AA2681" i="9" s="1"/>
  <c r="Y2664" i="9"/>
  <c r="X2664" i="9"/>
  <c r="AA2664" i="9" s="1"/>
  <c r="Y2663" i="9"/>
  <c r="X2663" i="9"/>
  <c r="AA2663" i="9" s="1"/>
  <c r="Y2662" i="9"/>
  <c r="X2662" i="9"/>
  <c r="AA2662" i="9" s="1"/>
  <c r="Y2661" i="9"/>
  <c r="X2661" i="9"/>
  <c r="AA2661" i="9" s="1"/>
  <c r="Y2660" i="9"/>
  <c r="X2660" i="9"/>
  <c r="AA2660" i="9" s="1"/>
  <c r="Y2659" i="9"/>
  <c r="X2659" i="9"/>
  <c r="AA2659" i="9" s="1"/>
  <c r="AC2710" i="9"/>
  <c r="AD2710" i="9" s="1"/>
  <c r="AC2709" i="9"/>
  <c r="AD2709" i="9" s="1"/>
  <c r="AC2708" i="9"/>
  <c r="AD2708" i="9" s="1"/>
  <c r="AC2707" i="9"/>
  <c r="AD2707" i="9" s="1"/>
  <c r="AC2706" i="9"/>
  <c r="AD2706" i="9" s="1"/>
  <c r="AC2685" i="9"/>
  <c r="AD2685" i="9" s="1"/>
  <c r="AC2684" i="9"/>
  <c r="AD2684" i="9" s="1"/>
  <c r="AC2682" i="9"/>
  <c r="AD2682" i="9" s="1"/>
  <c r="AC2681" i="9"/>
  <c r="AD2681" i="9" s="1"/>
  <c r="AC2664" i="9"/>
  <c r="AD2664" i="9" s="1"/>
  <c r="AC2663" i="9"/>
  <c r="AD2663" i="9" s="1"/>
  <c r="AC2662" i="9"/>
  <c r="AD2662" i="9" s="1"/>
  <c r="AC2661" i="9"/>
  <c r="AC2660" i="9"/>
  <c r="AD2660" i="9" s="1"/>
  <c r="AB2659" i="9"/>
  <c r="AC2659" i="9" s="1"/>
  <c r="AD2659" i="9" s="1"/>
  <c r="Z3080" i="9"/>
  <c r="AC3078" i="9"/>
  <c r="AD3078" i="9" s="1"/>
  <c r="AC3077" i="9"/>
  <c r="AD3077" i="9" s="1"/>
  <c r="AC3074" i="9"/>
  <c r="AD3074" i="9" s="1"/>
  <c r="AC3072" i="9"/>
  <c r="AD3072" i="9" s="1"/>
  <c r="Z3058" i="9"/>
  <c r="AC3056" i="9"/>
  <c r="AD3056" i="9" s="1"/>
  <c r="AC3055" i="9"/>
  <c r="AD3055" i="9" s="1"/>
  <c r="Z3032" i="9"/>
  <c r="AC3029" i="9"/>
  <c r="AD3029" i="9" s="1"/>
  <c r="AC3028" i="9"/>
  <c r="AD3028" i="9" s="1"/>
  <c r="Z3009" i="9"/>
  <c r="AC3006" i="9"/>
  <c r="AD3006" i="9" s="1"/>
  <c r="AC3005" i="9"/>
  <c r="AD3005" i="9" s="1"/>
  <c r="Z2988" i="9"/>
  <c r="AC2984" i="9"/>
  <c r="AD2984" i="9" s="1"/>
  <c r="AC2983" i="9"/>
  <c r="AD2983" i="9" s="1"/>
  <c r="Z2965" i="9"/>
  <c r="AC2961" i="9"/>
  <c r="AD2961" i="9" s="1"/>
  <c r="AC2959" i="9"/>
  <c r="AD2959" i="9" s="1"/>
  <c r="AC2958" i="9"/>
  <c r="AC2957" i="9"/>
  <c r="AD2957" i="9" s="1"/>
  <c r="Z2940" i="9"/>
  <c r="AC2937" i="9"/>
  <c r="AD2937" i="9" s="1"/>
  <c r="AC2936" i="9"/>
  <c r="AD2936" i="9" s="1"/>
  <c r="AC2934" i="9"/>
  <c r="AD2934" i="9" s="1"/>
  <c r="Z2920" i="9"/>
  <c r="AC2916" i="9"/>
  <c r="AD2916" i="9" s="1"/>
  <c r="AC2915" i="9"/>
  <c r="AD2915" i="9" s="1"/>
  <c r="Z2897" i="9"/>
  <c r="AC2894" i="9"/>
  <c r="AD2894" i="9" s="1"/>
  <c r="AC2893" i="9"/>
  <c r="AD2893" i="9" s="1"/>
  <c r="AC2890" i="9"/>
  <c r="AD2890" i="9" s="1"/>
  <c r="AC2889" i="9"/>
  <c r="AD2889" i="9" s="1"/>
  <c r="Z2874" i="9"/>
  <c r="AC2870" i="9"/>
  <c r="AD2870" i="9" s="1"/>
  <c r="AC2869" i="9"/>
  <c r="AD2869" i="9" s="1"/>
  <c r="Z2851" i="9"/>
  <c r="AC2847" i="9"/>
  <c r="AD2847" i="9" s="1"/>
  <c r="AC2845" i="9"/>
  <c r="AD2845" i="9" s="1"/>
  <c r="AC2843" i="9"/>
  <c r="AD2843" i="9" s="1"/>
  <c r="Z2828" i="9"/>
  <c r="AC2824" i="9"/>
  <c r="AD2824" i="9" s="1"/>
  <c r="AC2823" i="9"/>
  <c r="AD2823" i="9" s="1"/>
  <c r="AC2821" i="9"/>
  <c r="AD2821" i="9" s="1"/>
  <c r="Z2803" i="9"/>
  <c r="AC2800" i="9"/>
  <c r="AD2800" i="9" s="1"/>
  <c r="AC2799" i="9"/>
  <c r="AD2799" i="9" s="1"/>
  <c r="Z2782" i="9"/>
  <c r="AC2779" i="9"/>
  <c r="AD2779" i="9" s="1"/>
  <c r="AC2778" i="9"/>
  <c r="AD2778" i="9" s="1"/>
  <c r="AB2777" i="9"/>
  <c r="AC2777" i="9" s="1"/>
  <c r="AD2777" i="9" s="1"/>
  <c r="AC2775" i="9"/>
  <c r="AD2775" i="9" s="1"/>
  <c r="Z2759" i="9"/>
  <c r="AC2755" i="9"/>
  <c r="AD2755" i="9" s="1"/>
  <c r="AC2754" i="9"/>
  <c r="AD2754" i="9" s="1"/>
  <c r="AC2753" i="9"/>
  <c r="AD2753" i="9" s="1"/>
  <c r="AC2752" i="9"/>
  <c r="AD2752" i="9" s="1"/>
  <c r="Z2734" i="9"/>
  <c r="AC2731" i="9"/>
  <c r="AD2731" i="9" s="1"/>
  <c r="AC2730" i="9"/>
  <c r="AD2730" i="9" s="1"/>
  <c r="Z2713" i="9"/>
  <c r="Z2689" i="9"/>
  <c r="Z2667" i="9"/>
  <c r="AB2637" i="9"/>
  <c r="AC2637" i="9" s="1"/>
  <c r="AD2637" i="9" s="1"/>
  <c r="AB2636" i="9"/>
  <c r="AC2636" i="9" s="1"/>
  <c r="AD2636" i="9" s="1"/>
  <c r="AB2635" i="9"/>
  <c r="AC2635" i="9" s="1"/>
  <c r="AD2635" i="9" s="1"/>
  <c r="Y2639" i="9"/>
  <c r="X2639" i="9"/>
  <c r="AA2639" i="9" s="1"/>
  <c r="Y2638" i="9"/>
  <c r="X2638" i="9"/>
  <c r="AA2638" i="9" s="1"/>
  <c r="Y2637" i="9"/>
  <c r="X2637" i="9"/>
  <c r="AA2637" i="9" s="1"/>
  <c r="Y2636" i="9"/>
  <c r="X2636" i="9"/>
  <c r="AA2636" i="9" s="1"/>
  <c r="Y2635" i="9"/>
  <c r="X2635" i="9"/>
  <c r="AA2635" i="9" s="1"/>
  <c r="Z2643" i="9"/>
  <c r="AC2639" i="9"/>
  <c r="AD2639" i="9" s="1"/>
  <c r="AC2638" i="9"/>
  <c r="AD2638" i="9" s="1"/>
  <c r="M97" i="4"/>
  <c r="M72" i="4"/>
  <c r="M91" i="4"/>
  <c r="M92" i="4"/>
  <c r="M5" i="4"/>
  <c r="M86" i="4"/>
  <c r="M87" i="4"/>
  <c r="M88" i="4"/>
  <c r="M89" i="4"/>
  <c r="M90" i="4"/>
  <c r="M99" i="4"/>
  <c r="M100" i="4"/>
  <c r="M102" i="4"/>
  <c r="M103" i="4"/>
  <c r="M104" i="4"/>
  <c r="M105" i="4"/>
  <c r="M106" i="4"/>
  <c r="M107" i="4"/>
  <c r="M108" i="4"/>
  <c r="M109" i="4"/>
  <c r="M110" i="4"/>
  <c r="BO11" i="15"/>
  <c r="M98" i="4"/>
  <c r="M96" i="4"/>
  <c r="BM41" i="15"/>
  <c r="BM40" i="15"/>
  <c r="BM18" i="15"/>
  <c r="BM17" i="15"/>
  <c r="BM15" i="15"/>
  <c r="BM14" i="15"/>
  <c r="BC41" i="15"/>
  <c r="BC40" i="15"/>
  <c r="BC39" i="15"/>
  <c r="AH41" i="15"/>
  <c r="AH40" i="15"/>
  <c r="AH39" i="15"/>
  <c r="AH23" i="15"/>
  <c r="AH22" i="15"/>
  <c r="AH18" i="15"/>
  <c r="AH17" i="15"/>
  <c r="X41" i="15"/>
  <c r="X40" i="15"/>
  <c r="X39" i="15"/>
  <c r="X23" i="15"/>
  <c r="X19" i="15"/>
  <c r="X16" i="15"/>
  <c r="M39" i="15"/>
  <c r="M18" i="15"/>
  <c r="M17" i="15"/>
  <c r="M16" i="15"/>
  <c r="M15" i="15"/>
  <c r="O39" i="5"/>
  <c r="O40" i="5"/>
  <c r="O38" i="5"/>
  <c r="O42" i="5"/>
  <c r="Q21" i="5"/>
  <c r="M39" i="5"/>
  <c r="N39" i="5"/>
  <c r="M40" i="5"/>
  <c r="N40" i="5"/>
  <c r="N38" i="5"/>
  <c r="M38" i="5"/>
  <c r="O37" i="5"/>
  <c r="O36" i="5"/>
  <c r="O33" i="5"/>
  <c r="O34" i="5"/>
  <c r="O35" i="5"/>
  <c r="O32" i="5"/>
  <c r="M42" i="5"/>
  <c r="N42" i="5"/>
  <c r="M30" i="5"/>
  <c r="N30" i="5"/>
  <c r="AD2661" i="9" l="1"/>
  <c r="AE2661" i="9"/>
  <c r="U3007" i="9"/>
  <c r="U2848" i="9"/>
  <c r="U2640" i="9"/>
  <c r="T2640" i="9"/>
  <c r="AE2848" i="9"/>
  <c r="U2938" i="9"/>
  <c r="T3331" i="9"/>
  <c r="E198" i="12"/>
  <c r="F198" i="12" s="1"/>
  <c r="G198" i="12" s="1"/>
  <c r="H198" i="12" s="1"/>
  <c r="I198" i="12" s="1"/>
  <c r="M125" i="4"/>
  <c r="N125" i="4" s="1"/>
  <c r="X16" i="17"/>
  <c r="M17" i="17"/>
  <c r="AG17" i="17" s="1"/>
  <c r="AR16" i="17" s="1"/>
  <c r="S81" i="12"/>
  <c r="E77" i="14"/>
  <c r="C87" i="14"/>
  <c r="C88" i="14" s="1"/>
  <c r="C89" i="14" s="1"/>
  <c r="C92" i="14"/>
  <c r="C93" i="14" s="1"/>
  <c r="C94" i="14" s="1"/>
  <c r="C82" i="14"/>
  <c r="BN39" i="15"/>
  <c r="AT29" i="15"/>
  <c r="AU29" i="15" s="1"/>
  <c r="AT39" i="15"/>
  <c r="AU39" i="15" s="1"/>
  <c r="AV39" i="15" s="1"/>
  <c r="AT40" i="15"/>
  <c r="AU40" i="15" s="1"/>
  <c r="AV40" i="15" s="1"/>
  <c r="AT21" i="15"/>
  <c r="AU21" i="15" s="1"/>
  <c r="AT20" i="15"/>
  <c r="AU20" i="15" s="1"/>
  <c r="AT28" i="15"/>
  <c r="AU28" i="15" s="1"/>
  <c r="AT41" i="15"/>
  <c r="AU41" i="15" s="1"/>
  <c r="AV41" i="15" s="1"/>
  <c r="AT17" i="15"/>
  <c r="AU17" i="15" s="1"/>
  <c r="AV17" i="15" s="1"/>
  <c r="AT25" i="15"/>
  <c r="AU25" i="15" s="1"/>
  <c r="AT33" i="15"/>
  <c r="AT18" i="15"/>
  <c r="AU18" i="15" s="1"/>
  <c r="AT26" i="15"/>
  <c r="AU26" i="15" s="1"/>
  <c r="V56" i="15"/>
  <c r="AT24" i="15"/>
  <c r="AU24" i="15" s="1"/>
  <c r="AT19" i="15"/>
  <c r="AU19" i="15" s="1"/>
  <c r="U3309" i="9"/>
  <c r="R3225" i="9"/>
  <c r="BD2230" i="9"/>
  <c r="R3131" i="9"/>
  <c r="R3177" i="9"/>
  <c r="BG2290" i="9"/>
  <c r="BG2194" i="9"/>
  <c r="AE2540" i="9"/>
  <c r="AE3078" i="9"/>
  <c r="BG2191" i="9"/>
  <c r="BG2190" i="9"/>
  <c r="BG2198" i="9"/>
  <c r="AE2751" i="9"/>
  <c r="AZ2225" i="9"/>
  <c r="BG2287" i="9"/>
  <c r="BG2291" i="9"/>
  <c r="AE2663" i="9"/>
  <c r="BG2222" i="9"/>
  <c r="AE2844" i="9"/>
  <c r="BG2195" i="9"/>
  <c r="AE2982" i="9"/>
  <c r="BG2288" i="9"/>
  <c r="U2479" i="9"/>
  <c r="AM2479" i="9" s="1"/>
  <c r="BG2192" i="9"/>
  <c r="BG2219" i="9"/>
  <c r="BG2293" i="9"/>
  <c r="AE3005" i="9"/>
  <c r="BG2193" i="9"/>
  <c r="BG2220" i="9"/>
  <c r="AE2491" i="9"/>
  <c r="BG2199" i="9"/>
  <c r="BG2188" i="9"/>
  <c r="BG2221" i="9"/>
  <c r="AE2890" i="9"/>
  <c r="AZ2200" i="9"/>
  <c r="AE2777" i="9"/>
  <c r="X2803" i="9"/>
  <c r="BG2197" i="9"/>
  <c r="BG2285" i="9"/>
  <c r="BG2196" i="9"/>
  <c r="BG2292" i="9"/>
  <c r="BG2289" i="9"/>
  <c r="BG2286" i="9"/>
  <c r="BC2218" i="9"/>
  <c r="BG2189" i="9"/>
  <c r="BC2200" i="9"/>
  <c r="AE3074" i="9"/>
  <c r="AE2659" i="9"/>
  <c r="AE2542" i="9"/>
  <c r="AE2709" i="9"/>
  <c r="AE2682" i="9"/>
  <c r="AE2685" i="9"/>
  <c r="AE2778" i="9"/>
  <c r="U2610" i="9"/>
  <c r="AE2893" i="9"/>
  <c r="U2608" i="9"/>
  <c r="AE2752" i="9"/>
  <c r="AE2607" i="9"/>
  <c r="AE2684" i="9"/>
  <c r="AE2821" i="9"/>
  <c r="AE2538" i="9"/>
  <c r="AE2608" i="9"/>
  <c r="AE2847" i="9"/>
  <c r="AE2562" i="9"/>
  <c r="AE2707" i="9"/>
  <c r="AE2754" i="9"/>
  <c r="AE2846" i="9"/>
  <c r="AE2936" i="9"/>
  <c r="AE2984" i="9"/>
  <c r="AE2515" i="9"/>
  <c r="U2609" i="9"/>
  <c r="AE2612" i="9"/>
  <c r="AE3077" i="9"/>
  <c r="AE2587" i="9"/>
  <c r="AE2584" i="9"/>
  <c r="AE2611" i="9"/>
  <c r="AE2493" i="9"/>
  <c r="AE2959" i="9"/>
  <c r="AE2662" i="9"/>
  <c r="AE2822" i="9"/>
  <c r="X2759" i="9"/>
  <c r="AE2708" i="9"/>
  <c r="X2965" i="9"/>
  <c r="AE2638" i="9"/>
  <c r="X3009" i="9"/>
  <c r="AE2730" i="9"/>
  <c r="X2828" i="9"/>
  <c r="AE2869" i="9"/>
  <c r="AE2541" i="9"/>
  <c r="X2782" i="9"/>
  <c r="X2897" i="9"/>
  <c r="AE2915" i="9"/>
  <c r="AE2957" i="9"/>
  <c r="AE2961" i="9"/>
  <c r="X3032" i="9"/>
  <c r="AE3051" i="9"/>
  <c r="AE3055" i="9"/>
  <c r="AE3075" i="9"/>
  <c r="AE2867" i="9"/>
  <c r="AE2960" i="9"/>
  <c r="AE2494" i="9"/>
  <c r="AE2705" i="9"/>
  <c r="AE2639" i="9"/>
  <c r="AE2755" i="9"/>
  <c r="AE2894" i="9"/>
  <c r="AE3029" i="9"/>
  <c r="AE2660" i="9"/>
  <c r="AE2664" i="9"/>
  <c r="AE2706" i="9"/>
  <c r="AE2710" i="9"/>
  <c r="AE2635" i="9"/>
  <c r="AE2799" i="9"/>
  <c r="AA2823" i="9"/>
  <c r="AE2823" i="9" s="1"/>
  <c r="AE2916" i="9"/>
  <c r="AE3076" i="9"/>
  <c r="AE2681" i="9"/>
  <c r="AE2610" i="9"/>
  <c r="X2851" i="9"/>
  <c r="AE2935" i="9"/>
  <c r="AE2776" i="9"/>
  <c r="AE2892" i="9"/>
  <c r="AE2637" i="9"/>
  <c r="AE2731" i="9"/>
  <c r="AE2800" i="9"/>
  <c r="AE2820" i="9"/>
  <c r="AE2824" i="9"/>
  <c r="AE2870" i="9"/>
  <c r="X2920" i="9"/>
  <c r="AE2983" i="9"/>
  <c r="AE3006" i="9"/>
  <c r="AE3056" i="9"/>
  <c r="AE2586" i="9"/>
  <c r="AE3027" i="9"/>
  <c r="AE3052" i="9"/>
  <c r="AE2775" i="9"/>
  <c r="AE2779" i="9"/>
  <c r="AE2937" i="9"/>
  <c r="AE3004" i="9"/>
  <c r="AE3028" i="9"/>
  <c r="AE2753" i="9"/>
  <c r="AE2845" i="9"/>
  <c r="AE2868" i="9"/>
  <c r="AE2981" i="9"/>
  <c r="AE3054" i="9"/>
  <c r="AE2516" i="9"/>
  <c r="AE2613" i="9"/>
  <c r="AT30" i="15"/>
  <c r="AU30" i="15" s="1"/>
  <c r="AT15" i="15"/>
  <c r="AU15" i="15" s="1"/>
  <c r="AV15" i="15" s="1"/>
  <c r="AT14" i="15"/>
  <c r="AU14" i="15" s="1"/>
  <c r="AV14" i="15" s="1"/>
  <c r="AT23" i="15"/>
  <c r="AU23" i="15" s="1"/>
  <c r="AT31" i="15"/>
  <c r="AU31" i="15" s="1"/>
  <c r="AV31" i="15" s="1"/>
  <c r="AT27" i="15"/>
  <c r="AU27" i="15" s="1"/>
  <c r="AU33" i="15"/>
  <c r="AV33" i="15" s="1"/>
  <c r="AT22" i="15"/>
  <c r="AU22" i="15" s="1"/>
  <c r="AT16" i="15"/>
  <c r="AU16" i="15" s="1"/>
  <c r="AV16" i="15" s="1"/>
  <c r="AV34" i="15" s="1"/>
  <c r="AV35" i="15" s="1"/>
  <c r="AT32" i="15"/>
  <c r="AU32" i="15" s="1"/>
  <c r="AV32" i="15" s="1"/>
  <c r="AE2609" i="9"/>
  <c r="U2611" i="9"/>
  <c r="AE2585" i="9"/>
  <c r="AE2560" i="9"/>
  <c r="AE2537" i="9"/>
  <c r="AE2539" i="9"/>
  <c r="AE2514" i="9"/>
  <c r="AE3053" i="9"/>
  <c r="AE3050" i="9"/>
  <c r="X3058" i="9"/>
  <c r="AE2958" i="9"/>
  <c r="AA2965" i="9"/>
  <c r="AA2851" i="9"/>
  <c r="AE2798" i="9"/>
  <c r="AA2782" i="9"/>
  <c r="AA2759" i="9"/>
  <c r="AE2683" i="9"/>
  <c r="AA3080" i="9"/>
  <c r="AE3072" i="9"/>
  <c r="AE3073" i="9"/>
  <c r="X3080" i="9"/>
  <c r="AA3049" i="9"/>
  <c r="AA3026" i="9"/>
  <c r="AA3003" i="9"/>
  <c r="AE2980" i="9"/>
  <c r="AA2988" i="9"/>
  <c r="X2988" i="9"/>
  <c r="AD2958" i="9"/>
  <c r="AE2934" i="9"/>
  <c r="AA2940" i="9"/>
  <c r="X2940" i="9"/>
  <c r="AE2913" i="9"/>
  <c r="AA2920" i="9"/>
  <c r="AA2889" i="9"/>
  <c r="AE2866" i="9"/>
  <c r="AA2874" i="9"/>
  <c r="X2874" i="9"/>
  <c r="AE2843" i="9"/>
  <c r="AD2822" i="9"/>
  <c r="AA2797" i="9"/>
  <c r="AE2774" i="9"/>
  <c r="AA2728" i="9"/>
  <c r="AA2713" i="9"/>
  <c r="X2713" i="9"/>
  <c r="AA2689" i="9"/>
  <c r="X2689" i="9"/>
  <c r="AA2667" i="9"/>
  <c r="X2667" i="9"/>
  <c r="AE2636" i="9"/>
  <c r="AA2643" i="9"/>
  <c r="X2643" i="9"/>
  <c r="R12" i="5"/>
  <c r="E43" i="5"/>
  <c r="G43" i="5" s="1"/>
  <c r="H67" i="5" s="1"/>
  <c r="E42" i="5"/>
  <c r="Q42" i="5" s="1"/>
  <c r="S42" i="5" s="1"/>
  <c r="E41" i="5"/>
  <c r="E40" i="5"/>
  <c r="E39" i="5"/>
  <c r="G39" i="5" s="1"/>
  <c r="H63" i="5" s="1"/>
  <c r="E38" i="5"/>
  <c r="E37" i="5"/>
  <c r="Q37" i="5" s="1"/>
  <c r="E36" i="5"/>
  <c r="Q36" i="5" s="1"/>
  <c r="E35" i="5"/>
  <c r="Q35" i="5" s="1"/>
  <c r="E34" i="5"/>
  <c r="E33" i="5"/>
  <c r="Q33" i="5" s="1"/>
  <c r="E32" i="5"/>
  <c r="E31" i="5"/>
  <c r="E30" i="5"/>
  <c r="N17" i="17" l="1"/>
  <c r="AH17" i="17" s="1"/>
  <c r="AS16" i="17" s="1"/>
  <c r="Y16" i="17"/>
  <c r="T81" i="12"/>
  <c r="AV42" i="15"/>
  <c r="AV43" i="15" s="1"/>
  <c r="Y307" i="12"/>
  <c r="Z307" i="12" s="1"/>
  <c r="AA307" i="12" s="1"/>
  <c r="AB307" i="12" s="1"/>
  <c r="AC307" i="12" s="1"/>
  <c r="BG2294" i="9"/>
  <c r="BG2200" i="9"/>
  <c r="BD2202" i="9" s="1"/>
  <c r="BD2207" i="9" s="1"/>
  <c r="BD2208" i="9" s="1"/>
  <c r="BD2209" i="9" s="1"/>
  <c r="V21" i="12" s="1"/>
  <c r="W21" i="12" s="1"/>
  <c r="X21" i="12" s="1"/>
  <c r="Y21" i="12" s="1"/>
  <c r="Z21" i="12" s="1"/>
  <c r="BC2225" i="9"/>
  <c r="BG2218" i="9"/>
  <c r="AE2713" i="9"/>
  <c r="AA2828" i="9"/>
  <c r="AE2940" i="9"/>
  <c r="AB2942" i="9" s="1"/>
  <c r="AB2947" i="9" s="1"/>
  <c r="AB2948" i="9" s="1"/>
  <c r="AB2949" i="9" s="1"/>
  <c r="AD2942" i="9" s="1"/>
  <c r="X104" i="15" s="1"/>
  <c r="AE2759" i="9"/>
  <c r="AE2667" i="9"/>
  <c r="AE2782" i="9"/>
  <c r="AE2988" i="9"/>
  <c r="AE2689" i="9"/>
  <c r="AE2643" i="9"/>
  <c r="AE2828" i="9"/>
  <c r="AE2965" i="9"/>
  <c r="AE2920" i="9"/>
  <c r="AE2851" i="9"/>
  <c r="AE2874" i="9"/>
  <c r="AE3080" i="9"/>
  <c r="AE3049" i="9"/>
  <c r="AE3058" i="9" s="1"/>
  <c r="AA3058" i="9"/>
  <c r="AE3026" i="9"/>
  <c r="AE3032" i="9" s="1"/>
  <c r="AA3032" i="9"/>
  <c r="AE3003" i="9"/>
  <c r="AE3009" i="9" s="1"/>
  <c r="AA3009" i="9"/>
  <c r="AE2889" i="9"/>
  <c r="AE2897" i="9" s="1"/>
  <c r="AA2897" i="9"/>
  <c r="AE2797" i="9"/>
  <c r="AE2803" i="9" s="1"/>
  <c r="AA2803" i="9"/>
  <c r="AE2728" i="9"/>
  <c r="G36" i="5"/>
  <c r="H60" i="5" s="1"/>
  <c r="G37" i="5"/>
  <c r="H61" i="5" s="1"/>
  <c r="G42" i="5"/>
  <c r="H66" i="5" s="1"/>
  <c r="O66" i="5"/>
  <c r="N66" i="5"/>
  <c r="P66" i="5" s="1"/>
  <c r="N86" i="5" s="1"/>
  <c r="U66" i="5"/>
  <c r="P86" i="5" s="1"/>
  <c r="F66" i="5"/>
  <c r="E66" i="5"/>
  <c r="G66" i="5" s="1"/>
  <c r="Z39" i="5"/>
  <c r="O57" i="5"/>
  <c r="F57" i="5"/>
  <c r="E57" i="5"/>
  <c r="G57" i="5" s="1"/>
  <c r="N57" i="5"/>
  <c r="U57" i="5"/>
  <c r="P77" i="5" s="1"/>
  <c r="R35" i="5"/>
  <c r="O59" i="5"/>
  <c r="N59" i="5"/>
  <c r="U59" i="5"/>
  <c r="P79" i="5" s="1"/>
  <c r="F59" i="5"/>
  <c r="E59" i="5"/>
  <c r="G59" i="5" s="1"/>
  <c r="E60" i="5"/>
  <c r="G60" i="5" s="1"/>
  <c r="U60" i="5"/>
  <c r="P80" i="5" s="1"/>
  <c r="O60" i="5"/>
  <c r="N60" i="5"/>
  <c r="F60" i="5"/>
  <c r="S37" i="5"/>
  <c r="F61" i="5"/>
  <c r="O61" i="5"/>
  <c r="N61" i="5"/>
  <c r="P61" i="5" s="1"/>
  <c r="N81" i="5" s="1"/>
  <c r="E61" i="5"/>
  <c r="G61" i="5" s="1"/>
  <c r="U61" i="5"/>
  <c r="P81" i="5" s="1"/>
  <c r="G35" i="5"/>
  <c r="H59" i="5" s="1"/>
  <c r="Q31" i="5"/>
  <c r="R31" i="5" s="1"/>
  <c r="G38" i="5"/>
  <c r="H62" i="5" s="1"/>
  <c r="Q38" i="5"/>
  <c r="S38" i="5" s="1"/>
  <c r="Q39" i="5"/>
  <c r="G32" i="5"/>
  <c r="H56" i="5" s="1"/>
  <c r="Q32" i="5"/>
  <c r="G40" i="5"/>
  <c r="H64" i="5" s="1"/>
  <c r="Q40" i="5"/>
  <c r="S40" i="5" s="1"/>
  <c r="Q41" i="5"/>
  <c r="Q34" i="5"/>
  <c r="R34" i="5" s="1"/>
  <c r="Q43" i="5"/>
  <c r="R43" i="5" s="1"/>
  <c r="G30" i="5"/>
  <c r="H54" i="5" s="1"/>
  <c r="Q30" i="5"/>
  <c r="G31" i="5"/>
  <c r="H55" i="5" s="1"/>
  <c r="G33" i="5"/>
  <c r="H57" i="5" s="1"/>
  <c r="G41" i="5"/>
  <c r="H65" i="5" s="1"/>
  <c r="G34" i="5"/>
  <c r="H58" i="5" s="1"/>
  <c r="S35" i="5"/>
  <c r="R36" i="5"/>
  <c r="S36" i="5"/>
  <c r="S33" i="5"/>
  <c r="R37" i="5"/>
  <c r="R42" i="5"/>
  <c r="V42" i="5" s="1"/>
  <c r="W42" i="5" s="1"/>
  <c r="M86" i="5" s="1"/>
  <c r="R33" i="5"/>
  <c r="N24" i="12" l="1"/>
  <c r="O24" i="12" s="1"/>
  <c r="P24" i="12" s="1"/>
  <c r="Q24" i="12" s="1"/>
  <c r="R24" i="12" s="1"/>
  <c r="BD2296" i="9"/>
  <c r="BD2301" i="9" s="1"/>
  <c r="BD2302" i="9" s="1"/>
  <c r="BD2303" i="9" s="1"/>
  <c r="V24" i="12" s="1"/>
  <c r="W24" i="12" s="1"/>
  <c r="X24" i="12" s="1"/>
  <c r="Y24" i="12" s="1"/>
  <c r="Z24" i="12" s="1"/>
  <c r="AB2691" i="9"/>
  <c r="AB2696" i="9" s="1"/>
  <c r="AB2697" i="9" s="1"/>
  <c r="AB2698" i="9" s="1"/>
  <c r="AD2691" i="9" s="1"/>
  <c r="X82" i="15" s="1"/>
  <c r="AB2899" i="9"/>
  <c r="AB2904" i="9" s="1"/>
  <c r="AB2905" i="9" s="1"/>
  <c r="AB2906" i="9" s="1"/>
  <c r="AD2899" i="9" s="1"/>
  <c r="X100" i="15" s="1"/>
  <c r="AD75" i="15"/>
  <c r="V65" i="15"/>
  <c r="V66" i="15" s="1"/>
  <c r="Z16" i="17"/>
  <c r="O17" i="17"/>
  <c r="AI17" i="17" s="1"/>
  <c r="AT16" i="17" s="1"/>
  <c r="U81" i="12"/>
  <c r="AB2715" i="9"/>
  <c r="AB2720" i="9" s="1"/>
  <c r="AB2721" i="9" s="1"/>
  <c r="AB2722" i="9" s="1"/>
  <c r="AD2715" i="9" s="1"/>
  <c r="X84" i="15" s="1"/>
  <c r="AB2669" i="9"/>
  <c r="AB2805" i="9"/>
  <c r="AB2810" i="9" s="1"/>
  <c r="AB2811" i="9" s="1"/>
  <c r="AB2812" i="9" s="1"/>
  <c r="AD2805" i="9" s="1"/>
  <c r="X92" i="15" s="1"/>
  <c r="AB2645" i="9"/>
  <c r="AB2650" i="9" s="1"/>
  <c r="AB2651" i="9" s="1"/>
  <c r="AB2652" i="9" s="1"/>
  <c r="AD2645" i="9" s="1"/>
  <c r="X78" i="15" s="1"/>
  <c r="AB2853" i="9"/>
  <c r="AB2858" i="9" s="1"/>
  <c r="AB2859" i="9" s="1"/>
  <c r="AB2860" i="9" s="1"/>
  <c r="AD2853" i="9" s="1"/>
  <c r="X96" i="15" s="1"/>
  <c r="AB3011" i="9"/>
  <c r="AB3016" i="9" s="1"/>
  <c r="AB3017" i="9" s="1"/>
  <c r="AB3018" i="9" s="1"/>
  <c r="AD3011" i="9" s="1"/>
  <c r="X110" i="15" s="1"/>
  <c r="AB3060" i="9"/>
  <c r="AB3065" i="9" s="1"/>
  <c r="AB3066" i="9" s="1"/>
  <c r="AB3067" i="9" s="1"/>
  <c r="AD3060" i="9" s="1"/>
  <c r="X114" i="15" s="1"/>
  <c r="AB2784" i="9"/>
  <c r="AB2789" i="9" s="1"/>
  <c r="AB2790" i="9" s="1"/>
  <c r="AB2791" i="9" s="1"/>
  <c r="AD2784" i="9" s="1"/>
  <c r="X90" i="15" s="1"/>
  <c r="AB2761" i="9"/>
  <c r="AB2766" i="9" s="1"/>
  <c r="AB2767" i="9" s="1"/>
  <c r="AB2768" i="9" s="1"/>
  <c r="AD2761" i="9" s="1"/>
  <c r="X88" i="15" s="1"/>
  <c r="E175" i="12"/>
  <c r="F175" i="12" s="1"/>
  <c r="G175" i="12" s="1"/>
  <c r="H175" i="12" s="1"/>
  <c r="I175" i="12" s="1"/>
  <c r="AB3082" i="9"/>
  <c r="AB3087" i="9" s="1"/>
  <c r="AB3088" i="9" s="1"/>
  <c r="AB3089" i="9" s="1"/>
  <c r="AB3034" i="9"/>
  <c r="AB3039" i="9" s="1"/>
  <c r="AB3040" i="9" s="1"/>
  <c r="AB3041" i="9" s="1"/>
  <c r="AB2967" i="9"/>
  <c r="AB2972" i="9" s="1"/>
  <c r="AB2973" i="9" s="1"/>
  <c r="AB2974" i="9" s="1"/>
  <c r="AB2830" i="9"/>
  <c r="AB2835" i="9" s="1"/>
  <c r="AB2836" i="9" s="1"/>
  <c r="AB2837" i="9" s="1"/>
  <c r="AB2990" i="9"/>
  <c r="AB2995" i="9" s="1"/>
  <c r="AB2996" i="9" s="1"/>
  <c r="AB2997" i="9" s="1"/>
  <c r="AB2876" i="9"/>
  <c r="AB2881" i="9" s="1"/>
  <c r="AB2882" i="9" s="1"/>
  <c r="AB2883" i="9" s="1"/>
  <c r="AB2922" i="9"/>
  <c r="AB2927" i="9" s="1"/>
  <c r="AB2928" i="9" s="1"/>
  <c r="AB2929" i="9" s="1"/>
  <c r="N21" i="12"/>
  <c r="O21" i="12" s="1"/>
  <c r="P21" i="12" s="1"/>
  <c r="Q21" i="12" s="1"/>
  <c r="R21" i="12" s="1"/>
  <c r="BG2225" i="9"/>
  <c r="V35" i="5"/>
  <c r="W35" i="5" s="1"/>
  <c r="M79" i="5" s="1"/>
  <c r="P60" i="5"/>
  <c r="N80" i="5" s="1"/>
  <c r="P59" i="5"/>
  <c r="N79" i="5" s="1"/>
  <c r="V37" i="5"/>
  <c r="W37" i="5" s="1"/>
  <c r="M81" i="5" s="1"/>
  <c r="I66" i="5"/>
  <c r="O86" i="5" s="1"/>
  <c r="Q86" i="5" s="1"/>
  <c r="Z35" i="5"/>
  <c r="AB35" i="5" s="1"/>
  <c r="Z34" i="5"/>
  <c r="AB34" i="5" s="1"/>
  <c r="I60" i="5"/>
  <c r="O80" i="5" s="1"/>
  <c r="Z37" i="5"/>
  <c r="I57" i="5"/>
  <c r="O77" i="5" s="1"/>
  <c r="Z38" i="5"/>
  <c r="AB38" i="5" s="1"/>
  <c r="P57" i="5"/>
  <c r="N77" i="5" s="1"/>
  <c r="Z36" i="5"/>
  <c r="AB36" i="5" s="1"/>
  <c r="R30" i="5"/>
  <c r="E54" i="5"/>
  <c r="U54" i="5"/>
  <c r="P74" i="5" s="1"/>
  <c r="N54" i="5"/>
  <c r="F54" i="5"/>
  <c r="O54" i="5"/>
  <c r="R32" i="5"/>
  <c r="F56" i="5"/>
  <c r="N56" i="5"/>
  <c r="E56" i="5"/>
  <c r="O56" i="5"/>
  <c r="U56" i="5"/>
  <c r="P76" i="5" s="1"/>
  <c r="S39" i="5"/>
  <c r="E63" i="5"/>
  <c r="G63" i="5" s="1"/>
  <c r="U63" i="5"/>
  <c r="P83" i="5" s="1"/>
  <c r="F63" i="5"/>
  <c r="O63" i="5"/>
  <c r="N63" i="5"/>
  <c r="P63" i="5" s="1"/>
  <c r="N83" i="5" s="1"/>
  <c r="S34" i="5"/>
  <c r="V34" i="5" s="1"/>
  <c r="W34" i="5" s="1"/>
  <c r="M78" i="5" s="1"/>
  <c r="U58" i="5"/>
  <c r="P78" i="5" s="1"/>
  <c r="O58" i="5"/>
  <c r="F58" i="5"/>
  <c r="N58" i="5"/>
  <c r="E58" i="5"/>
  <c r="G58" i="5" s="1"/>
  <c r="S41" i="5"/>
  <c r="F65" i="5"/>
  <c r="E65" i="5"/>
  <c r="G65" i="5" s="1"/>
  <c r="I65" i="5" s="1"/>
  <c r="O85" i="5" s="1"/>
  <c r="N65" i="5"/>
  <c r="U65" i="5"/>
  <c r="P85" i="5" s="1"/>
  <c r="O65" i="5"/>
  <c r="Z33" i="5"/>
  <c r="I59" i="5"/>
  <c r="O79" i="5" s="1"/>
  <c r="S43" i="5"/>
  <c r="V43" i="5" s="1"/>
  <c r="W43" i="5" s="1"/>
  <c r="M87" i="5" s="1"/>
  <c r="E67" i="5"/>
  <c r="G67" i="5" s="1"/>
  <c r="F67" i="5"/>
  <c r="O67" i="5"/>
  <c r="N67" i="5"/>
  <c r="U67" i="5"/>
  <c r="P87" i="5" s="1"/>
  <c r="R38" i="5"/>
  <c r="V38" i="5" s="1"/>
  <c r="W38" i="5" s="1"/>
  <c r="M82" i="5" s="1"/>
  <c r="O62" i="5"/>
  <c r="F62" i="5"/>
  <c r="E62" i="5"/>
  <c r="G62" i="5" s="1"/>
  <c r="N62" i="5"/>
  <c r="U62" i="5"/>
  <c r="P82" i="5" s="1"/>
  <c r="F64" i="5"/>
  <c r="E64" i="5"/>
  <c r="G64" i="5" s="1"/>
  <c r="O64" i="5"/>
  <c r="U64" i="5"/>
  <c r="P84" i="5" s="1"/>
  <c r="N64" i="5"/>
  <c r="S31" i="5"/>
  <c r="V31" i="5" s="1"/>
  <c r="W31" i="5" s="1"/>
  <c r="M75" i="5" s="1"/>
  <c r="U55" i="5"/>
  <c r="P75" i="5" s="1"/>
  <c r="F55" i="5"/>
  <c r="E55" i="5"/>
  <c r="G55" i="5" s="1"/>
  <c r="O55" i="5"/>
  <c r="N55" i="5"/>
  <c r="I61" i="5"/>
  <c r="O81" i="5" s="1"/>
  <c r="S32" i="5"/>
  <c r="R39" i="5"/>
  <c r="AB39" i="5"/>
  <c r="AC39" i="5"/>
  <c r="R41" i="5"/>
  <c r="R40" i="5"/>
  <c r="V40" i="5" s="1"/>
  <c r="W40" i="5" s="1"/>
  <c r="M84" i="5" s="1"/>
  <c r="S30" i="5"/>
  <c r="V36" i="5"/>
  <c r="W36" i="5" s="1"/>
  <c r="M80" i="5" s="1"/>
  <c r="V33" i="5"/>
  <c r="W33" i="5" s="1"/>
  <c r="M77" i="5" s="1"/>
  <c r="AB2674" i="9" l="1"/>
  <c r="AB2675" i="9" s="1"/>
  <c r="AB2676" i="9" s="1"/>
  <c r="E173" i="12"/>
  <c r="F173" i="12" s="1"/>
  <c r="G173" i="12" s="1"/>
  <c r="H173" i="12" s="1"/>
  <c r="I173" i="12" s="1"/>
  <c r="N23" i="12"/>
  <c r="O23" i="12" s="1"/>
  <c r="P23" i="12" s="1"/>
  <c r="Q23" i="12" s="1"/>
  <c r="R23" i="12" s="1"/>
  <c r="BD2227" i="9"/>
  <c r="BD2232" i="9" s="1"/>
  <c r="BD2233" i="9" s="1"/>
  <c r="BD2234" i="9" s="1"/>
  <c r="V23" i="12" s="1"/>
  <c r="W23" i="12" s="1"/>
  <c r="X23" i="12" s="1"/>
  <c r="Y23" i="12" s="1"/>
  <c r="Z23" i="12" s="1"/>
  <c r="E164" i="12"/>
  <c r="F164" i="12" s="1"/>
  <c r="G164" i="12" s="1"/>
  <c r="H164" i="12" s="1"/>
  <c r="I164" i="12" s="1"/>
  <c r="V72" i="15"/>
  <c r="V67" i="15"/>
  <c r="Q79" i="5"/>
  <c r="Q80" i="12"/>
  <c r="AA16" i="17"/>
  <c r="P17" i="17"/>
  <c r="AJ17" i="17" s="1"/>
  <c r="AU16" i="17" s="1"/>
  <c r="V71" i="15"/>
  <c r="V68" i="15"/>
  <c r="V70" i="15"/>
  <c r="V69" i="15"/>
  <c r="E178" i="12"/>
  <c r="F178" i="12" s="1"/>
  <c r="G178" i="12" s="1"/>
  <c r="H178" i="12" s="1"/>
  <c r="I178" i="12" s="1"/>
  <c r="E165" i="12"/>
  <c r="F165" i="12" s="1"/>
  <c r="G165" i="12" s="1"/>
  <c r="H165" i="12" s="1"/>
  <c r="I165" i="12" s="1"/>
  <c r="E169" i="12"/>
  <c r="F169" i="12" s="1"/>
  <c r="G169" i="12" s="1"/>
  <c r="H169" i="12" s="1"/>
  <c r="I169" i="12" s="1"/>
  <c r="E180" i="12"/>
  <c r="F180" i="12" s="1"/>
  <c r="G180" i="12" s="1"/>
  <c r="H180" i="12" s="1"/>
  <c r="I180" i="12" s="1"/>
  <c r="E171" i="12"/>
  <c r="F171" i="12" s="1"/>
  <c r="G171" i="12" s="1"/>
  <c r="H171" i="12" s="1"/>
  <c r="I171" i="12" s="1"/>
  <c r="E162" i="12"/>
  <c r="F162" i="12" s="1"/>
  <c r="G162" i="12" s="1"/>
  <c r="H162" i="12" s="1"/>
  <c r="I162" i="12" s="1"/>
  <c r="E168" i="12"/>
  <c r="F168" i="12" s="1"/>
  <c r="G168" i="12" s="1"/>
  <c r="H168" i="12" s="1"/>
  <c r="I168" i="12" s="1"/>
  <c r="E167" i="12"/>
  <c r="F167" i="12" s="1"/>
  <c r="G167" i="12" s="1"/>
  <c r="H167" i="12" s="1"/>
  <c r="I167" i="12" s="1"/>
  <c r="E176" i="12"/>
  <c r="F176" i="12" s="1"/>
  <c r="G176" i="12" s="1"/>
  <c r="H176" i="12" s="1"/>
  <c r="I176" i="12" s="1"/>
  <c r="AD2967" i="9"/>
  <c r="X106" i="15" s="1"/>
  <c r="E179" i="12"/>
  <c r="F179" i="12" s="1"/>
  <c r="G179" i="12" s="1"/>
  <c r="H179" i="12" s="1"/>
  <c r="I179" i="12" s="1"/>
  <c r="AD3034" i="9"/>
  <c r="X112" i="15" s="1"/>
  <c r="E181" i="12"/>
  <c r="F181" i="12" s="1"/>
  <c r="G181" i="12" s="1"/>
  <c r="H181" i="12" s="1"/>
  <c r="I181" i="12" s="1"/>
  <c r="AD3082" i="9"/>
  <c r="X116" i="15" s="1"/>
  <c r="E174" i="12"/>
  <c r="F174" i="12" s="1"/>
  <c r="G174" i="12" s="1"/>
  <c r="H174" i="12" s="1"/>
  <c r="I174" i="12" s="1"/>
  <c r="AD2922" i="9"/>
  <c r="X102" i="15" s="1"/>
  <c r="E172" i="12"/>
  <c r="F172" i="12" s="1"/>
  <c r="G172" i="12" s="1"/>
  <c r="H172" i="12" s="1"/>
  <c r="I172" i="12" s="1"/>
  <c r="AD2876" i="9"/>
  <c r="X98" i="15" s="1"/>
  <c r="E177" i="12"/>
  <c r="F177" i="12" s="1"/>
  <c r="G177" i="12" s="1"/>
  <c r="H177" i="12" s="1"/>
  <c r="I177" i="12" s="1"/>
  <c r="AD2990" i="9"/>
  <c r="X108" i="15" s="1"/>
  <c r="E170" i="12"/>
  <c r="F170" i="12" s="1"/>
  <c r="G170" i="12" s="1"/>
  <c r="H170" i="12" s="1"/>
  <c r="I170" i="12" s="1"/>
  <c r="AD2830" i="9"/>
  <c r="X94" i="15" s="1"/>
  <c r="I55" i="5"/>
  <c r="O75" i="5" s="1"/>
  <c r="AC35" i="5"/>
  <c r="I62" i="5"/>
  <c r="O82" i="5" s="1"/>
  <c r="Q81" i="5"/>
  <c r="Q77" i="5"/>
  <c r="Q80" i="5"/>
  <c r="V41" i="5"/>
  <c r="W41" i="5" s="1"/>
  <c r="M85" i="5" s="1"/>
  <c r="P67" i="5"/>
  <c r="N87" i="5" s="1"/>
  <c r="V39" i="5"/>
  <c r="W39" i="5" s="1"/>
  <c r="M83" i="5" s="1"/>
  <c r="AC34" i="5"/>
  <c r="AC36" i="5"/>
  <c r="AC38" i="5"/>
  <c r="V30" i="5"/>
  <c r="W30" i="5" s="1"/>
  <c r="M74" i="5" s="1"/>
  <c r="AC37" i="5"/>
  <c r="P55" i="5"/>
  <c r="N75" i="5" s="1"/>
  <c r="P58" i="5"/>
  <c r="N78" i="5" s="1"/>
  <c r="V32" i="5"/>
  <c r="W32" i="5" s="1"/>
  <c r="M76" i="5" s="1"/>
  <c r="AB37" i="5"/>
  <c r="I64" i="5"/>
  <c r="O84" i="5" s="1"/>
  <c r="I63" i="5"/>
  <c r="O83" i="5" s="1"/>
  <c r="P54" i="5"/>
  <c r="N74" i="5" s="1"/>
  <c r="I67" i="5"/>
  <c r="O87" i="5" s="1"/>
  <c r="G56" i="5"/>
  <c r="I56" i="5" s="1"/>
  <c r="O76" i="5" s="1"/>
  <c r="AC33" i="5"/>
  <c r="P64" i="5"/>
  <c r="N84" i="5" s="1"/>
  <c r="Q84" i="5" s="1"/>
  <c r="P56" i="5"/>
  <c r="N76" i="5" s="1"/>
  <c r="P65" i="5"/>
  <c r="N85" i="5" s="1"/>
  <c r="P62" i="5"/>
  <c r="N82" i="5" s="1"/>
  <c r="Q82" i="5" s="1"/>
  <c r="G54" i="5"/>
  <c r="I54" i="5" s="1"/>
  <c r="O74" i="5" s="1"/>
  <c r="AB33" i="5"/>
  <c r="I58" i="5"/>
  <c r="O78" i="5" s="1"/>
  <c r="R3003" i="9"/>
  <c r="S3003" i="9" s="1"/>
  <c r="N2709" i="9"/>
  <c r="N2708" i="9"/>
  <c r="N2707" i="9"/>
  <c r="M95" i="4"/>
  <c r="K77" i="4"/>
  <c r="P3241" i="9"/>
  <c r="P2734" i="9"/>
  <c r="S2729" i="9"/>
  <c r="R2820" i="9"/>
  <c r="S2820" i="9" s="1"/>
  <c r="T2820" i="9" s="1"/>
  <c r="R3164" i="9"/>
  <c r="S3164" i="9" s="1"/>
  <c r="R3262" i="9"/>
  <c r="S3262" i="9" s="1"/>
  <c r="R3283" i="9"/>
  <c r="S3283" i="9" s="1"/>
  <c r="T3283" i="9" s="1"/>
  <c r="R3284" i="9"/>
  <c r="S3284" i="9" s="1"/>
  <c r="R3261" i="9"/>
  <c r="S3261" i="9" s="1"/>
  <c r="R3239" i="9"/>
  <c r="S3239" i="9" s="1"/>
  <c r="T3239" i="9" s="1"/>
  <c r="R3215" i="9"/>
  <c r="S3215" i="9" s="1"/>
  <c r="R3095" i="9"/>
  <c r="S3095" i="9" s="1"/>
  <c r="R3073" i="9"/>
  <c r="S3073" i="9" s="1"/>
  <c r="T3073" i="9" s="1"/>
  <c r="R3075" i="9"/>
  <c r="S3075" i="9" s="1"/>
  <c r="T3075" i="9" s="1"/>
  <c r="R3076" i="9"/>
  <c r="S3076" i="9" s="1"/>
  <c r="T3076" i="9" s="1"/>
  <c r="R3054" i="9"/>
  <c r="S3054" i="9" s="1"/>
  <c r="T3054" i="9" s="1"/>
  <c r="R3053" i="9"/>
  <c r="S3053" i="9" s="1"/>
  <c r="T3053" i="9" s="1"/>
  <c r="R3052" i="9"/>
  <c r="S3052" i="9" s="1"/>
  <c r="T3052" i="9" s="1"/>
  <c r="R3051" i="9"/>
  <c r="S3051" i="9" s="1"/>
  <c r="T3051" i="9" s="1"/>
  <c r="R3050" i="9"/>
  <c r="S3050" i="9" s="1"/>
  <c r="R3049" i="9"/>
  <c r="S3049" i="9" s="1"/>
  <c r="R3028" i="9"/>
  <c r="S3028" i="9" s="1"/>
  <c r="R3027" i="9"/>
  <c r="S3027" i="9" s="1"/>
  <c r="T3027" i="9" s="1"/>
  <c r="R3026" i="9"/>
  <c r="S3026" i="9" s="1"/>
  <c r="T3026" i="9" s="1"/>
  <c r="R3004" i="9"/>
  <c r="S3004" i="9" s="1"/>
  <c r="R2980" i="9"/>
  <c r="S2980" i="9" s="1"/>
  <c r="R2981" i="9"/>
  <c r="S2981" i="9" s="1"/>
  <c r="R2982" i="9"/>
  <c r="S2982" i="9" s="1"/>
  <c r="T2982" i="9" s="1"/>
  <c r="R2960" i="9"/>
  <c r="S2960" i="9" s="1"/>
  <c r="R2935" i="9"/>
  <c r="S2935" i="9" s="1"/>
  <c r="R2913" i="9"/>
  <c r="S2913" i="9" s="1"/>
  <c r="R2912" i="9"/>
  <c r="S2912" i="9" s="1"/>
  <c r="R2892" i="9"/>
  <c r="S2892" i="9" s="1"/>
  <c r="T2892" i="9" s="1"/>
  <c r="R2891" i="9"/>
  <c r="S2891" i="9" s="1"/>
  <c r="R2868" i="9"/>
  <c r="S2868" i="9" s="1"/>
  <c r="T2868" i="9" s="1"/>
  <c r="R2867" i="9"/>
  <c r="S2867" i="9" s="1"/>
  <c r="T2867" i="9" s="1"/>
  <c r="R2866" i="9"/>
  <c r="S2866" i="9" s="1"/>
  <c r="R2846" i="9"/>
  <c r="S2846" i="9" s="1"/>
  <c r="R2844" i="9"/>
  <c r="S2844" i="9" s="1"/>
  <c r="R2822" i="9"/>
  <c r="S2822" i="9" s="1"/>
  <c r="T2822" i="9" s="1"/>
  <c r="R2798" i="9"/>
  <c r="S2798" i="9" s="1"/>
  <c r="R2797" i="9"/>
  <c r="S2797" i="9" s="1"/>
  <c r="T2797" i="9" s="1"/>
  <c r="R2777" i="9"/>
  <c r="S2777" i="9" s="1"/>
  <c r="R2776" i="9"/>
  <c r="S2776" i="9" s="1"/>
  <c r="T2776" i="9" s="1"/>
  <c r="R2774" i="9"/>
  <c r="S2774" i="9" s="1"/>
  <c r="R2751" i="9"/>
  <c r="S2751" i="9" s="1"/>
  <c r="R2728" i="9"/>
  <c r="S2728" i="9" s="1"/>
  <c r="R2705" i="9"/>
  <c r="S2705" i="9" s="1"/>
  <c r="R2683" i="9"/>
  <c r="S2683" i="9" s="1"/>
  <c r="R2661" i="9"/>
  <c r="S2661" i="9" s="1"/>
  <c r="T2661" i="9" s="1"/>
  <c r="R2659" i="9"/>
  <c r="S2659" i="9" s="1"/>
  <c r="R2637" i="9"/>
  <c r="S2637" i="9" s="1"/>
  <c r="T2637" i="9" s="1"/>
  <c r="R2636" i="9"/>
  <c r="S2636" i="9" s="1"/>
  <c r="R2635" i="9"/>
  <c r="S2635" i="9" s="1"/>
  <c r="AL2587" i="9"/>
  <c r="AM2587" i="9" s="1"/>
  <c r="AL2585" i="9"/>
  <c r="AM2585" i="9" s="1"/>
  <c r="AN2585" i="9" s="1"/>
  <c r="AL2584" i="9"/>
  <c r="AM2584" i="9" s="1"/>
  <c r="R2584" i="9"/>
  <c r="S2584" i="9" s="1"/>
  <c r="T2584" i="9" s="1"/>
  <c r="N2587" i="9"/>
  <c r="N2586" i="9"/>
  <c r="AK2584" i="9"/>
  <c r="R2586" i="9"/>
  <c r="S2586" i="9" s="1"/>
  <c r="T2586" i="9" s="1"/>
  <c r="R2585" i="9"/>
  <c r="S2585" i="9" s="1"/>
  <c r="BF2564" i="9"/>
  <c r="BG2564" i="9" s="1"/>
  <c r="BH2564" i="9" s="1"/>
  <c r="BF2563" i="9"/>
  <c r="BG2563" i="9" s="1"/>
  <c r="BH2563" i="9" s="1"/>
  <c r="BF2562" i="9"/>
  <c r="BG2562" i="9" s="1"/>
  <c r="BF2561" i="9"/>
  <c r="BG2561" i="9" s="1"/>
  <c r="BH2561" i="9" s="1"/>
  <c r="BF2560" i="9"/>
  <c r="BG2560" i="9" s="1"/>
  <c r="BH2560" i="9" s="1"/>
  <c r="AV2564" i="9"/>
  <c r="AW2564" i="9" s="1"/>
  <c r="AX2564" i="9" s="1"/>
  <c r="AV2561" i="9"/>
  <c r="AW2561" i="9" s="1"/>
  <c r="R2539" i="9"/>
  <c r="S2539" i="9" s="1"/>
  <c r="R2538" i="9"/>
  <c r="S2538" i="9" s="1"/>
  <c r="T2538" i="9" s="1"/>
  <c r="R2537" i="9"/>
  <c r="S2537" i="9" s="1"/>
  <c r="T2537" i="9" s="1"/>
  <c r="BF2495" i="9"/>
  <c r="BG2495" i="9" s="1"/>
  <c r="BH2495" i="9" s="1"/>
  <c r="BF2494" i="9"/>
  <c r="BG2494" i="9" s="1"/>
  <c r="BF2493" i="9"/>
  <c r="BG2493" i="9" s="1"/>
  <c r="BH2493" i="9" s="1"/>
  <c r="BF2492" i="9"/>
  <c r="BG2492" i="9" s="1"/>
  <c r="BH2492" i="9" s="1"/>
  <c r="BF2491" i="9"/>
  <c r="BG2491" i="9" s="1"/>
  <c r="AV2495" i="9"/>
  <c r="AW2495" i="9" s="1"/>
  <c r="AX2495" i="9" s="1"/>
  <c r="AV2492" i="9"/>
  <c r="AW2492" i="9" s="1"/>
  <c r="R2494" i="9"/>
  <c r="S2494" i="9" s="1"/>
  <c r="R2478" i="9"/>
  <c r="S2478" i="9" s="1"/>
  <c r="T2478" i="9" s="1"/>
  <c r="R2475" i="9"/>
  <c r="S2475" i="9" s="1"/>
  <c r="T2475" i="9" s="1"/>
  <c r="R2474" i="9"/>
  <c r="S2474" i="9" s="1"/>
  <c r="T2474" i="9" s="1"/>
  <c r="R2473" i="9"/>
  <c r="S2473" i="9" s="1"/>
  <c r="T2473" i="9" s="1"/>
  <c r="R2472" i="9"/>
  <c r="S2472" i="9" s="1"/>
  <c r="R2470" i="9"/>
  <c r="S2470" i="9" s="1"/>
  <c r="R2469" i="9"/>
  <c r="S2469" i="9" s="1"/>
  <c r="T2469" i="9" s="1"/>
  <c r="R2467" i="9"/>
  <c r="S2467" i="9" s="1"/>
  <c r="T2467" i="9" s="1"/>
  <c r="R2465" i="9"/>
  <c r="S2465" i="9" s="1"/>
  <c r="R2464" i="9"/>
  <c r="S2464" i="9" s="1"/>
  <c r="R2455" i="9"/>
  <c r="S2455" i="9" s="1"/>
  <c r="T2455" i="9" s="1"/>
  <c r="R2453" i="9"/>
  <c r="S2453" i="9" s="1"/>
  <c r="T2453" i="9" s="1"/>
  <c r="R2452" i="9"/>
  <c r="S2452" i="9" s="1"/>
  <c r="T2452" i="9" s="1"/>
  <c r="R2451" i="9"/>
  <c r="S2451" i="9" s="1"/>
  <c r="T2451" i="9" s="1"/>
  <c r="R2449" i="9"/>
  <c r="S2449" i="9" s="1"/>
  <c r="R2448" i="9"/>
  <c r="S2448" i="9" s="1"/>
  <c r="R2445" i="9"/>
  <c r="S2445" i="9" s="1"/>
  <c r="T2445" i="9" s="1"/>
  <c r="R2444" i="9"/>
  <c r="S2444" i="9" s="1"/>
  <c r="T2444" i="9" s="1"/>
  <c r="R2427" i="9"/>
  <c r="S2427" i="9" s="1"/>
  <c r="R2426" i="9"/>
  <c r="S2426" i="9" s="1"/>
  <c r="T2426" i="9" s="1"/>
  <c r="R2425" i="9"/>
  <c r="S2425" i="9" s="1"/>
  <c r="R2424" i="9"/>
  <c r="S2424" i="9" s="1"/>
  <c r="T2424" i="9" s="1"/>
  <c r="R2419" i="9"/>
  <c r="S2419" i="9" s="1"/>
  <c r="R2418" i="9"/>
  <c r="S2418" i="9" s="1"/>
  <c r="R2417" i="9"/>
  <c r="S2417" i="9" s="1"/>
  <c r="R2416" i="9"/>
  <c r="S2416" i="9" s="1"/>
  <c r="T2416" i="9" s="1"/>
  <c r="R2415" i="9"/>
  <c r="S2415" i="9" s="1"/>
  <c r="T2415" i="9" s="1"/>
  <c r="R2405" i="9"/>
  <c r="S2405" i="9" s="1"/>
  <c r="T2405" i="9" s="1"/>
  <c r="R2404" i="9"/>
  <c r="S2404" i="9" s="1"/>
  <c r="T2404" i="9" s="1"/>
  <c r="R2400" i="9"/>
  <c r="S2400" i="9" s="1"/>
  <c r="T2400" i="9" s="1"/>
  <c r="R2399" i="9"/>
  <c r="S2399" i="9" s="1"/>
  <c r="R2398" i="9"/>
  <c r="S2398" i="9" s="1"/>
  <c r="R2397" i="9"/>
  <c r="S2397" i="9" s="1"/>
  <c r="T2397" i="9" s="1"/>
  <c r="R2396" i="9"/>
  <c r="S2396" i="9" s="1"/>
  <c r="T2396" i="9" s="1"/>
  <c r="R2395" i="9"/>
  <c r="S2395" i="9" s="1"/>
  <c r="R2394" i="9"/>
  <c r="S2394" i="9" s="1"/>
  <c r="R2391" i="9"/>
  <c r="S2391" i="9" s="1"/>
  <c r="R2390" i="9"/>
  <c r="S2390" i="9" s="1"/>
  <c r="R2389" i="9"/>
  <c r="S2389" i="9" s="1"/>
  <c r="T2389" i="9" s="1"/>
  <c r="R2388" i="9"/>
  <c r="S2388" i="9" s="1"/>
  <c r="T2388" i="9" s="1"/>
  <c r="R2385" i="9"/>
  <c r="S2385" i="9" s="1"/>
  <c r="T2385" i="9" s="1"/>
  <c r="R2383" i="9"/>
  <c r="S2383" i="9" s="1"/>
  <c r="R2384" i="9"/>
  <c r="S2384" i="9" s="1"/>
  <c r="T2384" i="9" s="1"/>
  <c r="R2373" i="9"/>
  <c r="S2373" i="9" s="1"/>
  <c r="T2373" i="9" s="1"/>
  <c r="R2370" i="9"/>
  <c r="S2370" i="9" s="1"/>
  <c r="T2370" i="9" s="1"/>
  <c r="R2368" i="9"/>
  <c r="S2368" i="9" s="1"/>
  <c r="T2368" i="9" s="1"/>
  <c r="R2367" i="9"/>
  <c r="S2367" i="9" s="1"/>
  <c r="R2366" i="9"/>
  <c r="S2366" i="9" s="1"/>
  <c r="T2366" i="9" s="1"/>
  <c r="R2365" i="9"/>
  <c r="S2365" i="9" s="1"/>
  <c r="T2365" i="9" s="1"/>
  <c r="R2364" i="9"/>
  <c r="S2364" i="9" s="1"/>
  <c r="R2362" i="9"/>
  <c r="S2362" i="9" s="1"/>
  <c r="T2362" i="9" s="1"/>
  <c r="R2361" i="9"/>
  <c r="S2361" i="9" s="1"/>
  <c r="R2355" i="9"/>
  <c r="S2355" i="9" s="1"/>
  <c r="R2354" i="9"/>
  <c r="S2354" i="9" s="1"/>
  <c r="T2354" i="9" s="1"/>
  <c r="R2352" i="9"/>
  <c r="S2352" i="9" s="1"/>
  <c r="T2352" i="9" s="1"/>
  <c r="R2351" i="9"/>
  <c r="S2351" i="9" s="1"/>
  <c r="R2350" i="9"/>
  <c r="S2350" i="9" s="1"/>
  <c r="R2337" i="9"/>
  <c r="S2337" i="9" s="1"/>
  <c r="T2337" i="9" s="1"/>
  <c r="R2338" i="9"/>
  <c r="S2338" i="9" s="1"/>
  <c r="R2339" i="9"/>
  <c r="S2339" i="9" s="1"/>
  <c r="T2339" i="9" s="1"/>
  <c r="R2340" i="9"/>
  <c r="S2340" i="9" s="1"/>
  <c r="T2340" i="9" s="1"/>
  <c r="R2336" i="9"/>
  <c r="S2336" i="9" s="1"/>
  <c r="T2336" i="9" s="1"/>
  <c r="R2331" i="9"/>
  <c r="S2331" i="9" s="1"/>
  <c r="T2331" i="9" s="1"/>
  <c r="R2329" i="9"/>
  <c r="S2329" i="9" s="1"/>
  <c r="R2328" i="9"/>
  <c r="S2328" i="9" s="1"/>
  <c r="T2328" i="9" s="1"/>
  <c r="R2327" i="9"/>
  <c r="S2327" i="9" s="1"/>
  <c r="T2327" i="9" s="1"/>
  <c r="R2326" i="9"/>
  <c r="S2326" i="9" s="1"/>
  <c r="T2326" i="9" s="1"/>
  <c r="R2322" i="9"/>
  <c r="S2322" i="9" s="1"/>
  <c r="R2321" i="9"/>
  <c r="S2321" i="9" s="1"/>
  <c r="T2321" i="9" s="1"/>
  <c r="R2320" i="9"/>
  <c r="S2320" i="9" s="1"/>
  <c r="T2320" i="9" s="1"/>
  <c r="R2318" i="9"/>
  <c r="S2318" i="9" s="1"/>
  <c r="T2318" i="9" s="1"/>
  <c r="R2317" i="9"/>
  <c r="S2317" i="9" s="1"/>
  <c r="T2317" i="9" s="1"/>
  <c r="R2316" i="9"/>
  <c r="S2316" i="9" s="1"/>
  <c r="T2316" i="9" s="1"/>
  <c r="R2300" i="9"/>
  <c r="S2300" i="9" s="1"/>
  <c r="R2302" i="9"/>
  <c r="S2302" i="9" s="1"/>
  <c r="T2302" i="9" s="1"/>
  <c r="R2303" i="9"/>
  <c r="S2303" i="9" s="1"/>
  <c r="R2306" i="9"/>
  <c r="S2306" i="9" s="1"/>
  <c r="T2306" i="9" s="1"/>
  <c r="R2304" i="9"/>
  <c r="S2304" i="9" s="1"/>
  <c r="R2299" i="9"/>
  <c r="S2299" i="9" s="1"/>
  <c r="T2299" i="9" s="1"/>
  <c r="R2298" i="9"/>
  <c r="S2298" i="9" s="1"/>
  <c r="T2298" i="9" s="1"/>
  <c r="R2297" i="9"/>
  <c r="S2297" i="9" s="1"/>
  <c r="T2297" i="9" s="1"/>
  <c r="R2296" i="9"/>
  <c r="S2296" i="9" s="1"/>
  <c r="R2293" i="9"/>
  <c r="S2293" i="9" s="1"/>
  <c r="R2287" i="9"/>
  <c r="S2287" i="9" s="1"/>
  <c r="R2286" i="9"/>
  <c r="S2286" i="9" s="1"/>
  <c r="T2286" i="9" s="1"/>
  <c r="R2285" i="9"/>
  <c r="S2285" i="9" s="1"/>
  <c r="T2285" i="9" s="1"/>
  <c r="R2283" i="9"/>
  <c r="S2283" i="9" s="1"/>
  <c r="T2283" i="9" s="1"/>
  <c r="R2282" i="9"/>
  <c r="S2282" i="9" s="1"/>
  <c r="T2282" i="9" s="1"/>
  <c r="R2281" i="9"/>
  <c r="S2281" i="9" s="1"/>
  <c r="T2281" i="9" s="1"/>
  <c r="R2271" i="9"/>
  <c r="S2271" i="9" s="1"/>
  <c r="T2271" i="9" s="1"/>
  <c r="R2270" i="9"/>
  <c r="S2270" i="9" s="1"/>
  <c r="T2270" i="9" s="1"/>
  <c r="R2267" i="9"/>
  <c r="S2267" i="9" s="1"/>
  <c r="R2266" i="9"/>
  <c r="S2266" i="9" s="1"/>
  <c r="R2264" i="9"/>
  <c r="S2264" i="9" s="1"/>
  <c r="T2264" i="9" s="1"/>
  <c r="R2260" i="9"/>
  <c r="S2260" i="9" s="1"/>
  <c r="T2260" i="9" s="1"/>
  <c r="R2259" i="9"/>
  <c r="S2259" i="9" s="1"/>
  <c r="R2255" i="9"/>
  <c r="S2255" i="9" s="1"/>
  <c r="T2255" i="9" s="1"/>
  <c r="R2253" i="9"/>
  <c r="S2253" i="9" s="1"/>
  <c r="T2253" i="9" s="1"/>
  <c r="R2251" i="9"/>
  <c r="S2251" i="9" s="1"/>
  <c r="R2250" i="9"/>
  <c r="S2250" i="9" s="1"/>
  <c r="R2249" i="9"/>
  <c r="S2249" i="9" s="1"/>
  <c r="R2235" i="9"/>
  <c r="S2235" i="9" s="1"/>
  <c r="T2235" i="9" s="1"/>
  <c r="R2233" i="9"/>
  <c r="S2233" i="9" s="1"/>
  <c r="T2233" i="9" s="1"/>
  <c r="R2231" i="9"/>
  <c r="S2231" i="9" s="1"/>
  <c r="R2230" i="9"/>
  <c r="S2230" i="9" s="1"/>
  <c r="R2229" i="9"/>
  <c r="S2229" i="9" s="1"/>
  <c r="R2227" i="9"/>
  <c r="S2227" i="9" s="1"/>
  <c r="T2227" i="9" s="1"/>
  <c r="R2226" i="9"/>
  <c r="S2226" i="9" s="1"/>
  <c r="T2226" i="9" s="1"/>
  <c r="R2225" i="9"/>
  <c r="S2225" i="9" s="1"/>
  <c r="T2225" i="9" s="1"/>
  <c r="R2224" i="9"/>
  <c r="S2224" i="9" s="1"/>
  <c r="T2224" i="9" s="1"/>
  <c r="R2219" i="9"/>
  <c r="S2219" i="9" s="1"/>
  <c r="T2219" i="9" s="1"/>
  <c r="R2218" i="9"/>
  <c r="S2218" i="9" s="1"/>
  <c r="T2218" i="9" s="1"/>
  <c r="R2216" i="9"/>
  <c r="S2216" i="9" s="1"/>
  <c r="T2216" i="9" s="1"/>
  <c r="R2215" i="9"/>
  <c r="S2215" i="9" s="1"/>
  <c r="R2214" i="9"/>
  <c r="S2214" i="9" s="1"/>
  <c r="R2203" i="9"/>
  <c r="S2203" i="9" s="1"/>
  <c r="T2203" i="9" s="1"/>
  <c r="R2202" i="9"/>
  <c r="S2202" i="9" s="1"/>
  <c r="T2202" i="9" s="1"/>
  <c r="R2201" i="9"/>
  <c r="S2201" i="9" s="1"/>
  <c r="T2201" i="9" s="1"/>
  <c r="R2200" i="9"/>
  <c r="S2200" i="9" s="1"/>
  <c r="T2200" i="9" s="1"/>
  <c r="R2199" i="9"/>
  <c r="S2199" i="9" s="1"/>
  <c r="T2199" i="9" s="1"/>
  <c r="R2198" i="9"/>
  <c r="S2198" i="9" s="1"/>
  <c r="T2198" i="9" s="1"/>
  <c r="R2195" i="9"/>
  <c r="S2195" i="9" s="1"/>
  <c r="T2195" i="9" s="1"/>
  <c r="R2192" i="9"/>
  <c r="S2192" i="9" s="1"/>
  <c r="T2192" i="9" s="1"/>
  <c r="R2189" i="9"/>
  <c r="S2189" i="9" s="1"/>
  <c r="T2189" i="9" s="1"/>
  <c r="R2186" i="9"/>
  <c r="S2186" i="9" s="1"/>
  <c r="T2186" i="9" s="1"/>
  <c r="R2185" i="9"/>
  <c r="S2185" i="9" s="1"/>
  <c r="T2185" i="9" s="1"/>
  <c r="R2184" i="9"/>
  <c r="S2184" i="9" s="1"/>
  <c r="T2184" i="9" s="1"/>
  <c r="R2159" i="9"/>
  <c r="S2159" i="9" s="1"/>
  <c r="AB2137" i="9"/>
  <c r="AC2137" i="9" s="1"/>
  <c r="AB2136" i="9"/>
  <c r="AC2136" i="9" s="1"/>
  <c r="AB2135" i="9"/>
  <c r="AC2135" i="9" s="1"/>
  <c r="AD2135" i="9" s="1"/>
  <c r="R2139" i="9"/>
  <c r="S2139" i="9" s="1"/>
  <c r="T2139" i="9" s="1"/>
  <c r="R2138" i="9"/>
  <c r="S2138" i="9" s="1"/>
  <c r="T2138" i="9" s="1"/>
  <c r="R2136" i="9"/>
  <c r="S2136" i="9" s="1"/>
  <c r="T2136" i="9" s="1"/>
  <c r="R2135" i="9"/>
  <c r="S2135" i="9" s="1"/>
  <c r="T2135" i="9" s="1"/>
  <c r="AB2113" i="9"/>
  <c r="AC2113" i="9" s="1"/>
  <c r="AD2113" i="9" s="1"/>
  <c r="R2115" i="9"/>
  <c r="S2115" i="9" s="1"/>
  <c r="T2115" i="9" s="1"/>
  <c r="R2113" i="9"/>
  <c r="S2113" i="9" s="1"/>
  <c r="T2113" i="9" s="1"/>
  <c r="R2112" i="9"/>
  <c r="S2112" i="9" s="1"/>
  <c r="T2112" i="9" s="1"/>
  <c r="R2110" i="9"/>
  <c r="S2110" i="9" s="1"/>
  <c r="R2092" i="9"/>
  <c r="S2092" i="9" s="1"/>
  <c r="R2091" i="9"/>
  <c r="S2091" i="9" s="1"/>
  <c r="T2091" i="9" s="1"/>
  <c r="R2089" i="9"/>
  <c r="S2089" i="9" s="1"/>
  <c r="R2087" i="9"/>
  <c r="S2087" i="9" s="1"/>
  <c r="T2087" i="9" s="1"/>
  <c r="AB2066" i="9"/>
  <c r="AC2066" i="9" s="1"/>
  <c r="AD2066" i="9" s="1"/>
  <c r="AB2063" i="9"/>
  <c r="AC2063" i="9" s="1"/>
  <c r="R2066" i="9"/>
  <c r="S2066" i="9" s="1"/>
  <c r="T2066" i="9" s="1"/>
  <c r="R2065" i="9"/>
  <c r="S2065" i="9" s="1"/>
  <c r="T2065" i="9" s="1"/>
  <c r="R2064" i="9"/>
  <c r="S2064" i="9" s="1"/>
  <c r="R2063" i="9"/>
  <c r="S2063" i="9" s="1"/>
  <c r="R2045" i="9"/>
  <c r="S2045" i="9" s="1"/>
  <c r="T2045" i="9" s="1"/>
  <c r="R2044" i="9"/>
  <c r="S2044" i="9" s="1"/>
  <c r="T2044" i="9" s="1"/>
  <c r="R2043" i="9"/>
  <c r="S2043" i="9" s="1"/>
  <c r="T2043" i="9" s="1"/>
  <c r="R2042" i="9"/>
  <c r="S2042" i="9" s="1"/>
  <c r="T2042" i="9" s="1"/>
  <c r="R2040" i="9"/>
  <c r="S2040" i="9" s="1"/>
  <c r="R2022" i="9"/>
  <c r="S2022" i="9" s="1"/>
  <c r="R2021" i="9"/>
  <c r="S2021" i="9" s="1"/>
  <c r="R2020" i="9"/>
  <c r="S2020" i="9" s="1"/>
  <c r="T2020" i="9" s="1"/>
  <c r="R2019" i="9"/>
  <c r="S2019" i="9" s="1"/>
  <c r="T2019" i="9" s="1"/>
  <c r="R2018" i="9"/>
  <c r="S2018" i="9" s="1"/>
  <c r="R1994" i="9"/>
  <c r="S1994" i="9" s="1"/>
  <c r="T1994" i="9" s="1"/>
  <c r="R1995" i="9"/>
  <c r="S1995" i="9" s="1"/>
  <c r="R1996" i="9"/>
  <c r="S1996" i="9" s="1"/>
  <c r="R1997" i="9"/>
  <c r="S1997" i="9" s="1"/>
  <c r="T1997" i="9" s="1"/>
  <c r="R1998" i="9"/>
  <c r="S1998" i="9" s="1"/>
  <c r="T1998" i="9" s="1"/>
  <c r="AB1974" i="9"/>
  <c r="AC1974" i="9" s="1"/>
  <c r="AD1974" i="9" s="1"/>
  <c r="AB1971" i="9"/>
  <c r="AC1971" i="9" s="1"/>
  <c r="AD1971" i="9" s="1"/>
  <c r="R1973" i="9"/>
  <c r="S1973" i="9" s="1"/>
  <c r="T1973" i="9" s="1"/>
  <c r="R1972" i="9"/>
  <c r="S1972" i="9" s="1"/>
  <c r="T1972" i="9" s="1"/>
  <c r="AB1947" i="9"/>
  <c r="AC1947" i="9" s="1"/>
  <c r="AD1947" i="9" s="1"/>
  <c r="AB1946" i="9"/>
  <c r="AC1946" i="9" s="1"/>
  <c r="AD1946" i="9" s="1"/>
  <c r="AB1945" i="9"/>
  <c r="AC1945" i="9" s="1"/>
  <c r="R1950" i="9"/>
  <c r="S1950" i="9" s="1"/>
  <c r="T1950" i="9" s="1"/>
  <c r="R1948" i="9"/>
  <c r="S1948" i="9" s="1"/>
  <c r="T1948" i="9" s="1"/>
  <c r="R1947" i="9"/>
  <c r="S1947" i="9" s="1"/>
  <c r="T1947" i="9" s="1"/>
  <c r="R1926" i="9"/>
  <c r="S1926" i="9" s="1"/>
  <c r="T1926" i="9" s="1"/>
  <c r="R1925" i="9"/>
  <c r="S1925" i="9" s="1"/>
  <c r="T1925" i="9" s="1"/>
  <c r="R1902" i="9"/>
  <c r="S1902" i="9" s="1"/>
  <c r="T1902" i="9" s="1"/>
  <c r="R1832" i="9"/>
  <c r="S1832" i="9" s="1"/>
  <c r="T1832" i="9" s="1"/>
  <c r="R1831" i="9"/>
  <c r="S1831" i="9" s="1"/>
  <c r="T1831" i="9" s="1"/>
  <c r="R1809" i="9"/>
  <c r="S1809" i="9" s="1"/>
  <c r="T1809" i="9" s="1"/>
  <c r="R1808" i="9"/>
  <c r="S1808" i="9" s="1"/>
  <c r="R1786" i="9"/>
  <c r="S1786" i="9" s="1"/>
  <c r="T1786" i="9" s="1"/>
  <c r="R1765" i="9"/>
  <c r="S1765" i="9" s="1"/>
  <c r="T1765" i="9" s="1"/>
  <c r="R1761" i="9"/>
  <c r="S1761" i="9" s="1"/>
  <c r="R1741" i="9"/>
  <c r="S1741" i="9" s="1"/>
  <c r="T1741" i="9" s="1"/>
  <c r="R1740" i="9"/>
  <c r="S1740" i="9" s="1"/>
  <c r="R1739" i="9"/>
  <c r="S1739" i="9" s="1"/>
  <c r="R1737" i="9"/>
  <c r="S1737" i="9" s="1"/>
  <c r="R1716" i="9"/>
  <c r="S1716" i="9" s="1"/>
  <c r="T1716" i="9" s="1"/>
  <c r="R1715" i="9"/>
  <c r="S1715" i="9" s="1"/>
  <c r="R1714" i="9"/>
  <c r="S1714" i="9" s="1"/>
  <c r="T1714" i="9" s="1"/>
  <c r="R1712" i="9"/>
  <c r="S1712" i="9" s="1"/>
  <c r="R1689" i="9"/>
  <c r="S1689" i="9" s="1"/>
  <c r="T1689" i="9" s="1"/>
  <c r="R1690" i="9"/>
  <c r="S1690" i="9" s="1"/>
  <c r="R1691" i="9"/>
  <c r="S1691" i="9" s="1"/>
  <c r="T1691" i="9" s="1"/>
  <c r="R1692" i="9"/>
  <c r="S1692" i="9" s="1"/>
  <c r="T1692" i="9" s="1"/>
  <c r="R1693" i="9"/>
  <c r="S1693" i="9" s="1"/>
  <c r="T1693" i="9" s="1"/>
  <c r="AB1669" i="9"/>
  <c r="AC1669" i="9" s="1"/>
  <c r="AB1666" i="9"/>
  <c r="AC1666" i="9" s="1"/>
  <c r="R1666" i="9"/>
  <c r="S1666" i="9" s="1"/>
  <c r="AB1641" i="9"/>
  <c r="AC1641" i="9" s="1"/>
  <c r="AB1638" i="9"/>
  <c r="AC1638" i="9" s="1"/>
  <c r="R1638" i="9"/>
  <c r="S1638" i="9" s="1"/>
  <c r="R1641" i="9"/>
  <c r="S1641" i="9" s="1"/>
  <c r="R1644" i="9"/>
  <c r="S1644" i="9" s="1"/>
  <c r="R1640" i="9"/>
  <c r="S1640" i="9" s="1"/>
  <c r="T1640" i="9" s="1"/>
  <c r="R1639" i="9"/>
  <c r="S1639" i="9" s="1"/>
  <c r="T1639" i="9" s="1"/>
  <c r="AB1617" i="9"/>
  <c r="AC1617" i="9" s="1"/>
  <c r="AD1617" i="9" s="1"/>
  <c r="AB1616" i="9"/>
  <c r="AC1616" i="9" s="1"/>
  <c r="AB1615" i="9"/>
  <c r="AC1615" i="9" s="1"/>
  <c r="R1615" i="9"/>
  <c r="S1615" i="9" s="1"/>
  <c r="AB1591" i="9"/>
  <c r="AC1591" i="9" s="1"/>
  <c r="AD1591" i="9" s="1"/>
  <c r="AB1592" i="9"/>
  <c r="AC1592" i="9" s="1"/>
  <c r="AD1592" i="9" s="1"/>
  <c r="AB1593" i="9"/>
  <c r="AC1593" i="9" s="1"/>
  <c r="AD1593" i="9" s="1"/>
  <c r="R1592" i="9"/>
  <c r="S1592" i="9" s="1"/>
  <c r="R1571" i="9"/>
  <c r="S1571" i="9" s="1"/>
  <c r="R1570" i="9"/>
  <c r="S1570" i="9" s="1"/>
  <c r="T1570" i="9" s="1"/>
  <c r="R1569" i="9"/>
  <c r="S1569" i="9" s="1"/>
  <c r="T1569" i="9" s="1"/>
  <c r="R1567" i="9"/>
  <c r="S1567" i="9" s="1"/>
  <c r="R1547" i="9"/>
  <c r="S1547" i="9" s="1"/>
  <c r="T1547" i="9" s="1"/>
  <c r="R1546" i="9"/>
  <c r="S1546" i="9" s="1"/>
  <c r="R1545" i="9"/>
  <c r="S1545" i="9" s="1"/>
  <c r="T1545" i="9" s="1"/>
  <c r="R1544" i="9"/>
  <c r="S1544" i="9" s="1"/>
  <c r="AB1521" i="9"/>
  <c r="AC1521" i="9" s="1"/>
  <c r="AD1521" i="9" s="1"/>
  <c r="AB1520" i="9"/>
  <c r="AC1520" i="9" s="1"/>
  <c r="AD1520" i="9" s="1"/>
  <c r="AB1519" i="9"/>
  <c r="AC1519" i="9" s="1"/>
  <c r="AD1519" i="9" s="1"/>
  <c r="R1525" i="9"/>
  <c r="S1525" i="9" s="1"/>
  <c r="T1525" i="9" s="1"/>
  <c r="R1524" i="9"/>
  <c r="S1524" i="9" s="1"/>
  <c r="T1524" i="9" s="1"/>
  <c r="R1523" i="9"/>
  <c r="S1523" i="9" s="1"/>
  <c r="T1523" i="9" s="1"/>
  <c r="R1522" i="9"/>
  <c r="S1522" i="9" s="1"/>
  <c r="R1519" i="9"/>
  <c r="S1519" i="9" s="1"/>
  <c r="AB1496" i="9"/>
  <c r="AC1496" i="9" s="1"/>
  <c r="AB1499" i="9"/>
  <c r="AC1499" i="9" s="1"/>
  <c r="R1499" i="9"/>
  <c r="S1499" i="9" s="1"/>
  <c r="T1499" i="9" s="1"/>
  <c r="R1496" i="9"/>
  <c r="S1496" i="9" s="1"/>
  <c r="T1496" i="9" s="1"/>
  <c r="R1476" i="9"/>
  <c r="S1476" i="9" s="1"/>
  <c r="AB1450" i="9"/>
  <c r="AC1450" i="9" s="1"/>
  <c r="AB1449" i="9"/>
  <c r="AC1449" i="9" s="1"/>
  <c r="R1446" i="9"/>
  <c r="S1446" i="9" s="1"/>
  <c r="AB1423" i="9"/>
  <c r="AC1423" i="9" s="1"/>
  <c r="AD1423" i="9" s="1"/>
  <c r="AB1426" i="9"/>
  <c r="AC1426" i="9" s="1"/>
  <c r="AD1426" i="9" s="1"/>
  <c r="R1424" i="9"/>
  <c r="S1424" i="9" s="1"/>
  <c r="T1424" i="9" s="1"/>
  <c r="R1423" i="9"/>
  <c r="S1423" i="9" s="1"/>
  <c r="AB1402" i="9"/>
  <c r="AC1402" i="9" s="1"/>
  <c r="AD1402" i="9" s="1"/>
  <c r="AB1397" i="9"/>
  <c r="AC1397" i="9" s="1"/>
  <c r="AB1396" i="9"/>
  <c r="AC1396" i="9" s="1"/>
  <c r="AD1396" i="9" s="1"/>
  <c r="R1399" i="9"/>
  <c r="S1399" i="9" s="1"/>
  <c r="R1398" i="9"/>
  <c r="S1398" i="9" s="1"/>
  <c r="T1398" i="9" s="1"/>
  <c r="AB1377" i="9"/>
  <c r="AC1377" i="9" s="1"/>
  <c r="AB1376" i="9"/>
  <c r="AC1376" i="9" s="1"/>
  <c r="AB1375" i="9"/>
  <c r="AC1375" i="9" s="1"/>
  <c r="AB1374" i="9"/>
  <c r="AC1374" i="9" s="1"/>
  <c r="AD1374" i="9" s="1"/>
  <c r="AB1373" i="9"/>
  <c r="AC1373" i="9" s="1"/>
  <c r="AD1373" i="9" s="1"/>
  <c r="R1376" i="9"/>
  <c r="S1376" i="9" s="1"/>
  <c r="T1376" i="9" s="1"/>
  <c r="R1374" i="9"/>
  <c r="S1374" i="9" s="1"/>
  <c r="AL1330" i="9"/>
  <c r="AM1330" i="9" s="1"/>
  <c r="AL1325" i="9"/>
  <c r="AM1325" i="9" s="1"/>
  <c r="AN1325" i="9" s="1"/>
  <c r="AL1324" i="9"/>
  <c r="AM1324" i="9" s="1"/>
  <c r="AB1326" i="9"/>
  <c r="R1327" i="9"/>
  <c r="R1326" i="9"/>
  <c r="R1325" i="9"/>
  <c r="AB1305" i="9"/>
  <c r="AB1300" i="9"/>
  <c r="AB1299" i="9"/>
  <c r="R1301" i="9"/>
  <c r="R1300" i="9"/>
  <c r="AB1280" i="9"/>
  <c r="R1281" i="9"/>
  <c r="AB1254" i="9"/>
  <c r="AB1255" i="9"/>
  <c r="AB1256" i="9"/>
  <c r="R1254" i="9"/>
  <c r="AL1233" i="9"/>
  <c r="AL1232" i="9"/>
  <c r="AL1231" i="9"/>
  <c r="AL1230" i="9"/>
  <c r="AB1234" i="9"/>
  <c r="AB1233" i="9"/>
  <c r="AB1232" i="9"/>
  <c r="AB1231" i="9"/>
  <c r="AB1230" i="9"/>
  <c r="R1231" i="9"/>
  <c r="AL1211" i="9"/>
  <c r="AL1210" i="9"/>
  <c r="AL1209" i="9"/>
  <c r="AL1208" i="9"/>
  <c r="AL1207" i="9"/>
  <c r="AB1209" i="9"/>
  <c r="N1210" i="9"/>
  <c r="R1209" i="9"/>
  <c r="R1208" i="9"/>
  <c r="R1188" i="9"/>
  <c r="R1187" i="9"/>
  <c r="R1184" i="9"/>
  <c r="R1166" i="9"/>
  <c r="R1165" i="9"/>
  <c r="R1164" i="9"/>
  <c r="R1163" i="9"/>
  <c r="R1162" i="9"/>
  <c r="R1134" i="9"/>
  <c r="R1135" i="9"/>
  <c r="R1136" i="9"/>
  <c r="R1137" i="9"/>
  <c r="R1139" i="9"/>
  <c r="R1141" i="9"/>
  <c r="R1142" i="9"/>
  <c r="R1138" i="9"/>
  <c r="R1115" i="9"/>
  <c r="R1114" i="9"/>
  <c r="R1111" i="9"/>
  <c r="AB1090" i="9"/>
  <c r="AB1089" i="9"/>
  <c r="AB1063" i="9"/>
  <c r="AB1062" i="9"/>
  <c r="R1064" i="9"/>
  <c r="R1068" i="9"/>
  <c r="R1069" i="9"/>
  <c r="R1061" i="9"/>
  <c r="AB1041" i="9"/>
  <c r="R1042" i="9"/>
  <c r="R1038" i="9"/>
  <c r="AB1017" i="9"/>
  <c r="AB1016" i="9"/>
  <c r="R1013" i="9"/>
  <c r="AB990" i="9"/>
  <c r="R991" i="9"/>
  <c r="AB970" i="9"/>
  <c r="AB969" i="9"/>
  <c r="AB968" i="9"/>
  <c r="AB967" i="9"/>
  <c r="AB966" i="9"/>
  <c r="R967" i="9"/>
  <c r="R971" i="9"/>
  <c r="R946" i="9"/>
  <c r="R944" i="9"/>
  <c r="AB922" i="9"/>
  <c r="R922" i="9"/>
  <c r="R925" i="9"/>
  <c r="R876" i="9"/>
  <c r="AB855" i="9"/>
  <c r="AB854" i="9"/>
  <c r="AB853" i="9"/>
  <c r="AB852" i="9"/>
  <c r="AB851" i="9"/>
  <c r="R853" i="9"/>
  <c r="R832" i="9"/>
  <c r="R806" i="9"/>
  <c r="R805" i="9"/>
  <c r="R784" i="9"/>
  <c r="R783" i="9"/>
  <c r="Q760" i="9"/>
  <c r="Q757" i="9"/>
  <c r="R755" i="9"/>
  <c r="R754" i="9"/>
  <c r="R736" i="9"/>
  <c r="R732" i="9"/>
  <c r="R731" i="9"/>
  <c r="AB711" i="9"/>
  <c r="AB708" i="9"/>
  <c r="AC712" i="9"/>
  <c r="AD712" i="9" s="1"/>
  <c r="AC713" i="9"/>
  <c r="AD713" i="9" s="1"/>
  <c r="AB691" i="9"/>
  <c r="AB684" i="9"/>
  <c r="AB681" i="9"/>
  <c r="R684" i="9"/>
  <c r="R681" i="9"/>
  <c r="R658" i="9"/>
  <c r="R660" i="9"/>
  <c r="AB637" i="9"/>
  <c r="AB636" i="9"/>
  <c r="R636" i="9"/>
  <c r="R633" i="9"/>
  <c r="R614" i="9"/>
  <c r="R610" i="9"/>
  <c r="R566" i="9"/>
  <c r="R562" i="9"/>
  <c r="R560" i="9"/>
  <c r="R588" i="9"/>
  <c r="R587" i="9"/>
  <c r="AB539" i="9"/>
  <c r="AB538" i="9"/>
  <c r="AB536" i="9"/>
  <c r="R539" i="9"/>
  <c r="R535" i="9"/>
  <c r="AB515" i="9"/>
  <c r="AB512" i="9"/>
  <c r="R514" i="9"/>
  <c r="R493" i="9"/>
  <c r="R492" i="9"/>
  <c r="R489" i="9"/>
  <c r="R469" i="9"/>
  <c r="AB446" i="9"/>
  <c r="AB445" i="9"/>
  <c r="AB444" i="9"/>
  <c r="AB443" i="9"/>
  <c r="AB442" i="9"/>
  <c r="R446" i="9"/>
  <c r="R445" i="9"/>
  <c r="R443" i="9"/>
  <c r="R424" i="9"/>
  <c r="R423" i="9"/>
  <c r="R422" i="9"/>
  <c r="R421" i="9"/>
  <c r="R417" i="9"/>
  <c r="R399" i="9"/>
  <c r="N395" i="9"/>
  <c r="R395" i="9"/>
  <c r="AB373" i="9"/>
  <c r="AB372" i="9"/>
  <c r="AB371" i="9"/>
  <c r="R375" i="9"/>
  <c r="R374" i="9"/>
  <c r="R373" i="9"/>
  <c r="R372" i="9"/>
  <c r="R371" i="9"/>
  <c r="R352" i="9"/>
  <c r="R348" i="9"/>
  <c r="R325" i="9"/>
  <c r="AB303" i="9"/>
  <c r="R307" i="9"/>
  <c r="R306" i="9"/>
  <c r="R302" i="9"/>
  <c r="AB281" i="9"/>
  <c r="AB276" i="9"/>
  <c r="AB275" i="9"/>
  <c r="R279" i="9"/>
  <c r="R276" i="9"/>
  <c r="AB257" i="9"/>
  <c r="R253" i="9"/>
  <c r="AB235" i="9"/>
  <c r="R232" i="9"/>
  <c r="AB213" i="9"/>
  <c r="AB206" i="9"/>
  <c r="AB203" i="9"/>
  <c r="R204" i="9"/>
  <c r="AB184" i="9"/>
  <c r="AB179" i="9"/>
  <c r="AB178" i="9"/>
  <c r="R182" i="9"/>
  <c r="R180" i="9"/>
  <c r="R179" i="9"/>
  <c r="AB136" i="9"/>
  <c r="AB135" i="9"/>
  <c r="AB134" i="9"/>
  <c r="AB133" i="9"/>
  <c r="AB132" i="9"/>
  <c r="R137" i="9"/>
  <c r="R133" i="9"/>
  <c r="AB112" i="9"/>
  <c r="AB111" i="9"/>
  <c r="AB110" i="9"/>
  <c r="AB109" i="9"/>
  <c r="R111" i="9"/>
  <c r="R110" i="9"/>
  <c r="R89" i="9"/>
  <c r="R87" i="9"/>
  <c r="AB65" i="9"/>
  <c r="R67" i="9"/>
  <c r="R65" i="9"/>
  <c r="S3308" i="9"/>
  <c r="T3308" i="9" s="1"/>
  <c r="S3307" i="9"/>
  <c r="S3306" i="9"/>
  <c r="S3305" i="9"/>
  <c r="T3305" i="9" s="1"/>
  <c r="S3304" i="9"/>
  <c r="T3304" i="9" s="1"/>
  <c r="S3303" i="9"/>
  <c r="T3303" i="9" s="1"/>
  <c r="S3288" i="9"/>
  <c r="T3288" i="9" s="1"/>
  <c r="S3287" i="9"/>
  <c r="T3287" i="9" s="1"/>
  <c r="S3286" i="9"/>
  <c r="T3286" i="9" s="1"/>
  <c r="S3285" i="9"/>
  <c r="T3285" i="9" s="1"/>
  <c r="S3282" i="9"/>
  <c r="S3281" i="9"/>
  <c r="S3280" i="9"/>
  <c r="S3263" i="9"/>
  <c r="T3263" i="9" s="1"/>
  <c r="S3264" i="9"/>
  <c r="T3264" i="9" s="1"/>
  <c r="S3260" i="9"/>
  <c r="T3260" i="9" s="1"/>
  <c r="S3259" i="9"/>
  <c r="T3259" i="9" s="1"/>
  <c r="S3258" i="9"/>
  <c r="S3257" i="9"/>
  <c r="S3238" i="9"/>
  <c r="S3237" i="9"/>
  <c r="T3237" i="9" s="1"/>
  <c r="S3236" i="9"/>
  <c r="T3236" i="9" s="1"/>
  <c r="S3235" i="9"/>
  <c r="T3235" i="9" s="1"/>
  <c r="S3234" i="9"/>
  <c r="T3234" i="9" s="1"/>
  <c r="S3216" i="9"/>
  <c r="T3216" i="9" s="1"/>
  <c r="S3217" i="9"/>
  <c r="T3217" i="9" s="1"/>
  <c r="S3218" i="9"/>
  <c r="T3218" i="9" s="1"/>
  <c r="S3219" i="9"/>
  <c r="T3219" i="9" s="1"/>
  <c r="S3214" i="9"/>
  <c r="T3214" i="9" s="1"/>
  <c r="S3213" i="9"/>
  <c r="T3213" i="9" s="1"/>
  <c r="S3212" i="9"/>
  <c r="T3212" i="9" s="1"/>
  <c r="S3211" i="9"/>
  <c r="S3210" i="9"/>
  <c r="S3192" i="9"/>
  <c r="T3192" i="9" s="1"/>
  <c r="S3191" i="9"/>
  <c r="S3190" i="9"/>
  <c r="T3190" i="9" s="1"/>
  <c r="S3189" i="9"/>
  <c r="T3189" i="9" s="1"/>
  <c r="S3188" i="9"/>
  <c r="S3187" i="9"/>
  <c r="S3168" i="9"/>
  <c r="S3167" i="9"/>
  <c r="S3166" i="9"/>
  <c r="T3166" i="9" s="1"/>
  <c r="S3165" i="9"/>
  <c r="S3145" i="9"/>
  <c r="S3144" i="9"/>
  <c r="T3144" i="9" s="1"/>
  <c r="S3143" i="9"/>
  <c r="T3143" i="9" s="1"/>
  <c r="S3142" i="9"/>
  <c r="S3141" i="9"/>
  <c r="S3122" i="9"/>
  <c r="S3121" i="9"/>
  <c r="T3121" i="9" s="1"/>
  <c r="S3120" i="9"/>
  <c r="T3120" i="9" s="1"/>
  <c r="S3119" i="9"/>
  <c r="S3118" i="9"/>
  <c r="S3099" i="9"/>
  <c r="T3099" i="9" s="1"/>
  <c r="S3098" i="9"/>
  <c r="S3097" i="9"/>
  <c r="S3096" i="9"/>
  <c r="T3096" i="9" s="1"/>
  <c r="S3077" i="9"/>
  <c r="T3077" i="9" s="1"/>
  <c r="S3078" i="9"/>
  <c r="T3078" i="9" s="1"/>
  <c r="S3074" i="9"/>
  <c r="T3074" i="9" s="1"/>
  <c r="S3072" i="9"/>
  <c r="T3072" i="9" s="1"/>
  <c r="S3055" i="9"/>
  <c r="T3055" i="9" s="1"/>
  <c r="S3056" i="9"/>
  <c r="T3056" i="9" s="1"/>
  <c r="P3032" i="9"/>
  <c r="S3029" i="9"/>
  <c r="P2940" i="9"/>
  <c r="P3009" i="9"/>
  <c r="S3006" i="9"/>
  <c r="T3006" i="9" s="1"/>
  <c r="S3005" i="9"/>
  <c r="T3005" i="9" s="1"/>
  <c r="S2984" i="9"/>
  <c r="S2983" i="9"/>
  <c r="T2983" i="9" s="1"/>
  <c r="S2961" i="9"/>
  <c r="S2959" i="9"/>
  <c r="T2959" i="9" s="1"/>
  <c r="S2958" i="9"/>
  <c r="T2958" i="9" s="1"/>
  <c r="S2957" i="9"/>
  <c r="S2937" i="9"/>
  <c r="T2937" i="9" s="1"/>
  <c r="S2936" i="9"/>
  <c r="T2936" i="9" s="1"/>
  <c r="S2934" i="9"/>
  <c r="S2916" i="9"/>
  <c r="T2916" i="9" s="1"/>
  <c r="S2915" i="9"/>
  <c r="T2915" i="9" s="1"/>
  <c r="S2914" i="9"/>
  <c r="S2894" i="9"/>
  <c r="T2894" i="9" s="1"/>
  <c r="S2893" i="9"/>
  <c r="T2893" i="9" s="1"/>
  <c r="S2890" i="9"/>
  <c r="S2889" i="9"/>
  <c r="S2870" i="9"/>
  <c r="T2870" i="9" s="1"/>
  <c r="S2869" i="9"/>
  <c r="T2869" i="9" s="1"/>
  <c r="S2847" i="9"/>
  <c r="T2847" i="9" s="1"/>
  <c r="S2845" i="9"/>
  <c r="T2845" i="9" s="1"/>
  <c r="S2843" i="9"/>
  <c r="S2824" i="9"/>
  <c r="T2824" i="9" s="1"/>
  <c r="S2823" i="9"/>
  <c r="T2823" i="9" s="1"/>
  <c r="S2821" i="9"/>
  <c r="P2803" i="9"/>
  <c r="S2800" i="9"/>
  <c r="T2800" i="9" s="1"/>
  <c r="S2799" i="9"/>
  <c r="T2799" i="9" s="1"/>
  <c r="S2779" i="9"/>
  <c r="T2779" i="9" s="1"/>
  <c r="S2778" i="9"/>
  <c r="S2775" i="9"/>
  <c r="T2775" i="9" s="1"/>
  <c r="S2755" i="9"/>
  <c r="T2755" i="9" s="1"/>
  <c r="S2754" i="9"/>
  <c r="T2754" i="9" s="1"/>
  <c r="S2753" i="9"/>
  <c r="S2752" i="9"/>
  <c r="T2752" i="9" s="1"/>
  <c r="S2731" i="9"/>
  <c r="T2731" i="9" s="1"/>
  <c r="S2730" i="9"/>
  <c r="T2730" i="9" s="1"/>
  <c r="S2710" i="9"/>
  <c r="T2710" i="9" s="1"/>
  <c r="S2709" i="9"/>
  <c r="T2709" i="9" s="1"/>
  <c r="S2708" i="9"/>
  <c r="T2708" i="9" s="1"/>
  <c r="S2707" i="9"/>
  <c r="T2707" i="9" s="1"/>
  <c r="S2706" i="9"/>
  <c r="T2706" i="9" s="1"/>
  <c r="S2685" i="9"/>
  <c r="T2685" i="9" s="1"/>
  <c r="S2684" i="9"/>
  <c r="T2684" i="9" s="1"/>
  <c r="S2682" i="9"/>
  <c r="S2681" i="9"/>
  <c r="S2664" i="9"/>
  <c r="T2664" i="9" s="1"/>
  <c r="S2663" i="9"/>
  <c r="S2662" i="9"/>
  <c r="T2662" i="9" s="1"/>
  <c r="S2660" i="9"/>
  <c r="T2660" i="9" s="1"/>
  <c r="S2639" i="9"/>
  <c r="T2639" i="9" s="1"/>
  <c r="S2638" i="9"/>
  <c r="T2638" i="9" s="1"/>
  <c r="S2607" i="9"/>
  <c r="T2607" i="9" s="1"/>
  <c r="S2606" i="9"/>
  <c r="AM2588" i="9"/>
  <c r="AN2588" i="9" s="1"/>
  <c r="AM2586" i="9"/>
  <c r="AN2586" i="9" s="1"/>
  <c r="AM2583" i="9"/>
  <c r="S2588" i="9"/>
  <c r="T2588" i="9" s="1"/>
  <c r="S2587" i="9"/>
  <c r="T2587" i="9" s="1"/>
  <c r="S2583" i="9"/>
  <c r="T2583" i="9" s="1"/>
  <c r="S2582" i="9"/>
  <c r="T2582" i="9" s="1"/>
  <c r="BG2565" i="9"/>
  <c r="AW2565" i="9"/>
  <c r="AX2565" i="9" s="1"/>
  <c r="AW2566" i="9"/>
  <c r="AX2566" i="9" s="1"/>
  <c r="AW2563" i="9"/>
  <c r="AX2563" i="9" s="1"/>
  <c r="AW2562" i="9"/>
  <c r="AX2562" i="9" s="1"/>
  <c r="AW2560" i="9"/>
  <c r="AM2564" i="9"/>
  <c r="AN2564" i="9" s="1"/>
  <c r="AM2563" i="9"/>
  <c r="AM2562" i="9"/>
  <c r="AM2561" i="9"/>
  <c r="AN2561" i="9" s="1"/>
  <c r="AM2560" i="9"/>
  <c r="AN2560" i="9" s="1"/>
  <c r="P2566" i="9"/>
  <c r="S2562" i="9"/>
  <c r="T2562" i="9" s="1"/>
  <c r="S2561" i="9"/>
  <c r="S2560" i="9"/>
  <c r="T2560" i="9" s="1"/>
  <c r="S2559" i="9"/>
  <c r="T2559" i="9" s="1"/>
  <c r="S2541" i="9"/>
  <c r="T2541" i="9" s="1"/>
  <c r="S2542" i="9"/>
  <c r="T2542" i="9" s="1"/>
  <c r="S2540" i="9"/>
  <c r="T2540" i="9" s="1"/>
  <c r="S2536" i="9"/>
  <c r="S2516" i="9"/>
  <c r="T2516" i="9" s="1"/>
  <c r="S2515" i="9"/>
  <c r="T2515" i="9" s="1"/>
  <c r="S2514" i="9"/>
  <c r="S2513" i="9"/>
  <c r="BG2496" i="9"/>
  <c r="BH2496" i="9" s="1"/>
  <c r="AW2496" i="9"/>
  <c r="AW2497" i="9"/>
  <c r="AX2497" i="9" s="1"/>
  <c r="AW2494" i="9"/>
  <c r="AX2494" i="9" s="1"/>
  <c r="AW2493" i="9"/>
  <c r="AX2493" i="9" s="1"/>
  <c r="AW2491" i="9"/>
  <c r="AM2495" i="9"/>
  <c r="AM2494" i="9"/>
  <c r="AM2493" i="9"/>
  <c r="AN2493" i="9" s="1"/>
  <c r="AM2492" i="9"/>
  <c r="AM2491" i="9"/>
  <c r="AN2491" i="9" s="1"/>
  <c r="S2493" i="9"/>
  <c r="T2493" i="9" s="1"/>
  <c r="S2492" i="9"/>
  <c r="S2491" i="9"/>
  <c r="S2490" i="9"/>
  <c r="T2490" i="9" s="1"/>
  <c r="S2476" i="9"/>
  <c r="T2476" i="9" s="1"/>
  <c r="S2477" i="9"/>
  <c r="T2477" i="9" s="1"/>
  <c r="S2471" i="9"/>
  <c r="S2468" i="9"/>
  <c r="T2468" i="9" s="1"/>
  <c r="S2466" i="9"/>
  <c r="T2466" i="9" s="1"/>
  <c r="S2463" i="9"/>
  <c r="S2462" i="9"/>
  <c r="T2462" i="9" s="1"/>
  <c r="S2454" i="9"/>
  <c r="T2454" i="9" s="1"/>
  <c r="S2450" i="9"/>
  <c r="T2450" i="9" s="1"/>
  <c r="S2447" i="9"/>
  <c r="T2447" i="9" s="1"/>
  <c r="S2446" i="9"/>
  <c r="T2446" i="9" s="1"/>
  <c r="S2443" i="9"/>
  <c r="T2443" i="9" s="1"/>
  <c r="S2442" i="9"/>
  <c r="T2442" i="9" s="1"/>
  <c r="S2441" i="9"/>
  <c r="S2440" i="9"/>
  <c r="S2432" i="9"/>
  <c r="T2432" i="9" s="1"/>
  <c r="S2431" i="9"/>
  <c r="T2431" i="9" s="1"/>
  <c r="S2430" i="9"/>
  <c r="T2430" i="9" s="1"/>
  <c r="S2429" i="9"/>
  <c r="T2429" i="9" s="1"/>
  <c r="S2428" i="9"/>
  <c r="T2428" i="9" s="1"/>
  <c r="S2423" i="9"/>
  <c r="T2423" i="9" s="1"/>
  <c r="S2422" i="9"/>
  <c r="S2421" i="9"/>
  <c r="T2421" i="9" s="1"/>
  <c r="S2420" i="9"/>
  <c r="T2420" i="9" s="1"/>
  <c r="S2414" i="9"/>
  <c r="T2414" i="9" s="1"/>
  <c r="S2413" i="9"/>
  <c r="T2413" i="9" s="1"/>
  <c r="S2406" i="9"/>
  <c r="S2403" i="9"/>
  <c r="S2402" i="9"/>
  <c r="T2402" i="9" s="1"/>
  <c r="S2401" i="9"/>
  <c r="T2401" i="9" s="1"/>
  <c r="S2393" i="9"/>
  <c r="T2393" i="9" s="1"/>
  <c r="S2392" i="9"/>
  <c r="T2392" i="9" s="1"/>
  <c r="S2387" i="9"/>
  <c r="S2386" i="9"/>
  <c r="T2386" i="9" s="1"/>
  <c r="S2382" i="9"/>
  <c r="S2381" i="9"/>
  <c r="T2381" i="9" s="1"/>
  <c r="S2374" i="9"/>
  <c r="T2374" i="9" s="1"/>
  <c r="S2372" i="9"/>
  <c r="T2372" i="9" s="1"/>
  <c r="S2371" i="9"/>
  <c r="S2369" i="9"/>
  <c r="S2363" i="9"/>
  <c r="T2363" i="9" s="1"/>
  <c r="S2360" i="9"/>
  <c r="T2360" i="9" s="1"/>
  <c r="S2359" i="9"/>
  <c r="S2358" i="9"/>
  <c r="S2357" i="9"/>
  <c r="T2357" i="9" s="1"/>
  <c r="S2356" i="9"/>
  <c r="T2356" i="9" s="1"/>
  <c r="S2353" i="9"/>
  <c r="S2349" i="9"/>
  <c r="T2349" i="9" s="1"/>
  <c r="S2348" i="9"/>
  <c r="T2348" i="9" s="1"/>
  <c r="S2341" i="9"/>
  <c r="S2335" i="9"/>
  <c r="T2335" i="9" s="1"/>
  <c r="S2334" i="9"/>
  <c r="T2334" i="9" s="1"/>
  <c r="S2333" i="9"/>
  <c r="T2333" i="9" s="1"/>
  <c r="S2332" i="9"/>
  <c r="T2332" i="9" s="1"/>
  <c r="S2330" i="9"/>
  <c r="S2325" i="9"/>
  <c r="T2325" i="9" s="1"/>
  <c r="S2324" i="9"/>
  <c r="T2324" i="9" s="1"/>
  <c r="S2323" i="9"/>
  <c r="T2323" i="9" s="1"/>
  <c r="S2319" i="9"/>
  <c r="T2319" i="9" s="1"/>
  <c r="S2315" i="9"/>
  <c r="T2315" i="9" s="1"/>
  <c r="S2314" i="9"/>
  <c r="S2305" i="9"/>
  <c r="T2305" i="9" s="1"/>
  <c r="S2307" i="9"/>
  <c r="T2307" i="9" s="1"/>
  <c r="S2301" i="9"/>
  <c r="S2295" i="9"/>
  <c r="S2294" i="9"/>
  <c r="T2294" i="9" s="1"/>
  <c r="S2292" i="9"/>
  <c r="S2291" i="9"/>
  <c r="S2290" i="9"/>
  <c r="T2290" i="9" s="1"/>
  <c r="S2289" i="9"/>
  <c r="T2289" i="9" s="1"/>
  <c r="S2288" i="9"/>
  <c r="S2284" i="9"/>
  <c r="S2280" i="9"/>
  <c r="S2279" i="9"/>
  <c r="S2272" i="9"/>
  <c r="T2272" i="9" s="1"/>
  <c r="S2269" i="9"/>
  <c r="T2269" i="9" s="1"/>
  <c r="S2268" i="9"/>
  <c r="T2268" i="9" s="1"/>
  <c r="S2265" i="9"/>
  <c r="S2263" i="9"/>
  <c r="T2263" i="9" s="1"/>
  <c r="S2262" i="9"/>
  <c r="T2262" i="9" s="1"/>
  <c r="S2261" i="9"/>
  <c r="T2261" i="9" s="1"/>
  <c r="S2258" i="9"/>
  <c r="S2257" i="9"/>
  <c r="S2256" i="9"/>
  <c r="S2254" i="9"/>
  <c r="T2254" i="9" s="1"/>
  <c r="S2252" i="9"/>
  <c r="T2252" i="9" s="1"/>
  <c r="S2248" i="9"/>
  <c r="S2247" i="9"/>
  <c r="T2247" i="9" s="1"/>
  <c r="S2234" i="9"/>
  <c r="T2234" i="9" s="1"/>
  <c r="S2236" i="9"/>
  <c r="T2236" i="9" s="1"/>
  <c r="S2237" i="9"/>
  <c r="T2237" i="9" s="1"/>
  <c r="S2232" i="9"/>
  <c r="T2232" i="9" s="1"/>
  <c r="S2228" i="9"/>
  <c r="S2223" i="9"/>
  <c r="S2222" i="9"/>
  <c r="S2221" i="9"/>
  <c r="S2220" i="9"/>
  <c r="S2217" i="9"/>
  <c r="T2217" i="9" s="1"/>
  <c r="S2213" i="9"/>
  <c r="S2212" i="9"/>
  <c r="T2212" i="9" s="1"/>
  <c r="S2183" i="9"/>
  <c r="T2183" i="9" s="1"/>
  <c r="S2187" i="9"/>
  <c r="T2187" i="9" s="1"/>
  <c r="S2188" i="9"/>
  <c r="T2188" i="9" s="1"/>
  <c r="S2190" i="9"/>
  <c r="T2190" i="9" s="1"/>
  <c r="S2191" i="9"/>
  <c r="T2191" i="9" s="1"/>
  <c r="S2193" i="9"/>
  <c r="T2193" i="9" s="1"/>
  <c r="S2194" i="9"/>
  <c r="T2194" i="9" s="1"/>
  <c r="S2196" i="9"/>
  <c r="T2196" i="9" s="1"/>
  <c r="S2197" i="9"/>
  <c r="T2197" i="9" s="1"/>
  <c r="S2205" i="9"/>
  <c r="T2205" i="9" s="1"/>
  <c r="S2182" i="9"/>
  <c r="S2160" i="9"/>
  <c r="T2160" i="9" s="1"/>
  <c r="S2158" i="9"/>
  <c r="S2157" i="9"/>
  <c r="T2157" i="9" s="1"/>
  <c r="S2156" i="9"/>
  <c r="AC2140" i="9"/>
  <c r="AC2139" i="9"/>
  <c r="AC2138" i="9"/>
  <c r="AD2138" i="9" s="1"/>
  <c r="AC2134" i="9"/>
  <c r="S2137" i="9"/>
  <c r="T2137" i="9" s="1"/>
  <c r="S2134" i="9"/>
  <c r="S2133" i="9"/>
  <c r="AC2115" i="9"/>
  <c r="AC2114" i="9"/>
  <c r="AD2114" i="9" s="1"/>
  <c r="AC2112" i="9"/>
  <c r="AD2112" i="9" s="1"/>
  <c r="AC2111" i="9"/>
  <c r="AD2111" i="9" s="1"/>
  <c r="AC2110" i="9"/>
  <c r="AD2110" i="9" s="1"/>
  <c r="AC2109" i="9"/>
  <c r="S2116" i="9"/>
  <c r="T2116" i="9" s="1"/>
  <c r="S2114" i="9"/>
  <c r="S2111" i="9"/>
  <c r="S2109" i="9"/>
  <c r="S2108" i="9"/>
  <c r="T2108" i="9" s="1"/>
  <c r="S2090" i="9"/>
  <c r="T2090" i="9" s="1"/>
  <c r="S2088" i="9"/>
  <c r="T2088" i="9" s="1"/>
  <c r="S2086" i="9"/>
  <c r="S2085" i="9"/>
  <c r="AC2068" i="9"/>
  <c r="AC2067" i="9"/>
  <c r="AD2067" i="9" s="1"/>
  <c r="AC2065" i="9"/>
  <c r="AC2064" i="9"/>
  <c r="AD2064" i="9" s="1"/>
  <c r="AC2062" i="9"/>
  <c r="S2069" i="9"/>
  <c r="T2069" i="9" s="1"/>
  <c r="S2068" i="9"/>
  <c r="T2068" i="9" s="1"/>
  <c r="S2067" i="9"/>
  <c r="S2062" i="9"/>
  <c r="T2062" i="9" s="1"/>
  <c r="S2061" i="9"/>
  <c r="T2061" i="9" s="1"/>
  <c r="S2041" i="9"/>
  <c r="S2039" i="9"/>
  <c r="T2039" i="9" s="1"/>
  <c r="S2038" i="9"/>
  <c r="T2038" i="9" s="1"/>
  <c r="S2017" i="9"/>
  <c r="T2017" i="9" s="1"/>
  <c r="S2016" i="9"/>
  <c r="T2016" i="9" s="1"/>
  <c r="S2015" i="9"/>
  <c r="S1999" i="9"/>
  <c r="T1999" i="9" s="1"/>
  <c r="S1993" i="9"/>
  <c r="S1992" i="9"/>
  <c r="AC1975" i="9"/>
  <c r="AD1975" i="9" s="1"/>
  <c r="AC1976" i="9"/>
  <c r="AD1976" i="9" s="1"/>
  <c r="AC1973" i="9"/>
  <c r="AC1972" i="9"/>
  <c r="AC1970" i="9"/>
  <c r="AD1970" i="9" s="1"/>
  <c r="S1971" i="9"/>
  <c r="T1971" i="9" s="1"/>
  <c r="S1970" i="9"/>
  <c r="S1969" i="9"/>
  <c r="AC1950" i="9"/>
  <c r="AC1949" i="9"/>
  <c r="AD1949" i="9" s="1"/>
  <c r="AC1948" i="9"/>
  <c r="S1951" i="9"/>
  <c r="T1951" i="9" s="1"/>
  <c r="S1952" i="9"/>
  <c r="T1952" i="9" s="1"/>
  <c r="S1949" i="9"/>
  <c r="S1946" i="9"/>
  <c r="S1945" i="9"/>
  <c r="S1944" i="9"/>
  <c r="T1944" i="9" s="1"/>
  <c r="S1927" i="9"/>
  <c r="T1927" i="9" s="1"/>
  <c r="S1924" i="9"/>
  <c r="S1923" i="9"/>
  <c r="S1922" i="9"/>
  <c r="T1922" i="9" s="1"/>
  <c r="S1921" i="9"/>
  <c r="T1921" i="9" s="1"/>
  <c r="S1903" i="9"/>
  <c r="T1903" i="9" s="1"/>
  <c r="S1904" i="9"/>
  <c r="T1904" i="9" s="1"/>
  <c r="S1901" i="9"/>
  <c r="T1901" i="9" s="1"/>
  <c r="S1900" i="9"/>
  <c r="T1900" i="9" s="1"/>
  <c r="S1899" i="9"/>
  <c r="T1899" i="9" s="1"/>
  <c r="S1898" i="9"/>
  <c r="T1898" i="9" s="1"/>
  <c r="S1879" i="9"/>
  <c r="T1879" i="9" s="1"/>
  <c r="S1878" i="9"/>
  <c r="T1878" i="9" s="1"/>
  <c r="S1877" i="9"/>
  <c r="T1877" i="9" s="1"/>
  <c r="S1876" i="9"/>
  <c r="T1876" i="9" s="1"/>
  <c r="S1875" i="9"/>
  <c r="S1856" i="9"/>
  <c r="S1855" i="9"/>
  <c r="T1855" i="9" s="1"/>
  <c r="S1854" i="9"/>
  <c r="S1853" i="9"/>
  <c r="S1852" i="9"/>
  <c r="T1852" i="9" s="1"/>
  <c r="S1834" i="9"/>
  <c r="T1834" i="9" s="1"/>
  <c r="S1833" i="9"/>
  <c r="T1833" i="9" s="1"/>
  <c r="S1830" i="9"/>
  <c r="S1829" i="9"/>
  <c r="S1812" i="9"/>
  <c r="T1812" i="9" s="1"/>
  <c r="S1811" i="9"/>
  <c r="S1810" i="9"/>
  <c r="S1807" i="9"/>
  <c r="S1806" i="9"/>
  <c r="S1788" i="9"/>
  <c r="S1787" i="9"/>
  <c r="T1787" i="9" s="1"/>
  <c r="S1785" i="9"/>
  <c r="T1785" i="9" s="1"/>
  <c r="S1784" i="9"/>
  <c r="T1784" i="9" s="1"/>
  <c r="S1783" i="9"/>
  <c r="S1764" i="9"/>
  <c r="S1763" i="9"/>
  <c r="T1763" i="9" s="1"/>
  <c r="S1762" i="9"/>
  <c r="T1762" i="9" s="1"/>
  <c r="S1760" i="9"/>
  <c r="S1759" i="9"/>
  <c r="S1738" i="9"/>
  <c r="T1738" i="9" s="1"/>
  <c r="S1736" i="9"/>
  <c r="T1736" i="9" s="1"/>
  <c r="S1735" i="9"/>
  <c r="T1735" i="9" s="1"/>
  <c r="S1717" i="9"/>
  <c r="T1717" i="9" s="1"/>
  <c r="S1718" i="9"/>
  <c r="T1718" i="9" s="1"/>
  <c r="S1713" i="9"/>
  <c r="T1713" i="9" s="1"/>
  <c r="S1711" i="9"/>
  <c r="S1710" i="9"/>
  <c r="S1688" i="9"/>
  <c r="T1688" i="9" s="1"/>
  <c r="S1687" i="9"/>
  <c r="AC1671" i="9"/>
  <c r="AD1671" i="9" s="1"/>
  <c r="AC1670" i="9"/>
  <c r="AD1670" i="9" s="1"/>
  <c r="AC1668" i="9"/>
  <c r="AC1667" i="9"/>
  <c r="AD1667" i="9" s="1"/>
  <c r="AC1665" i="9"/>
  <c r="AD1665" i="9" s="1"/>
  <c r="S1671" i="9"/>
  <c r="T1671" i="9" s="1"/>
  <c r="S1670" i="9"/>
  <c r="T1670" i="9" s="1"/>
  <c r="S1669" i="9"/>
  <c r="S1668" i="9"/>
  <c r="T1668" i="9" s="1"/>
  <c r="S1667" i="9"/>
  <c r="S1665" i="9"/>
  <c r="T1665" i="9" s="1"/>
  <c r="S1664" i="9"/>
  <c r="T1664" i="9" s="1"/>
  <c r="AC1643" i="9"/>
  <c r="AC1642" i="9"/>
  <c r="AD1642" i="9" s="1"/>
  <c r="AC1640" i="9"/>
  <c r="AD1640" i="9" s="1"/>
  <c r="AC1639" i="9"/>
  <c r="AD1639" i="9" s="1"/>
  <c r="AC1637" i="9"/>
  <c r="S1642" i="9"/>
  <c r="T1642" i="9" s="1"/>
  <c r="S1643" i="9"/>
  <c r="T1643" i="9" s="1"/>
  <c r="S1645" i="9"/>
  <c r="S1646" i="9"/>
  <c r="T1646" i="9" s="1"/>
  <c r="S1647" i="9"/>
  <c r="T1647" i="9" s="1"/>
  <c r="S1637" i="9"/>
  <c r="S1636" i="9"/>
  <c r="AC1620" i="9"/>
  <c r="AD1620" i="9" s="1"/>
  <c r="AC1619" i="9"/>
  <c r="AC1618" i="9"/>
  <c r="AC1614" i="9"/>
  <c r="AD1614" i="9" s="1"/>
  <c r="S1618" i="9"/>
  <c r="S1617" i="9"/>
  <c r="T1617" i="9" s="1"/>
  <c r="S1616" i="9"/>
  <c r="T1616" i="9" s="1"/>
  <c r="S1614" i="9"/>
  <c r="S1613" i="9"/>
  <c r="T1613" i="9" s="1"/>
  <c r="AC1597" i="9"/>
  <c r="AD1597" i="9" s="1"/>
  <c r="AC1596" i="9"/>
  <c r="AC1595" i="9"/>
  <c r="AC1594" i="9"/>
  <c r="AD1594" i="9" s="1"/>
  <c r="S1595" i="9"/>
  <c r="T1595" i="9" s="1"/>
  <c r="S1594" i="9"/>
  <c r="T1594" i="9" s="1"/>
  <c r="S1593" i="9"/>
  <c r="T1593" i="9" s="1"/>
  <c r="S1591" i="9"/>
  <c r="S1590" i="9"/>
  <c r="T1590" i="9" s="1"/>
  <c r="S1573" i="9"/>
  <c r="T1573" i="9" s="1"/>
  <c r="S1572" i="9"/>
  <c r="T1572" i="9" s="1"/>
  <c r="S1568" i="9"/>
  <c r="S1566" i="9"/>
  <c r="T1566" i="9" s="1"/>
  <c r="S1565" i="9"/>
  <c r="T1565" i="9" s="1"/>
  <c r="S1549" i="9"/>
  <c r="S1548" i="9"/>
  <c r="T1548" i="9" s="1"/>
  <c r="S1543" i="9"/>
  <c r="S1542" i="9"/>
  <c r="AC1524" i="9"/>
  <c r="AC1523" i="9"/>
  <c r="AD1523" i="9" s="1"/>
  <c r="AC1522" i="9"/>
  <c r="AC1518" i="9"/>
  <c r="AD1518" i="9" s="1"/>
  <c r="S1526" i="9"/>
  <c r="T1526" i="9" s="1"/>
  <c r="S1521" i="9"/>
  <c r="T1521" i="9" s="1"/>
  <c r="S1520" i="9"/>
  <c r="T1520" i="9" s="1"/>
  <c r="S1518" i="9"/>
  <c r="S1517" i="9"/>
  <c r="T1517" i="9" s="1"/>
  <c r="AC1501" i="9"/>
  <c r="AD1501" i="9" s="1"/>
  <c r="AC1500" i="9"/>
  <c r="AC1498" i="9"/>
  <c r="AD1498" i="9" s="1"/>
  <c r="AC1497" i="9"/>
  <c r="AC1495" i="9"/>
  <c r="AD1495" i="9" s="1"/>
  <c r="S1498" i="9"/>
  <c r="S1497" i="9"/>
  <c r="S1495" i="9"/>
  <c r="S1494" i="9"/>
  <c r="S1475" i="9"/>
  <c r="T1475" i="9" s="1"/>
  <c r="S1474" i="9"/>
  <c r="S1473" i="9"/>
  <c r="S1472" i="9"/>
  <c r="S1471" i="9"/>
  <c r="S1470" i="9"/>
  <c r="T1470" i="9" s="1"/>
  <c r="S1469" i="9"/>
  <c r="AC1451" i="9"/>
  <c r="AD1451" i="9" s="1"/>
  <c r="AC1452" i="9"/>
  <c r="AD1452" i="9" s="1"/>
  <c r="AC1453" i="9"/>
  <c r="AD1453" i="9" s="1"/>
  <c r="AC1448" i="9"/>
  <c r="AD1448" i="9" s="1"/>
  <c r="AC1447" i="9"/>
  <c r="AC1446" i="9"/>
  <c r="AC1445" i="9"/>
  <c r="S1449" i="9"/>
  <c r="S1448" i="9"/>
  <c r="T1448" i="9" s="1"/>
  <c r="S1447" i="9"/>
  <c r="S1445" i="9"/>
  <c r="S1444" i="9"/>
  <c r="AC1428" i="9"/>
  <c r="AC1427" i="9"/>
  <c r="AD1427" i="9" s="1"/>
  <c r="AC1425" i="9"/>
  <c r="AC1424" i="9"/>
  <c r="AC1422" i="9"/>
  <c r="S1427" i="9"/>
  <c r="T1427" i="9" s="1"/>
  <c r="S1426" i="9"/>
  <c r="S1425" i="9"/>
  <c r="S1422" i="9"/>
  <c r="S1421" i="9"/>
  <c r="AC1403" i="9"/>
  <c r="AD1403" i="9" s="1"/>
  <c r="AC1404" i="9"/>
  <c r="AD1404" i="9" s="1"/>
  <c r="AC1401" i="9"/>
  <c r="AC1400" i="9"/>
  <c r="AC1399" i="9"/>
  <c r="AD1399" i="9" s="1"/>
  <c r="AC1398" i="9"/>
  <c r="S1400" i="9"/>
  <c r="S1397" i="9"/>
  <c r="S1396" i="9"/>
  <c r="S1395" i="9"/>
  <c r="AC1378" i="9"/>
  <c r="AD1378" i="9" s="1"/>
  <c r="S1377" i="9"/>
  <c r="T1377" i="9" s="1"/>
  <c r="S1375" i="9"/>
  <c r="T1375" i="9" s="1"/>
  <c r="S1373" i="9"/>
  <c r="T1373" i="9" s="1"/>
  <c r="S1372" i="9"/>
  <c r="AC1353" i="9"/>
  <c r="AC1352" i="9"/>
  <c r="AC1351" i="9"/>
  <c r="AD1351" i="9" s="1"/>
  <c r="AC1350" i="9"/>
  <c r="AD1350" i="9" s="1"/>
  <c r="P1355" i="9"/>
  <c r="S1352" i="9"/>
  <c r="T1352" i="9" s="1"/>
  <c r="S1351" i="9"/>
  <c r="S1350" i="9"/>
  <c r="S1349" i="9"/>
  <c r="T1349" i="9" s="1"/>
  <c r="AM1331" i="9"/>
  <c r="AN1331" i="9" s="1"/>
  <c r="AM1332" i="9"/>
  <c r="AN1332" i="9" s="1"/>
  <c r="AM1329" i="9"/>
  <c r="AM1328" i="9"/>
  <c r="AN1328" i="9" s="1"/>
  <c r="AM1327" i="9"/>
  <c r="AM1326" i="9"/>
  <c r="AN1326" i="9" s="1"/>
  <c r="AC1324" i="9"/>
  <c r="AD2669" i="9" l="1"/>
  <c r="X80" i="15" s="1"/>
  <c r="E163" i="12"/>
  <c r="F163" i="12"/>
  <c r="G163" i="12" s="1"/>
  <c r="H163" i="12" s="1"/>
  <c r="I163" i="12" s="1"/>
  <c r="Q75" i="5"/>
  <c r="Q85" i="5"/>
  <c r="W15" i="17"/>
  <c r="N18" i="15"/>
  <c r="O18" i="15" s="1"/>
  <c r="P18" i="15" s="1"/>
  <c r="N15" i="15"/>
  <c r="N17" i="15"/>
  <c r="N14" i="15"/>
  <c r="N16" i="15"/>
  <c r="AB40" i="5"/>
  <c r="Q87" i="5"/>
  <c r="Q78" i="5"/>
  <c r="Q74" i="5"/>
  <c r="W45" i="5"/>
  <c r="Q76" i="5"/>
  <c r="Q83" i="5"/>
  <c r="T2981" i="9"/>
  <c r="T2681" i="9"/>
  <c r="T2777" i="9"/>
  <c r="T3261" i="9"/>
  <c r="AO2584" i="9"/>
  <c r="T2663" i="9"/>
  <c r="T2846" i="9"/>
  <c r="T2914" i="9"/>
  <c r="T3029" i="9"/>
  <c r="T3262" i="9"/>
  <c r="T3215" i="9"/>
  <c r="T2912" i="9"/>
  <c r="T2891" i="9"/>
  <c r="T2751" i="9"/>
  <c r="T2635" i="9"/>
  <c r="AN2587" i="9"/>
  <c r="T2585" i="9"/>
  <c r="T3307" i="9"/>
  <c r="T3306" i="9"/>
  <c r="T3280" i="9"/>
  <c r="T3281" i="9"/>
  <c r="T3284" i="9"/>
  <c r="T3282" i="9"/>
  <c r="T3258" i="9"/>
  <c r="T3257" i="9"/>
  <c r="T3238" i="9"/>
  <c r="T3211" i="9"/>
  <c r="T3210" i="9"/>
  <c r="T3187" i="9"/>
  <c r="T3188" i="9"/>
  <c r="T3191" i="9"/>
  <c r="T3167" i="9"/>
  <c r="T3165" i="9"/>
  <c r="T3168" i="9"/>
  <c r="T3164" i="9"/>
  <c r="T3141" i="9"/>
  <c r="T3142" i="9"/>
  <c r="T3145" i="9"/>
  <c r="T3118" i="9"/>
  <c r="T3119" i="9"/>
  <c r="T3122" i="9"/>
  <c r="T3097" i="9"/>
  <c r="T3095" i="9"/>
  <c r="T3098" i="9"/>
  <c r="T3050" i="9"/>
  <c r="T3049" i="9"/>
  <c r="T3028" i="9"/>
  <c r="T3003" i="9"/>
  <c r="T3004" i="9"/>
  <c r="T2980" i="9"/>
  <c r="T2984" i="9"/>
  <c r="T2957" i="9"/>
  <c r="T2960" i="9"/>
  <c r="T2961" i="9"/>
  <c r="T2934" i="9"/>
  <c r="T2935" i="9"/>
  <c r="T2913" i="9"/>
  <c r="T2889" i="9"/>
  <c r="T2890" i="9"/>
  <c r="T2866" i="9"/>
  <c r="T2843" i="9"/>
  <c r="T2844" i="9"/>
  <c r="T2821" i="9"/>
  <c r="T2798" i="9"/>
  <c r="T2774" i="9"/>
  <c r="T2778" i="9"/>
  <c r="T2753" i="9"/>
  <c r="T2729" i="9"/>
  <c r="T2728" i="9"/>
  <c r="T2705" i="9"/>
  <c r="T2682" i="9"/>
  <c r="T2683" i="9"/>
  <c r="T2659" i="9"/>
  <c r="T2636" i="9"/>
  <c r="T2606" i="9"/>
  <c r="AN2584" i="9"/>
  <c r="AN2583" i="9"/>
  <c r="AX2561" i="9"/>
  <c r="AN2563" i="9"/>
  <c r="BH2562" i="9"/>
  <c r="BH2565" i="9"/>
  <c r="AX2560" i="9"/>
  <c r="AN2562" i="9"/>
  <c r="T1740" i="9"/>
  <c r="T1969" i="9"/>
  <c r="T2220" i="9"/>
  <c r="AD1616" i="9"/>
  <c r="T1830" i="9"/>
  <c r="T2228" i="9"/>
  <c r="T2248" i="9"/>
  <c r="T2422" i="9"/>
  <c r="T1542" i="9"/>
  <c r="T2291" i="9"/>
  <c r="AD1522" i="9"/>
  <c r="T1636" i="9"/>
  <c r="AD1641" i="9"/>
  <c r="AD1972" i="9"/>
  <c r="T2256" i="9"/>
  <c r="T1644" i="9"/>
  <c r="T1993" i="9"/>
  <c r="AD2136" i="9"/>
  <c r="T2358" i="9"/>
  <c r="T2418" i="9"/>
  <c r="T2221" i="9"/>
  <c r="T2350" i="9"/>
  <c r="T2015" i="9"/>
  <c r="AD2115" i="9"/>
  <c r="T2293" i="9"/>
  <c r="T2329" i="9"/>
  <c r="T2364" i="9"/>
  <c r="T2470" i="9"/>
  <c r="BH2494" i="9"/>
  <c r="T2514" i="9"/>
  <c r="AD2065" i="9"/>
  <c r="T2561" i="9"/>
  <c r="T2536" i="9"/>
  <c r="T2539" i="9"/>
  <c r="T2513" i="9"/>
  <c r="BH2491" i="9"/>
  <c r="AX2496" i="9"/>
  <c r="AX2491" i="9"/>
  <c r="AX2492" i="9"/>
  <c r="AN2494" i="9"/>
  <c r="AN2492" i="9"/>
  <c r="AN2495" i="9"/>
  <c r="T2491" i="9"/>
  <c r="T2494" i="9"/>
  <c r="T2492" i="9"/>
  <c r="T2465" i="9"/>
  <c r="T2463" i="9"/>
  <c r="T2471" i="9"/>
  <c r="T2464" i="9"/>
  <c r="T2472" i="9"/>
  <c r="T2440" i="9"/>
  <c r="T2448" i="9"/>
  <c r="T2441" i="9"/>
  <c r="T2449" i="9"/>
  <c r="T2419" i="9"/>
  <c r="T2427" i="9"/>
  <c r="T2417" i="9"/>
  <c r="T2425" i="9"/>
  <c r="T2387" i="9"/>
  <c r="T2395" i="9"/>
  <c r="T2403" i="9"/>
  <c r="T2382" i="9"/>
  <c r="T2390" i="9"/>
  <c r="T2398" i="9"/>
  <c r="T2406" i="9"/>
  <c r="T2383" i="9"/>
  <c r="T2391" i="9"/>
  <c r="T2399" i="9"/>
  <c r="T2394" i="9"/>
  <c r="T2355" i="9"/>
  <c r="T2371" i="9"/>
  <c r="T2353" i="9"/>
  <c r="T2361" i="9"/>
  <c r="T2369" i="9"/>
  <c r="T2351" i="9"/>
  <c r="T2359" i="9"/>
  <c r="T2367" i="9"/>
  <c r="T2314" i="9"/>
  <c r="T2322" i="9"/>
  <c r="T2330" i="9"/>
  <c r="T2338" i="9"/>
  <c r="T2341" i="9"/>
  <c r="T2284" i="9"/>
  <c r="T2292" i="9"/>
  <c r="T2300" i="9"/>
  <c r="T2279" i="9"/>
  <c r="T2287" i="9"/>
  <c r="T2295" i="9"/>
  <c r="T2303" i="9"/>
  <c r="T2301" i="9"/>
  <c r="T2280" i="9"/>
  <c r="T2288" i="9"/>
  <c r="T2296" i="9"/>
  <c r="T2304" i="9"/>
  <c r="T2251" i="9"/>
  <c r="T2259" i="9"/>
  <c r="T2267" i="9"/>
  <c r="T2249" i="9"/>
  <c r="T2257" i="9"/>
  <c r="T2265" i="9"/>
  <c r="T2250" i="9"/>
  <c r="T2258" i="9"/>
  <c r="T2266" i="9"/>
  <c r="T2215" i="9"/>
  <c r="T2223" i="9"/>
  <c r="T2231" i="9"/>
  <c r="T2213" i="9"/>
  <c r="T2229" i="9"/>
  <c r="T2214" i="9"/>
  <c r="T2222" i="9"/>
  <c r="T2230" i="9"/>
  <c r="T2182" i="9"/>
  <c r="T2158" i="9"/>
  <c r="T2156" i="9"/>
  <c r="T2159" i="9"/>
  <c r="AD2139" i="9"/>
  <c r="AD2134" i="9"/>
  <c r="AD2137" i="9"/>
  <c r="AD2140" i="9"/>
  <c r="T2134" i="9"/>
  <c r="T2133" i="9"/>
  <c r="AD2109" i="9"/>
  <c r="T2111" i="9"/>
  <c r="T2114" i="9"/>
  <c r="T2109" i="9"/>
  <c r="T2110" i="9"/>
  <c r="T2086" i="9"/>
  <c r="T2089" i="9"/>
  <c r="T2092" i="9"/>
  <c r="T2085" i="9"/>
  <c r="AD2062" i="9"/>
  <c r="AD2068" i="9"/>
  <c r="AD2063" i="9"/>
  <c r="T2064" i="9"/>
  <c r="T2067" i="9"/>
  <c r="T2063" i="9"/>
  <c r="T2041" i="9"/>
  <c r="T2040" i="9"/>
  <c r="T2018" i="9"/>
  <c r="T2021" i="9"/>
  <c r="T2022" i="9"/>
  <c r="T1992" i="9"/>
  <c r="T1995" i="9"/>
  <c r="T1996" i="9"/>
  <c r="AD1973" i="9"/>
  <c r="T1970" i="9"/>
  <c r="AD1950" i="9"/>
  <c r="AD1945" i="9"/>
  <c r="AD1948" i="9"/>
  <c r="T1946" i="9"/>
  <c r="T1949" i="9"/>
  <c r="T1945" i="9"/>
  <c r="T1923" i="9"/>
  <c r="T1924" i="9"/>
  <c r="T1875" i="9"/>
  <c r="T1853" i="9"/>
  <c r="T1856" i="9"/>
  <c r="T1854" i="9"/>
  <c r="T1829" i="9"/>
  <c r="T1807" i="9"/>
  <c r="T1810" i="9"/>
  <c r="T1808" i="9"/>
  <c r="T1811" i="9"/>
  <c r="T1806" i="9"/>
  <c r="T1788" i="9"/>
  <c r="T1783" i="9"/>
  <c r="T1761" i="9"/>
  <c r="T1764" i="9"/>
  <c r="T1759" i="9"/>
  <c r="T1760" i="9"/>
  <c r="T1739" i="9"/>
  <c r="T1737" i="9"/>
  <c r="T1712" i="9"/>
  <c r="T1715" i="9"/>
  <c r="T1710" i="9"/>
  <c r="T1711" i="9"/>
  <c r="T1687" i="9"/>
  <c r="T1690" i="9"/>
  <c r="AD1668" i="9"/>
  <c r="AD1666" i="9"/>
  <c r="AD1669" i="9"/>
  <c r="T1666" i="9"/>
  <c r="T1669" i="9"/>
  <c r="T1667" i="9"/>
  <c r="AD1637" i="9"/>
  <c r="AD1643" i="9"/>
  <c r="AD1638" i="9"/>
  <c r="T1645" i="9"/>
  <c r="T1637" i="9"/>
  <c r="T1638" i="9"/>
  <c r="T1641" i="9"/>
  <c r="AD1615" i="9"/>
  <c r="AD1618" i="9"/>
  <c r="AD1619" i="9"/>
  <c r="T1614" i="9"/>
  <c r="T1615" i="9"/>
  <c r="T1618" i="9"/>
  <c r="AD1595" i="9"/>
  <c r="AD1596" i="9"/>
  <c r="T1591" i="9"/>
  <c r="T1592" i="9"/>
  <c r="T1568" i="9"/>
  <c r="T1571" i="9"/>
  <c r="T1567" i="9"/>
  <c r="T1543" i="9"/>
  <c r="T1546" i="9"/>
  <c r="T1549" i="9"/>
  <c r="T1544" i="9"/>
  <c r="AD1524" i="9"/>
  <c r="T1518" i="9"/>
  <c r="T1519" i="9"/>
  <c r="T1522" i="9"/>
  <c r="AD1496" i="9"/>
  <c r="AD1500" i="9"/>
  <c r="AD1499" i="9"/>
  <c r="AD1497" i="9"/>
  <c r="T1494" i="9"/>
  <c r="T1497" i="9"/>
  <c r="T1495" i="9"/>
  <c r="T1498" i="9"/>
  <c r="T1476" i="9"/>
  <c r="T1474" i="9"/>
  <c r="T1469" i="9"/>
  <c r="T1471" i="9"/>
  <c r="T1472" i="9"/>
  <c r="T1473" i="9"/>
  <c r="AD1446" i="9"/>
  <c r="AD1449" i="9"/>
  <c r="AD1447" i="9"/>
  <c r="AD1450" i="9"/>
  <c r="AD1445" i="9"/>
  <c r="T1446" i="9"/>
  <c r="T1449" i="9"/>
  <c r="T1444" i="9"/>
  <c r="T1447" i="9"/>
  <c r="T1445" i="9"/>
  <c r="AD1424" i="9"/>
  <c r="AD1425" i="9"/>
  <c r="AD1428" i="9"/>
  <c r="AD1422" i="9"/>
  <c r="T1422" i="9"/>
  <c r="T1425" i="9"/>
  <c r="T1423" i="9"/>
  <c r="T1426" i="9"/>
  <c r="T1421" i="9"/>
  <c r="AD1397" i="9"/>
  <c r="AD1400" i="9"/>
  <c r="AD1398" i="9"/>
  <c r="AD1401" i="9"/>
  <c r="T1396" i="9"/>
  <c r="T1399" i="9"/>
  <c r="T1397" i="9"/>
  <c r="T1400" i="9"/>
  <c r="T1395" i="9"/>
  <c r="AD1376" i="9"/>
  <c r="AD1375" i="9"/>
  <c r="AD1377" i="9"/>
  <c r="AD1353" i="9"/>
  <c r="T1374" i="9"/>
  <c r="T1372" i="9"/>
  <c r="AD1352" i="9"/>
  <c r="T1350" i="9"/>
  <c r="T1351" i="9"/>
  <c r="AN1329" i="9"/>
  <c r="AN1324" i="9"/>
  <c r="AN1327" i="9"/>
  <c r="AN1330" i="9"/>
  <c r="R19" i="5"/>
  <c r="R15" i="5"/>
  <c r="R16" i="5" s="1"/>
  <c r="R18" i="5" s="1"/>
  <c r="R20" i="5" s="1"/>
  <c r="R14" i="5"/>
  <c r="R13" i="5"/>
  <c r="R11" i="5"/>
  <c r="BL11" i="15"/>
  <c r="BE11" i="15"/>
  <c r="BD39" i="15" s="1"/>
  <c r="BE39" i="15" s="1"/>
  <c r="BB11" i="15"/>
  <c r="AY11" i="15"/>
  <c r="AJ11" i="15"/>
  <c r="AI39" i="15" s="1"/>
  <c r="AJ39" i="15" s="1"/>
  <c r="AG11" i="15"/>
  <c r="AD11" i="15"/>
  <c r="Z11" i="15"/>
  <c r="W11" i="15"/>
  <c r="T11" i="15"/>
  <c r="O11" i="15"/>
  <c r="K79" i="14"/>
  <c r="J79" i="14"/>
  <c r="I79" i="14"/>
  <c r="H79" i="14"/>
  <c r="G79" i="14"/>
  <c r="F64" i="14"/>
  <c r="E64" i="14"/>
  <c r="F56" i="14"/>
  <c r="E56" i="14"/>
  <c r="F34" i="14"/>
  <c r="E34" i="14"/>
  <c r="F21" i="14"/>
  <c r="E21" i="14"/>
  <c r="M10" i="14"/>
  <c r="M5" i="14"/>
  <c r="F35" i="6"/>
  <c r="F34" i="6"/>
  <c r="F36" i="6" s="1"/>
  <c r="X21" i="6"/>
  <c r="O21" i="6"/>
  <c r="X20" i="6"/>
  <c r="O20" i="6"/>
  <c r="O19" i="6"/>
  <c r="AQ17" i="6"/>
  <c r="F17" i="6"/>
  <c r="AQ16" i="6"/>
  <c r="F16" i="6"/>
  <c r="AZ15" i="6"/>
  <c r="AQ15" i="6"/>
  <c r="AZ14" i="6"/>
  <c r="AQ14" i="6"/>
  <c r="AZ13" i="6"/>
  <c r="AZ16" i="6" s="1"/>
  <c r="M94" i="4"/>
  <c r="M93" i="4"/>
  <c r="M85" i="4"/>
  <c r="M84" i="4"/>
  <c r="M83" i="4"/>
  <c r="M82" i="4"/>
  <c r="M81" i="4"/>
  <c r="M80" i="4"/>
  <c r="M79" i="4"/>
  <c r="K78" i="4"/>
  <c r="M77" i="4"/>
  <c r="M76" i="4"/>
  <c r="M75" i="4"/>
  <c r="M74" i="4"/>
  <c r="M73" i="4"/>
  <c r="M71" i="4"/>
  <c r="M70" i="4"/>
  <c r="M69" i="4"/>
  <c r="M68" i="4"/>
  <c r="M67" i="4"/>
  <c r="M66" i="4"/>
  <c r="M65" i="4"/>
  <c r="M64" i="4"/>
  <c r="M63" i="4"/>
  <c r="M62" i="4"/>
  <c r="M61" i="4"/>
  <c r="M60" i="4"/>
  <c r="M59"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4" i="4"/>
  <c r="S36" i="10"/>
  <c r="O36" i="10"/>
  <c r="K36" i="10"/>
  <c r="G36" i="10"/>
  <c r="S35" i="10"/>
  <c r="O35" i="10"/>
  <c r="K35" i="10"/>
  <c r="G35" i="10"/>
  <c r="S34" i="10"/>
  <c r="O34" i="10"/>
  <c r="K34" i="10"/>
  <c r="G34" i="10"/>
  <c r="S33" i="10"/>
  <c r="O33" i="10"/>
  <c r="K33" i="10"/>
  <c r="G33" i="10"/>
  <c r="S32" i="10"/>
  <c r="O32" i="10"/>
  <c r="K32" i="10"/>
  <c r="G32" i="10"/>
  <c r="S31" i="10"/>
  <c r="O31" i="10"/>
  <c r="K31" i="10"/>
  <c r="G31" i="10"/>
  <c r="S30" i="10"/>
  <c r="O30" i="10"/>
  <c r="K30" i="10"/>
  <c r="G30" i="10"/>
  <c r="S29" i="10"/>
  <c r="O29" i="10"/>
  <c r="K29" i="10"/>
  <c r="Q24" i="10"/>
  <c r="M24" i="10"/>
  <c r="I24" i="10"/>
  <c r="E24" i="10"/>
  <c r="Q23" i="10"/>
  <c r="M23" i="10"/>
  <c r="I23" i="10"/>
  <c r="E23" i="10"/>
  <c r="Q22" i="10"/>
  <c r="M22" i="10"/>
  <c r="I22" i="10"/>
  <c r="E22" i="10"/>
  <c r="Q21" i="10"/>
  <c r="M21" i="10"/>
  <c r="I21" i="10"/>
  <c r="E21" i="10"/>
  <c r="Q20" i="10"/>
  <c r="I20" i="10"/>
  <c r="Q19" i="10"/>
  <c r="M19" i="10"/>
  <c r="I19" i="10"/>
  <c r="E19" i="10"/>
  <c r="Q18" i="10"/>
  <c r="M18" i="10"/>
  <c r="I18" i="10"/>
  <c r="E18" i="10"/>
  <c r="M17" i="10"/>
  <c r="I17" i="10"/>
  <c r="E17" i="10"/>
  <c r="T13" i="10"/>
  <c r="S13" i="10"/>
  <c r="R13" i="10"/>
  <c r="Q13" i="10"/>
  <c r="P13" i="10"/>
  <c r="O13" i="10"/>
  <c r="N13" i="10"/>
  <c r="M13" i="10"/>
  <c r="L13" i="10"/>
  <c r="K13" i="10"/>
  <c r="J13" i="10"/>
  <c r="I13" i="10"/>
  <c r="H13" i="10"/>
  <c r="G13" i="10"/>
  <c r="F13" i="10"/>
  <c r="E13" i="10"/>
  <c r="D13" i="10"/>
  <c r="T12" i="10"/>
  <c r="S12" i="10"/>
  <c r="R12" i="10"/>
  <c r="Q12" i="10"/>
  <c r="P12" i="10"/>
  <c r="O12" i="10"/>
  <c r="N12" i="10"/>
  <c r="M12" i="10"/>
  <c r="L12" i="10"/>
  <c r="K12" i="10"/>
  <c r="J12" i="10"/>
  <c r="I12" i="10"/>
  <c r="H12" i="10"/>
  <c r="G12" i="10"/>
  <c r="F12" i="10"/>
  <c r="E12" i="10"/>
  <c r="D12" i="10"/>
  <c r="T11" i="10"/>
  <c r="S11" i="10"/>
  <c r="R11" i="10"/>
  <c r="Q11" i="10"/>
  <c r="P11" i="10"/>
  <c r="O11" i="10"/>
  <c r="N11" i="10"/>
  <c r="M11" i="10"/>
  <c r="L11" i="10"/>
  <c r="K11" i="10"/>
  <c r="J11" i="10"/>
  <c r="I11" i="10"/>
  <c r="H11" i="10"/>
  <c r="G11" i="10"/>
  <c r="F11" i="10"/>
  <c r="E11" i="10"/>
  <c r="D11" i="10"/>
  <c r="T10" i="10"/>
  <c r="S10" i="10"/>
  <c r="R10" i="10"/>
  <c r="Q10" i="10"/>
  <c r="P10" i="10"/>
  <c r="O10" i="10"/>
  <c r="N10" i="10"/>
  <c r="M10" i="10"/>
  <c r="L10" i="10"/>
  <c r="K10" i="10"/>
  <c r="J10" i="10"/>
  <c r="I10" i="10"/>
  <c r="H10" i="10"/>
  <c r="G10" i="10"/>
  <c r="F10" i="10"/>
  <c r="E10" i="10"/>
  <c r="D10" i="10"/>
  <c r="T9" i="10"/>
  <c r="S9" i="10"/>
  <c r="R9" i="10"/>
  <c r="Q9" i="10"/>
  <c r="P9" i="10"/>
  <c r="O9" i="10"/>
  <c r="N9" i="10"/>
  <c r="M9" i="10"/>
  <c r="L9" i="10"/>
  <c r="K9" i="10"/>
  <c r="J9" i="10"/>
  <c r="I9" i="10"/>
  <c r="H9" i="10"/>
  <c r="G9" i="10"/>
  <c r="F9" i="10"/>
  <c r="E9" i="10"/>
  <c r="D9" i="10"/>
  <c r="T8" i="10"/>
  <c r="S8" i="10"/>
  <c r="R8" i="10"/>
  <c r="Q8" i="10"/>
  <c r="P8" i="10"/>
  <c r="O8" i="10"/>
  <c r="N8" i="10"/>
  <c r="M8" i="10"/>
  <c r="L8" i="10"/>
  <c r="K8" i="10"/>
  <c r="J8" i="10"/>
  <c r="I8" i="10"/>
  <c r="H8" i="10"/>
  <c r="G8" i="10"/>
  <c r="F8" i="10"/>
  <c r="E8" i="10"/>
  <c r="D8" i="10"/>
  <c r="T7" i="10"/>
  <c r="S7" i="10"/>
  <c r="R7" i="10"/>
  <c r="Q7" i="10"/>
  <c r="P7" i="10"/>
  <c r="O7" i="10"/>
  <c r="N7" i="10"/>
  <c r="M7" i="10"/>
  <c r="L7" i="10"/>
  <c r="K7" i="10"/>
  <c r="J7" i="10"/>
  <c r="I7" i="10"/>
  <c r="H7" i="10"/>
  <c r="G7" i="10"/>
  <c r="F7" i="10"/>
  <c r="E7" i="10"/>
  <c r="D7" i="10"/>
  <c r="T6" i="10"/>
  <c r="S6" i="10"/>
  <c r="R6" i="10"/>
  <c r="Q6" i="10"/>
  <c r="P6" i="10"/>
  <c r="O6" i="10"/>
  <c r="N6" i="10"/>
  <c r="M6" i="10"/>
  <c r="L6" i="10"/>
  <c r="K6" i="10"/>
  <c r="J6" i="10"/>
  <c r="I6" i="10"/>
  <c r="H6" i="10"/>
  <c r="G6" i="10"/>
  <c r="F6" i="10"/>
  <c r="E6" i="10"/>
  <c r="D6" i="10"/>
  <c r="T4" i="10"/>
  <c r="P3312" i="9"/>
  <c r="O3308" i="9"/>
  <c r="N3308" i="9"/>
  <c r="Q3308" i="9" s="1"/>
  <c r="U3308" i="9" s="1"/>
  <c r="O3307" i="9"/>
  <c r="N3307" i="9"/>
  <c r="Q3307" i="9" s="1"/>
  <c r="U3307" i="9" s="1"/>
  <c r="O3306" i="9"/>
  <c r="N3306" i="9"/>
  <c r="Q3306" i="9" s="1"/>
  <c r="U3306" i="9" s="1"/>
  <c r="O3305" i="9"/>
  <c r="N3305" i="9"/>
  <c r="Q3305" i="9" s="1"/>
  <c r="U3305" i="9" s="1"/>
  <c r="O3304" i="9"/>
  <c r="N3304" i="9"/>
  <c r="Q3304" i="9" s="1"/>
  <c r="U3304" i="9" s="1"/>
  <c r="O3303" i="9"/>
  <c r="N3303" i="9"/>
  <c r="Q3303" i="9" s="1"/>
  <c r="U3303" i="9" s="1"/>
  <c r="P3289" i="9"/>
  <c r="O3288" i="9"/>
  <c r="N3288" i="9"/>
  <c r="Q3288" i="9" s="1"/>
  <c r="U3288" i="9" s="1"/>
  <c r="O3287" i="9"/>
  <c r="N3287" i="9"/>
  <c r="Q3287" i="9" s="1"/>
  <c r="U3287" i="9" s="1"/>
  <c r="O3286" i="9"/>
  <c r="N3286" i="9"/>
  <c r="Q3286" i="9" s="1"/>
  <c r="U3286" i="9" s="1"/>
  <c r="O3285" i="9"/>
  <c r="N3285" i="9"/>
  <c r="Q3285" i="9" s="1"/>
  <c r="U3285" i="9" s="1"/>
  <c r="O3284" i="9"/>
  <c r="N3284" i="9"/>
  <c r="Q3284" i="9" s="1"/>
  <c r="U3284" i="9" s="1"/>
  <c r="O3283" i="9"/>
  <c r="N3283" i="9"/>
  <c r="O3282" i="9"/>
  <c r="N3282" i="9"/>
  <c r="Q3282" i="9" s="1"/>
  <c r="U3282" i="9" s="1"/>
  <c r="O3281" i="9"/>
  <c r="N3281" i="9"/>
  <c r="Q3281" i="9" s="1"/>
  <c r="U3281" i="9" s="1"/>
  <c r="O3280" i="9"/>
  <c r="N3280" i="9"/>
  <c r="Q3280" i="9" s="1"/>
  <c r="U3280" i="9" s="1"/>
  <c r="P3266" i="9"/>
  <c r="O3264" i="9"/>
  <c r="N3264" i="9"/>
  <c r="Q3264" i="9" s="1"/>
  <c r="U3264" i="9" s="1"/>
  <c r="O3263" i="9"/>
  <c r="N3263" i="9"/>
  <c r="Q3263" i="9" s="1"/>
  <c r="U3263" i="9" s="1"/>
  <c r="O3262" i="9"/>
  <c r="N3262" i="9"/>
  <c r="Q3262" i="9" s="1"/>
  <c r="U3262" i="9" s="1"/>
  <c r="O3261" i="9"/>
  <c r="N3261" i="9"/>
  <c r="Q3261" i="9" s="1"/>
  <c r="U3261" i="9" s="1"/>
  <c r="O3260" i="9"/>
  <c r="N3260" i="9"/>
  <c r="Q3260" i="9" s="1"/>
  <c r="U3260" i="9" s="1"/>
  <c r="O3259" i="9"/>
  <c r="N3259" i="9"/>
  <c r="Q3259" i="9" s="1"/>
  <c r="U3259" i="9" s="1"/>
  <c r="O3258" i="9"/>
  <c r="N3258" i="9"/>
  <c r="Q3258" i="9" s="1"/>
  <c r="U3258" i="9" s="1"/>
  <c r="O3257" i="9"/>
  <c r="N3257" i="9"/>
  <c r="O3239" i="9"/>
  <c r="N3239" i="9"/>
  <c r="Q3239" i="9" s="1"/>
  <c r="U3239" i="9" s="1"/>
  <c r="O3238" i="9"/>
  <c r="N3238" i="9"/>
  <c r="Q3238" i="9" s="1"/>
  <c r="U3238" i="9" s="1"/>
  <c r="O3237" i="9"/>
  <c r="N3237" i="9"/>
  <c r="Q3237" i="9" s="1"/>
  <c r="U3237" i="9" s="1"/>
  <c r="O3236" i="9"/>
  <c r="N3236" i="9"/>
  <c r="O3235" i="9"/>
  <c r="N3235" i="9"/>
  <c r="Q3235" i="9" s="1"/>
  <c r="U3235" i="9" s="1"/>
  <c r="O3234" i="9"/>
  <c r="N3234" i="9"/>
  <c r="P3220" i="9"/>
  <c r="O3219" i="9"/>
  <c r="N3219" i="9"/>
  <c r="Q3219" i="9" s="1"/>
  <c r="U3219" i="9" s="1"/>
  <c r="O3218" i="9"/>
  <c r="N3218" i="9"/>
  <c r="Q3218" i="9" s="1"/>
  <c r="U3218" i="9" s="1"/>
  <c r="O3217" i="9"/>
  <c r="N3217" i="9"/>
  <c r="Q3217" i="9" s="1"/>
  <c r="U3217" i="9" s="1"/>
  <c r="O3216" i="9"/>
  <c r="N3216" i="9"/>
  <c r="Q3216" i="9" s="1"/>
  <c r="U3216" i="9" s="1"/>
  <c r="O3215" i="9"/>
  <c r="N3215" i="9"/>
  <c r="Q3215" i="9" s="1"/>
  <c r="U3215" i="9" s="1"/>
  <c r="O3214" i="9"/>
  <c r="N3214" i="9"/>
  <c r="Q3214" i="9" s="1"/>
  <c r="U3214" i="9" s="1"/>
  <c r="O3213" i="9"/>
  <c r="N3213" i="9"/>
  <c r="Q3213" i="9" s="1"/>
  <c r="U3213" i="9" s="1"/>
  <c r="O3212" i="9"/>
  <c r="N3212" i="9"/>
  <c r="Q3212" i="9" s="1"/>
  <c r="U3212" i="9" s="1"/>
  <c r="O3211" i="9"/>
  <c r="N3211" i="9"/>
  <c r="Q3211" i="9" s="1"/>
  <c r="U3211" i="9" s="1"/>
  <c r="O3210" i="9"/>
  <c r="N3210" i="9"/>
  <c r="Q3210" i="9" s="1"/>
  <c r="U3210" i="9" s="1"/>
  <c r="P3195" i="9"/>
  <c r="O3192" i="9"/>
  <c r="N3192" i="9"/>
  <c r="Q3192" i="9" s="1"/>
  <c r="U3192" i="9" s="1"/>
  <c r="O3191" i="9"/>
  <c r="N3191" i="9"/>
  <c r="Q3191" i="9" s="1"/>
  <c r="U3191" i="9" s="1"/>
  <c r="O3190" i="9"/>
  <c r="N3190" i="9"/>
  <c r="Q3190" i="9" s="1"/>
  <c r="U3190" i="9" s="1"/>
  <c r="O3189" i="9"/>
  <c r="N3189" i="9"/>
  <c r="Q3189" i="9" s="1"/>
  <c r="U3189" i="9" s="1"/>
  <c r="O3188" i="9"/>
  <c r="N3188" i="9"/>
  <c r="Q3188" i="9" s="1"/>
  <c r="U3188" i="9" s="1"/>
  <c r="O3187" i="9"/>
  <c r="N3187" i="9"/>
  <c r="P3172" i="9"/>
  <c r="O3168" i="9"/>
  <c r="N3168" i="9"/>
  <c r="Q3168" i="9" s="1"/>
  <c r="U3168" i="9" s="1"/>
  <c r="O3167" i="9"/>
  <c r="N3167" i="9"/>
  <c r="Q3167" i="9" s="1"/>
  <c r="U3167" i="9" s="1"/>
  <c r="O3166" i="9"/>
  <c r="N3166" i="9"/>
  <c r="Q3166" i="9" s="1"/>
  <c r="U3166" i="9" s="1"/>
  <c r="O3165" i="9"/>
  <c r="N3165" i="9"/>
  <c r="O3164" i="9"/>
  <c r="N3164" i="9"/>
  <c r="Q3164" i="9" s="1"/>
  <c r="U3164" i="9" s="1"/>
  <c r="P3149" i="9"/>
  <c r="O3145" i="9"/>
  <c r="N3145" i="9"/>
  <c r="Q3145" i="9" s="1"/>
  <c r="U3145" i="9" s="1"/>
  <c r="O3144" i="9"/>
  <c r="N3144" i="9"/>
  <c r="Q3144" i="9" s="1"/>
  <c r="U3144" i="9" s="1"/>
  <c r="O3143" i="9"/>
  <c r="N3143" i="9"/>
  <c r="Q3143" i="9" s="1"/>
  <c r="U3143" i="9" s="1"/>
  <c r="O3142" i="9"/>
  <c r="N3142" i="9"/>
  <c r="Q3142" i="9" s="1"/>
  <c r="U3142" i="9" s="1"/>
  <c r="O3141" i="9"/>
  <c r="N3141" i="9"/>
  <c r="Q3141" i="9" s="1"/>
  <c r="U3141" i="9" s="1"/>
  <c r="P3126" i="9"/>
  <c r="O3122" i="9"/>
  <c r="N3122" i="9"/>
  <c r="Q3122" i="9" s="1"/>
  <c r="U3122" i="9" s="1"/>
  <c r="O3121" i="9"/>
  <c r="N3121" i="9"/>
  <c r="Q3121" i="9" s="1"/>
  <c r="U3121" i="9" s="1"/>
  <c r="O3120" i="9"/>
  <c r="N3120" i="9"/>
  <c r="Q3120" i="9" s="1"/>
  <c r="U3120" i="9" s="1"/>
  <c r="O3119" i="9"/>
  <c r="N3119" i="9"/>
  <c r="Q3119" i="9" s="1"/>
  <c r="U3119" i="9" s="1"/>
  <c r="O3118" i="9"/>
  <c r="N3118" i="9"/>
  <c r="Q3118" i="9" s="1"/>
  <c r="U3118" i="9" s="1"/>
  <c r="P3103" i="9"/>
  <c r="O3099" i="9"/>
  <c r="N3099" i="9"/>
  <c r="Q3099" i="9" s="1"/>
  <c r="U3099" i="9" s="1"/>
  <c r="O3098" i="9"/>
  <c r="N3098" i="9"/>
  <c r="Q3098" i="9" s="1"/>
  <c r="U3098" i="9" s="1"/>
  <c r="O3097" i="9"/>
  <c r="N3097" i="9"/>
  <c r="Q3097" i="9" s="1"/>
  <c r="U3097" i="9" s="1"/>
  <c r="O3096" i="9"/>
  <c r="N3096" i="9"/>
  <c r="Q3096" i="9" s="1"/>
  <c r="U3096" i="9" s="1"/>
  <c r="O3095" i="9"/>
  <c r="N3095" i="9"/>
  <c r="P3080" i="9"/>
  <c r="O3078" i="9"/>
  <c r="N3078" i="9"/>
  <c r="Q3078" i="9" s="1"/>
  <c r="U3078" i="9" s="1"/>
  <c r="O3077" i="9"/>
  <c r="N3077" i="9"/>
  <c r="Q3077" i="9" s="1"/>
  <c r="U3077" i="9" s="1"/>
  <c r="O3076" i="9"/>
  <c r="N3076" i="9"/>
  <c r="Q3076" i="9" s="1"/>
  <c r="U3076" i="9" s="1"/>
  <c r="O3075" i="9"/>
  <c r="N3075" i="9"/>
  <c r="Q3075" i="9" s="1"/>
  <c r="U3075" i="9" s="1"/>
  <c r="O3074" i="9"/>
  <c r="N3074" i="9"/>
  <c r="Q3074" i="9" s="1"/>
  <c r="U3074" i="9" s="1"/>
  <c r="O3073" i="9"/>
  <c r="N3073" i="9"/>
  <c r="Q3073" i="9" s="1"/>
  <c r="U3073" i="9" s="1"/>
  <c r="O3072" i="9"/>
  <c r="N3072" i="9"/>
  <c r="Q3072" i="9" s="1"/>
  <c r="U3072" i="9" s="1"/>
  <c r="P3058" i="9"/>
  <c r="O3056" i="9"/>
  <c r="N3056" i="9"/>
  <c r="Q3056" i="9" s="1"/>
  <c r="U3056" i="9" s="1"/>
  <c r="O3055" i="9"/>
  <c r="N3055" i="9"/>
  <c r="Q3055" i="9" s="1"/>
  <c r="U3055" i="9" s="1"/>
  <c r="O3054" i="9"/>
  <c r="N3054" i="9"/>
  <c r="Q3054" i="9" s="1"/>
  <c r="U3054" i="9" s="1"/>
  <c r="O3053" i="9"/>
  <c r="N3053" i="9"/>
  <c r="Q3053" i="9" s="1"/>
  <c r="U3053" i="9" s="1"/>
  <c r="O3052" i="9"/>
  <c r="N3052" i="9"/>
  <c r="Q3052" i="9" s="1"/>
  <c r="U3052" i="9" s="1"/>
  <c r="O3051" i="9"/>
  <c r="N3051" i="9"/>
  <c r="O3050" i="9"/>
  <c r="N3050" i="9"/>
  <c r="Q3050" i="9" s="1"/>
  <c r="U3050" i="9" s="1"/>
  <c r="O3049" i="9"/>
  <c r="N3049" i="9"/>
  <c r="Q3049" i="9" s="1"/>
  <c r="U3049" i="9" s="1"/>
  <c r="O3029" i="9"/>
  <c r="N3029" i="9"/>
  <c r="Q3029" i="9" s="1"/>
  <c r="U3029" i="9" s="1"/>
  <c r="O3028" i="9"/>
  <c r="N3028" i="9"/>
  <c r="Q3028" i="9" s="1"/>
  <c r="U3028" i="9" s="1"/>
  <c r="O3027" i="9"/>
  <c r="N3027" i="9"/>
  <c r="Q3027" i="9" s="1"/>
  <c r="O3026" i="9"/>
  <c r="N3026" i="9"/>
  <c r="O3006" i="9"/>
  <c r="N3006" i="9"/>
  <c r="Q3006" i="9" s="1"/>
  <c r="U3006" i="9" s="1"/>
  <c r="O3005" i="9"/>
  <c r="N3005" i="9"/>
  <c r="O3004" i="9"/>
  <c r="N3004" i="9"/>
  <c r="Q3004" i="9" s="1"/>
  <c r="U3004" i="9" s="1"/>
  <c r="O3003" i="9"/>
  <c r="N3003" i="9"/>
  <c r="P2988" i="9"/>
  <c r="O2984" i="9"/>
  <c r="N2984" i="9"/>
  <c r="Q2984" i="9" s="1"/>
  <c r="U2984" i="9" s="1"/>
  <c r="O2983" i="9"/>
  <c r="N2983" i="9"/>
  <c r="Q2983" i="9" s="1"/>
  <c r="U2983" i="9" s="1"/>
  <c r="O2982" i="9"/>
  <c r="N2982" i="9"/>
  <c r="Q2982" i="9" s="1"/>
  <c r="U2982" i="9" s="1"/>
  <c r="O2981" i="9"/>
  <c r="N2981" i="9"/>
  <c r="Q2981" i="9" s="1"/>
  <c r="U2981" i="9" s="1"/>
  <c r="O2980" i="9"/>
  <c r="N2980" i="9"/>
  <c r="Q2980" i="9" s="1"/>
  <c r="U2980" i="9" s="1"/>
  <c r="P2965" i="9"/>
  <c r="O2961" i="9"/>
  <c r="N2961" i="9"/>
  <c r="Q2961" i="9" s="1"/>
  <c r="U2961" i="9" s="1"/>
  <c r="O2960" i="9"/>
  <c r="N2960" i="9"/>
  <c r="Q2960" i="9" s="1"/>
  <c r="U2960" i="9" s="1"/>
  <c r="O2959" i="9"/>
  <c r="N2959" i="9"/>
  <c r="Q2959" i="9" s="1"/>
  <c r="U2959" i="9" s="1"/>
  <c r="O2958" i="9"/>
  <c r="N2958" i="9"/>
  <c r="Q2958" i="9" s="1"/>
  <c r="U2958" i="9" s="1"/>
  <c r="O2957" i="9"/>
  <c r="N2957" i="9"/>
  <c r="Q2957" i="9" s="1"/>
  <c r="O2937" i="9"/>
  <c r="N2937" i="9"/>
  <c r="Q2937" i="9" s="1"/>
  <c r="U2937" i="9" s="1"/>
  <c r="O2936" i="9"/>
  <c r="N2936" i="9"/>
  <c r="Q2936" i="9" s="1"/>
  <c r="U2936" i="9" s="1"/>
  <c r="O2935" i="9"/>
  <c r="N2935" i="9"/>
  <c r="Q2935" i="9" s="1"/>
  <c r="U2935" i="9" s="1"/>
  <c r="O2934" i="9"/>
  <c r="P2920" i="9"/>
  <c r="O2916" i="9"/>
  <c r="N2916" i="9"/>
  <c r="Q2916" i="9" s="1"/>
  <c r="U2916" i="9" s="1"/>
  <c r="O2915" i="9"/>
  <c r="N2915" i="9"/>
  <c r="Q2915" i="9" s="1"/>
  <c r="U2915" i="9" s="1"/>
  <c r="O2914" i="9"/>
  <c r="N2914" i="9"/>
  <c r="O2913" i="9"/>
  <c r="N2913" i="9"/>
  <c r="Q2913" i="9" s="1"/>
  <c r="U2913" i="9" s="1"/>
  <c r="O2912" i="9"/>
  <c r="N2912" i="9"/>
  <c r="Q2912" i="9" s="1"/>
  <c r="U2912" i="9" s="1"/>
  <c r="P2897" i="9"/>
  <c r="O2894" i="9"/>
  <c r="N2894" i="9"/>
  <c r="Q2894" i="9" s="1"/>
  <c r="U2894" i="9" s="1"/>
  <c r="O2893" i="9"/>
  <c r="N2893" i="9"/>
  <c r="Q2893" i="9" s="1"/>
  <c r="U2893" i="9" s="1"/>
  <c r="O2892" i="9"/>
  <c r="N2892" i="9"/>
  <c r="Q2892" i="9" s="1"/>
  <c r="U2892" i="9" s="1"/>
  <c r="O2891" i="9"/>
  <c r="N2891" i="9"/>
  <c r="Q2891" i="9" s="1"/>
  <c r="U2891" i="9" s="1"/>
  <c r="O2890" i="9"/>
  <c r="N2890" i="9"/>
  <c r="O2889" i="9"/>
  <c r="N2889" i="9"/>
  <c r="Q2889" i="9" s="1"/>
  <c r="U2889" i="9" s="1"/>
  <c r="P2874" i="9"/>
  <c r="O2870" i="9"/>
  <c r="N2870" i="9"/>
  <c r="Q2870" i="9" s="1"/>
  <c r="U2870" i="9" s="1"/>
  <c r="O2869" i="9"/>
  <c r="Q2869" i="9"/>
  <c r="U2869" i="9" s="1"/>
  <c r="O2868" i="9"/>
  <c r="N2868" i="9"/>
  <c r="Q2868" i="9" s="1"/>
  <c r="U2868" i="9" s="1"/>
  <c r="O2867" i="9"/>
  <c r="N2867" i="9"/>
  <c r="Q2867" i="9" s="1"/>
  <c r="U2867" i="9" s="1"/>
  <c r="O2866" i="9"/>
  <c r="N2866" i="9"/>
  <c r="Q2866" i="9" s="1"/>
  <c r="U2866" i="9" s="1"/>
  <c r="P2851" i="9"/>
  <c r="O2847" i="9"/>
  <c r="N2847" i="9"/>
  <c r="Q2847" i="9" s="1"/>
  <c r="U2847" i="9" s="1"/>
  <c r="O2846" i="9"/>
  <c r="N2846" i="9"/>
  <c r="Q2846" i="9" s="1"/>
  <c r="U2846" i="9" s="1"/>
  <c r="O2845" i="9"/>
  <c r="N2845" i="9"/>
  <c r="Q2845" i="9" s="1"/>
  <c r="U2845" i="9" s="1"/>
  <c r="O2844" i="9"/>
  <c r="N2844" i="9"/>
  <c r="Q2844" i="9" s="1"/>
  <c r="U2844" i="9" s="1"/>
  <c r="O2843" i="9"/>
  <c r="N2843" i="9"/>
  <c r="Q2843" i="9" s="1"/>
  <c r="U2843" i="9" s="1"/>
  <c r="P2828" i="9"/>
  <c r="O2824" i="9"/>
  <c r="N2824" i="9"/>
  <c r="Q2824" i="9" s="1"/>
  <c r="U2824" i="9" s="1"/>
  <c r="O2823" i="9"/>
  <c r="N2823" i="9"/>
  <c r="Q2823" i="9" s="1"/>
  <c r="U2823" i="9" s="1"/>
  <c r="O2822" i="9"/>
  <c r="N2822" i="9"/>
  <c r="O2821" i="9"/>
  <c r="N2821" i="9"/>
  <c r="Q2821" i="9" s="1"/>
  <c r="U2821" i="9" s="1"/>
  <c r="O2820" i="9"/>
  <c r="Q2820" i="9"/>
  <c r="U2820" i="9" s="1"/>
  <c r="O2800" i="9"/>
  <c r="N2800" i="9"/>
  <c r="Q2800" i="9" s="1"/>
  <c r="U2800" i="9" s="1"/>
  <c r="O2799" i="9"/>
  <c r="N2799" i="9"/>
  <c r="Q2799" i="9" s="1"/>
  <c r="U2799" i="9" s="1"/>
  <c r="O2798" i="9"/>
  <c r="N2798" i="9"/>
  <c r="Q2798" i="9" s="1"/>
  <c r="U2798" i="9" s="1"/>
  <c r="O2797" i="9"/>
  <c r="N2797" i="9"/>
  <c r="P2782" i="9"/>
  <c r="O2779" i="9"/>
  <c r="Q2779" i="9"/>
  <c r="U2779" i="9" s="1"/>
  <c r="O2778" i="9"/>
  <c r="Q2778" i="9"/>
  <c r="U2778" i="9" s="1"/>
  <c r="O2777" i="9"/>
  <c r="Q2777" i="9"/>
  <c r="U2777" i="9" s="1"/>
  <c r="O2776" i="9"/>
  <c r="Q2776" i="9"/>
  <c r="U2776" i="9" s="1"/>
  <c r="O2775" i="9"/>
  <c r="Q2775" i="9"/>
  <c r="U2775" i="9" s="1"/>
  <c r="O2774" i="9"/>
  <c r="Q2774" i="9"/>
  <c r="U2774" i="9" s="1"/>
  <c r="P2759" i="9"/>
  <c r="O2755" i="9"/>
  <c r="N2755" i="9"/>
  <c r="Q2755" i="9" s="1"/>
  <c r="U2755" i="9" s="1"/>
  <c r="O2754" i="9"/>
  <c r="N2754" i="9"/>
  <c r="Q2754" i="9" s="1"/>
  <c r="U2754" i="9" s="1"/>
  <c r="O2753" i="9"/>
  <c r="N2753" i="9"/>
  <c r="Q2753" i="9" s="1"/>
  <c r="U2753" i="9" s="1"/>
  <c r="O2752" i="9"/>
  <c r="Q2752" i="9"/>
  <c r="U2752" i="9" s="1"/>
  <c r="O2751" i="9"/>
  <c r="N2751" i="9"/>
  <c r="O2731" i="9"/>
  <c r="N2731" i="9"/>
  <c r="Q2731" i="9" s="1"/>
  <c r="U2731" i="9" s="1"/>
  <c r="O2730" i="9"/>
  <c r="N2730" i="9"/>
  <c r="Q2730" i="9" s="1"/>
  <c r="U2730" i="9" s="1"/>
  <c r="O2729" i="9"/>
  <c r="O2728" i="9"/>
  <c r="N2728" i="9"/>
  <c r="P2713" i="9"/>
  <c r="O2710" i="9"/>
  <c r="N2710" i="9"/>
  <c r="Q2710" i="9" s="1"/>
  <c r="U2710" i="9" s="1"/>
  <c r="O2709" i="9"/>
  <c r="Q2709" i="9"/>
  <c r="U2709" i="9" s="1"/>
  <c r="O2708" i="9"/>
  <c r="Q2708" i="9"/>
  <c r="U2708" i="9" s="1"/>
  <c r="O2707" i="9"/>
  <c r="Q2707" i="9"/>
  <c r="U2707" i="9" s="1"/>
  <c r="O2706" i="9"/>
  <c r="N2706" i="9"/>
  <c r="Q2706" i="9" s="1"/>
  <c r="U2706" i="9" s="1"/>
  <c r="O2705" i="9"/>
  <c r="N2705" i="9"/>
  <c r="Q2705" i="9" s="1"/>
  <c r="P2689" i="9"/>
  <c r="O2685" i="9"/>
  <c r="N2685" i="9"/>
  <c r="Q2685" i="9" s="1"/>
  <c r="U2685" i="9" s="1"/>
  <c r="O2684" i="9"/>
  <c r="N2684" i="9"/>
  <c r="Q2684" i="9" s="1"/>
  <c r="U2684" i="9" s="1"/>
  <c r="O2683" i="9"/>
  <c r="N2683" i="9"/>
  <c r="Q2683" i="9" s="1"/>
  <c r="U2683" i="9" s="1"/>
  <c r="O2682" i="9"/>
  <c r="N2682" i="9"/>
  <c r="Q2682" i="9" s="1"/>
  <c r="U2682" i="9" s="1"/>
  <c r="O2681" i="9"/>
  <c r="N2681" i="9"/>
  <c r="Q2681" i="9" s="1"/>
  <c r="U2681" i="9" s="1"/>
  <c r="P2667" i="9"/>
  <c r="O2664" i="9"/>
  <c r="N2664" i="9"/>
  <c r="Q2664" i="9" s="1"/>
  <c r="U2664" i="9" s="1"/>
  <c r="O2663" i="9"/>
  <c r="N2663" i="9"/>
  <c r="Q2663" i="9" s="1"/>
  <c r="U2663" i="9" s="1"/>
  <c r="O2662" i="9"/>
  <c r="N2662" i="9"/>
  <c r="Q2662" i="9" s="1"/>
  <c r="U2662" i="9" s="1"/>
  <c r="O2661" i="9"/>
  <c r="N2661" i="9"/>
  <c r="O2660" i="9"/>
  <c r="N2660" i="9"/>
  <c r="Q2660" i="9" s="1"/>
  <c r="U2660" i="9" s="1"/>
  <c r="O2659" i="9"/>
  <c r="N2659" i="9"/>
  <c r="Q2659" i="9" s="1"/>
  <c r="U2659" i="9" s="1"/>
  <c r="P2643" i="9"/>
  <c r="O2639" i="9"/>
  <c r="N2639" i="9"/>
  <c r="Q2639" i="9" s="1"/>
  <c r="U2639" i="9" s="1"/>
  <c r="O2638" i="9"/>
  <c r="N2638" i="9"/>
  <c r="Q2638" i="9" s="1"/>
  <c r="U2638" i="9" s="1"/>
  <c r="O2637" i="9"/>
  <c r="N2637" i="9"/>
  <c r="Q2637" i="9" s="1"/>
  <c r="U2637" i="9" s="1"/>
  <c r="O2636" i="9"/>
  <c r="N2636" i="9"/>
  <c r="Q2636" i="9" s="1"/>
  <c r="U2636" i="9" s="1"/>
  <c r="O2635" i="9"/>
  <c r="N2635" i="9"/>
  <c r="Q2635" i="9" s="1"/>
  <c r="U2635" i="9" s="1"/>
  <c r="P2615" i="9"/>
  <c r="O2607" i="9"/>
  <c r="N2607" i="9"/>
  <c r="Q2607" i="9" s="1"/>
  <c r="U2607" i="9" s="1"/>
  <c r="O2606" i="9"/>
  <c r="AJ2590" i="9"/>
  <c r="P2590" i="9"/>
  <c r="AK2588" i="9"/>
  <c r="AO2588" i="9" s="1"/>
  <c r="O2588" i="9"/>
  <c r="N2588" i="9"/>
  <c r="Q2588" i="9" s="1"/>
  <c r="U2588" i="9" s="1"/>
  <c r="AI2587" i="9"/>
  <c r="AK2587" i="9"/>
  <c r="AO2587" i="9" s="1"/>
  <c r="O2587" i="9"/>
  <c r="Q2587" i="9"/>
  <c r="U2587" i="9" s="1"/>
  <c r="AI2586" i="9"/>
  <c r="AH2586" i="9"/>
  <c r="AK2586" i="9" s="1"/>
  <c r="AO2586" i="9" s="1"/>
  <c r="O2586" i="9"/>
  <c r="Q2586" i="9"/>
  <c r="U2586" i="9" s="1"/>
  <c r="AI2585" i="9"/>
  <c r="AH2585" i="9"/>
  <c r="AK2585" i="9" s="1"/>
  <c r="AO2585" i="9" s="1"/>
  <c r="O2585" i="9"/>
  <c r="N2585" i="9"/>
  <c r="Q2585" i="9" s="1"/>
  <c r="U2585" i="9" s="1"/>
  <c r="AI2584" i="9"/>
  <c r="AH2584" i="9"/>
  <c r="O2584" i="9"/>
  <c r="N2584" i="9"/>
  <c r="Q2584" i="9" s="1"/>
  <c r="U2584" i="9" s="1"/>
  <c r="AI2583" i="9"/>
  <c r="AH2583" i="9"/>
  <c r="AK2583" i="9" s="1"/>
  <c r="AO2583" i="9" s="1"/>
  <c r="O2582" i="9"/>
  <c r="BD2567" i="9"/>
  <c r="AT2567" i="9"/>
  <c r="AS2566" i="9"/>
  <c r="AR2566" i="9"/>
  <c r="AU2566" i="9" s="1"/>
  <c r="AY2566" i="9" s="1"/>
  <c r="BC2565" i="9"/>
  <c r="BB2565" i="9"/>
  <c r="BE2565" i="9" s="1"/>
  <c r="BI2565" i="9" s="1"/>
  <c r="AS2565" i="9"/>
  <c r="AR2565" i="9"/>
  <c r="AU2565" i="9" s="1"/>
  <c r="AY2565" i="9" s="1"/>
  <c r="AJ2565" i="9"/>
  <c r="BC2564" i="9"/>
  <c r="BB2564" i="9"/>
  <c r="BE2564" i="9" s="1"/>
  <c r="BI2564" i="9" s="1"/>
  <c r="AS2564" i="9"/>
  <c r="AR2564" i="9"/>
  <c r="AU2564" i="9" s="1"/>
  <c r="AY2564" i="9" s="1"/>
  <c r="AI2564" i="9"/>
  <c r="AH2564" i="9"/>
  <c r="AK2564" i="9" s="1"/>
  <c r="AO2564" i="9" s="1"/>
  <c r="BC2563" i="9"/>
  <c r="BB2563" i="9"/>
  <c r="BE2563" i="9" s="1"/>
  <c r="BI2563" i="9" s="1"/>
  <c r="AS2563" i="9"/>
  <c r="AR2563" i="9"/>
  <c r="AU2563" i="9" s="1"/>
  <c r="AY2563" i="9" s="1"/>
  <c r="AI2563" i="9"/>
  <c r="AH2563" i="9"/>
  <c r="AK2563" i="9" s="1"/>
  <c r="AO2563" i="9" s="1"/>
  <c r="BC2562" i="9"/>
  <c r="BB2562" i="9"/>
  <c r="BE2562" i="9" s="1"/>
  <c r="BI2562" i="9" s="1"/>
  <c r="AS2562" i="9"/>
  <c r="AR2562" i="9"/>
  <c r="AU2562" i="9" s="1"/>
  <c r="AY2562" i="9" s="1"/>
  <c r="AI2562" i="9"/>
  <c r="AH2562" i="9"/>
  <c r="AK2562" i="9" s="1"/>
  <c r="AO2562" i="9" s="1"/>
  <c r="BC2561" i="9"/>
  <c r="BB2561" i="9"/>
  <c r="BE2561" i="9" s="1"/>
  <c r="BI2561" i="9" s="1"/>
  <c r="AS2561" i="9"/>
  <c r="AR2561" i="9"/>
  <c r="AU2561" i="9" s="1"/>
  <c r="AY2561" i="9" s="1"/>
  <c r="AI2561" i="9"/>
  <c r="AH2561" i="9"/>
  <c r="AK2561" i="9" s="1"/>
  <c r="AO2561" i="9" s="1"/>
  <c r="O2562" i="9"/>
  <c r="N2562" i="9"/>
  <c r="Q2562" i="9" s="1"/>
  <c r="U2562" i="9" s="1"/>
  <c r="BC2560" i="9"/>
  <c r="BB2560" i="9"/>
  <c r="BE2560" i="9" s="1"/>
  <c r="BI2560" i="9" s="1"/>
  <c r="AS2560" i="9"/>
  <c r="AR2560" i="9"/>
  <c r="AU2560" i="9" s="1"/>
  <c r="AY2560" i="9" s="1"/>
  <c r="AI2560" i="9"/>
  <c r="AH2560" i="9"/>
  <c r="O2560" i="9"/>
  <c r="N2560" i="9"/>
  <c r="Q2560" i="9" s="1"/>
  <c r="U2560" i="9" s="1"/>
  <c r="O2559" i="9"/>
  <c r="P2544" i="9"/>
  <c r="O2542" i="9"/>
  <c r="N2542" i="9"/>
  <c r="Q2542" i="9" s="1"/>
  <c r="U2542" i="9" s="1"/>
  <c r="O2541" i="9"/>
  <c r="N2541" i="9"/>
  <c r="Q2541" i="9" s="1"/>
  <c r="U2541" i="9" s="1"/>
  <c r="O2540" i="9"/>
  <c r="N2540" i="9"/>
  <c r="Q2540" i="9" s="1"/>
  <c r="U2540" i="9" s="1"/>
  <c r="O2539" i="9"/>
  <c r="N2539" i="9"/>
  <c r="Q2539" i="9" s="1"/>
  <c r="U2539" i="9" s="1"/>
  <c r="O2538" i="9"/>
  <c r="N2538" i="9"/>
  <c r="Q2538" i="9" s="1"/>
  <c r="U2538" i="9" s="1"/>
  <c r="O2537" i="9"/>
  <c r="N2537" i="9"/>
  <c r="Q2537" i="9" s="1"/>
  <c r="U2537" i="9" s="1"/>
  <c r="O2536" i="9"/>
  <c r="P2521" i="9"/>
  <c r="O2516" i="9"/>
  <c r="N2516" i="9"/>
  <c r="Q2516" i="9" s="1"/>
  <c r="U2516" i="9" s="1"/>
  <c r="O2515" i="9"/>
  <c r="N2515" i="9"/>
  <c r="Q2515" i="9" s="1"/>
  <c r="U2515" i="9" s="1"/>
  <c r="O2514" i="9"/>
  <c r="N2514" i="9"/>
  <c r="Q2514" i="9" s="1"/>
  <c r="U2514" i="9" s="1"/>
  <c r="O2513" i="9"/>
  <c r="BD2498" i="9"/>
  <c r="AT2498" i="9"/>
  <c r="AS2497" i="9"/>
  <c r="AR2497" i="9"/>
  <c r="AU2497" i="9" s="1"/>
  <c r="AY2497" i="9" s="1"/>
  <c r="P2498" i="9"/>
  <c r="BC2496" i="9"/>
  <c r="BB2496" i="9"/>
  <c r="BE2496" i="9" s="1"/>
  <c r="BI2496" i="9" s="1"/>
  <c r="AS2496" i="9"/>
  <c r="AR2496" i="9"/>
  <c r="AU2496" i="9" s="1"/>
  <c r="AY2496" i="9" s="1"/>
  <c r="AJ2496" i="9"/>
  <c r="BC2495" i="9"/>
  <c r="BB2495" i="9"/>
  <c r="BE2495" i="9" s="1"/>
  <c r="BI2495" i="9" s="1"/>
  <c r="AS2495" i="9"/>
  <c r="AR2495" i="9"/>
  <c r="AU2495" i="9" s="1"/>
  <c r="AY2495" i="9" s="1"/>
  <c r="AI2495" i="9"/>
  <c r="AH2495" i="9"/>
  <c r="AK2495" i="9" s="1"/>
  <c r="AO2495" i="9" s="1"/>
  <c r="BC2494" i="9"/>
  <c r="BB2494" i="9"/>
  <c r="BE2494" i="9" s="1"/>
  <c r="BI2494" i="9" s="1"/>
  <c r="AS2494" i="9"/>
  <c r="AR2494" i="9"/>
  <c r="AU2494" i="9" s="1"/>
  <c r="AY2494" i="9" s="1"/>
  <c r="AI2494" i="9"/>
  <c r="AH2494" i="9"/>
  <c r="AK2494" i="9" s="1"/>
  <c r="AO2494" i="9" s="1"/>
  <c r="BC2493" i="9"/>
  <c r="BB2493" i="9"/>
  <c r="BE2493" i="9" s="1"/>
  <c r="BI2493" i="9" s="1"/>
  <c r="AS2493" i="9"/>
  <c r="AR2493" i="9"/>
  <c r="AU2493" i="9" s="1"/>
  <c r="AY2493" i="9" s="1"/>
  <c r="AI2493" i="9"/>
  <c r="AH2493" i="9"/>
  <c r="AK2493" i="9" s="1"/>
  <c r="AO2493" i="9" s="1"/>
  <c r="O2494" i="9"/>
  <c r="N2494" i="9"/>
  <c r="Q2494" i="9" s="1"/>
  <c r="U2494" i="9" s="1"/>
  <c r="BC2492" i="9"/>
  <c r="BB2492" i="9"/>
  <c r="AS2492" i="9"/>
  <c r="AR2492" i="9"/>
  <c r="AU2492" i="9" s="1"/>
  <c r="AY2492" i="9" s="1"/>
  <c r="AI2492" i="9"/>
  <c r="AH2492" i="9"/>
  <c r="AK2492" i="9" s="1"/>
  <c r="AO2492" i="9" s="1"/>
  <c r="O2493" i="9"/>
  <c r="N2493" i="9"/>
  <c r="Q2493" i="9" s="1"/>
  <c r="U2493" i="9" s="1"/>
  <c r="BC2491" i="9"/>
  <c r="BB2491" i="9"/>
  <c r="BE2491" i="9" s="1"/>
  <c r="BI2491" i="9" s="1"/>
  <c r="AS2491" i="9"/>
  <c r="AR2491" i="9"/>
  <c r="AU2491" i="9" s="1"/>
  <c r="AY2491" i="9" s="1"/>
  <c r="AI2491" i="9"/>
  <c r="AH2491" i="9"/>
  <c r="O2491" i="9"/>
  <c r="N2491" i="9"/>
  <c r="Q2491" i="9" s="1"/>
  <c r="U2491" i="9" s="1"/>
  <c r="O2490" i="9"/>
  <c r="P2481" i="9"/>
  <c r="O2478" i="9"/>
  <c r="N2478" i="9"/>
  <c r="Q2478" i="9" s="1"/>
  <c r="U2478" i="9" s="1"/>
  <c r="O2477" i="9"/>
  <c r="N2477" i="9"/>
  <c r="Q2477" i="9" s="1"/>
  <c r="U2477" i="9" s="1"/>
  <c r="O2476" i="9"/>
  <c r="N2476" i="9"/>
  <c r="Q2476" i="9" s="1"/>
  <c r="U2476" i="9" s="1"/>
  <c r="O2475" i="9"/>
  <c r="N2475" i="9"/>
  <c r="Q2475" i="9" s="1"/>
  <c r="U2475" i="9" s="1"/>
  <c r="O2474" i="9"/>
  <c r="N2474" i="9"/>
  <c r="Q2474" i="9" s="1"/>
  <c r="U2474" i="9" s="1"/>
  <c r="O2473" i="9"/>
  <c r="N2473" i="9"/>
  <c r="Q2473" i="9" s="1"/>
  <c r="U2473" i="9" s="1"/>
  <c r="O2472" i="9"/>
  <c r="N2472" i="9"/>
  <c r="Q2472" i="9" s="1"/>
  <c r="U2472" i="9" s="1"/>
  <c r="O2471" i="9"/>
  <c r="N2471" i="9"/>
  <c r="Q2471" i="9" s="1"/>
  <c r="U2471" i="9" s="1"/>
  <c r="O2470" i="9"/>
  <c r="N2470" i="9"/>
  <c r="Q2470" i="9" s="1"/>
  <c r="O2469" i="9"/>
  <c r="N2469" i="9"/>
  <c r="Q2469" i="9" s="1"/>
  <c r="U2469" i="9" s="1"/>
  <c r="O2468" i="9"/>
  <c r="Q2468" i="9"/>
  <c r="U2468" i="9" s="1"/>
  <c r="O2467" i="9"/>
  <c r="N2467" i="9"/>
  <c r="Q2467" i="9" s="1"/>
  <c r="U2467" i="9" s="1"/>
  <c r="O2466" i="9"/>
  <c r="N2466" i="9"/>
  <c r="Q2466" i="9" s="1"/>
  <c r="U2466" i="9" s="1"/>
  <c r="O2465" i="9"/>
  <c r="N2465" i="9"/>
  <c r="Q2465" i="9" s="1"/>
  <c r="U2465" i="9" s="1"/>
  <c r="O2464" i="9"/>
  <c r="N2464" i="9"/>
  <c r="Q2464" i="9" s="1"/>
  <c r="U2464" i="9" s="1"/>
  <c r="Q2463" i="9"/>
  <c r="U2463" i="9" s="1"/>
  <c r="Q2462" i="9"/>
  <c r="U2462" i="9" s="1"/>
  <c r="P2457" i="9"/>
  <c r="O2455" i="9"/>
  <c r="N2455" i="9"/>
  <c r="Q2455" i="9" s="1"/>
  <c r="U2455" i="9" s="1"/>
  <c r="O2454" i="9"/>
  <c r="N2454" i="9"/>
  <c r="Q2454" i="9" s="1"/>
  <c r="U2454" i="9" s="1"/>
  <c r="O2453" i="9"/>
  <c r="N2453" i="9"/>
  <c r="Q2453" i="9" s="1"/>
  <c r="U2453" i="9" s="1"/>
  <c r="O2452" i="9"/>
  <c r="N2452" i="9"/>
  <c r="Q2452" i="9" s="1"/>
  <c r="U2452" i="9" s="1"/>
  <c r="O2451" i="9"/>
  <c r="N2451" i="9"/>
  <c r="Q2451" i="9" s="1"/>
  <c r="U2451" i="9" s="1"/>
  <c r="O2450" i="9"/>
  <c r="N2450" i="9"/>
  <c r="Q2450" i="9" s="1"/>
  <c r="U2450" i="9" s="1"/>
  <c r="O2449" i="9"/>
  <c r="N2449" i="9"/>
  <c r="Q2449" i="9" s="1"/>
  <c r="U2449" i="9" s="1"/>
  <c r="O2448" i="9"/>
  <c r="N2448" i="9"/>
  <c r="Q2448" i="9" s="1"/>
  <c r="U2448" i="9" s="1"/>
  <c r="O2447" i="9"/>
  <c r="N2447" i="9"/>
  <c r="Q2447" i="9" s="1"/>
  <c r="U2447" i="9" s="1"/>
  <c r="O2446" i="9"/>
  <c r="N2446" i="9"/>
  <c r="Q2446" i="9" s="1"/>
  <c r="U2446" i="9" s="1"/>
  <c r="O2445" i="9"/>
  <c r="N2445" i="9"/>
  <c r="Q2445" i="9" s="1"/>
  <c r="U2445" i="9" s="1"/>
  <c r="O2444" i="9"/>
  <c r="N2444" i="9"/>
  <c r="Q2444" i="9" s="1"/>
  <c r="U2444" i="9" s="1"/>
  <c r="O2443" i="9"/>
  <c r="N2443" i="9"/>
  <c r="O2442" i="9"/>
  <c r="N2442" i="9"/>
  <c r="Q2442" i="9" s="1"/>
  <c r="U2442" i="9" s="1"/>
  <c r="Q2441" i="9"/>
  <c r="U2441" i="9" s="1"/>
  <c r="Q2440" i="9"/>
  <c r="U2440" i="9" s="1"/>
  <c r="O2432" i="9"/>
  <c r="N2432" i="9"/>
  <c r="Q2432" i="9" s="1"/>
  <c r="U2432" i="9" s="1"/>
  <c r="O2431" i="9"/>
  <c r="N2431" i="9"/>
  <c r="Q2431" i="9" s="1"/>
  <c r="U2431" i="9" s="1"/>
  <c r="O2430" i="9"/>
  <c r="N2430" i="9"/>
  <c r="Q2430" i="9" s="1"/>
  <c r="U2430" i="9" s="1"/>
  <c r="O2429" i="9"/>
  <c r="N2429" i="9"/>
  <c r="Q2429" i="9" s="1"/>
  <c r="U2429" i="9" s="1"/>
  <c r="O2428" i="9"/>
  <c r="N2428" i="9"/>
  <c r="Q2428" i="9" s="1"/>
  <c r="U2428" i="9" s="1"/>
  <c r="O2427" i="9"/>
  <c r="N2427" i="9"/>
  <c r="Q2427" i="9" s="1"/>
  <c r="U2427" i="9" s="1"/>
  <c r="O2426" i="9"/>
  <c r="N2426" i="9"/>
  <c r="Q2426" i="9" s="1"/>
  <c r="U2426" i="9" s="1"/>
  <c r="O2425" i="9"/>
  <c r="N2425" i="9"/>
  <c r="Q2425" i="9" s="1"/>
  <c r="U2425" i="9" s="1"/>
  <c r="O2424" i="9"/>
  <c r="N2424" i="9"/>
  <c r="Q2424" i="9" s="1"/>
  <c r="U2424" i="9" s="1"/>
  <c r="O2423" i="9"/>
  <c r="N2423" i="9"/>
  <c r="Q2423" i="9" s="1"/>
  <c r="U2423" i="9" s="1"/>
  <c r="O2422" i="9"/>
  <c r="N2422" i="9"/>
  <c r="Q2422" i="9" s="1"/>
  <c r="U2422" i="9" s="1"/>
  <c r="O2421" i="9"/>
  <c r="N2421" i="9"/>
  <c r="Q2421" i="9" s="1"/>
  <c r="U2421" i="9" s="1"/>
  <c r="O2420" i="9"/>
  <c r="N2420" i="9"/>
  <c r="Q2420" i="9" s="1"/>
  <c r="U2420" i="9" s="1"/>
  <c r="O2419" i="9"/>
  <c r="N2419" i="9"/>
  <c r="Q2419" i="9" s="1"/>
  <c r="U2419" i="9" s="1"/>
  <c r="O2418" i="9"/>
  <c r="N2418" i="9"/>
  <c r="Q2418" i="9" s="1"/>
  <c r="U2418" i="9" s="1"/>
  <c r="O2417" i="9"/>
  <c r="N2417" i="9"/>
  <c r="Q2417" i="9" s="1"/>
  <c r="U2417" i="9" s="1"/>
  <c r="O2416" i="9"/>
  <c r="N2416" i="9"/>
  <c r="Q2416" i="9" s="1"/>
  <c r="U2416" i="9" s="1"/>
  <c r="O2415" i="9"/>
  <c r="N2415" i="9"/>
  <c r="Q2414" i="9"/>
  <c r="U2414" i="9" s="1"/>
  <c r="Q2413" i="9"/>
  <c r="P2408" i="9"/>
  <c r="O2406" i="9"/>
  <c r="Q2406" i="9"/>
  <c r="U2406" i="9" s="1"/>
  <c r="O2405" i="9"/>
  <c r="N2405" i="9"/>
  <c r="Q2405" i="9" s="1"/>
  <c r="U2405" i="9" s="1"/>
  <c r="O2404" i="9"/>
  <c r="N2404" i="9"/>
  <c r="Q2404" i="9" s="1"/>
  <c r="U2404" i="9" s="1"/>
  <c r="O2403" i="9"/>
  <c r="N2403" i="9"/>
  <c r="Q2403" i="9" s="1"/>
  <c r="U2403" i="9" s="1"/>
  <c r="O2402" i="9"/>
  <c r="N2402" i="9"/>
  <c r="Q2402" i="9" s="1"/>
  <c r="U2402" i="9" s="1"/>
  <c r="O2401" i="9"/>
  <c r="N2401" i="9"/>
  <c r="Q2401" i="9" s="1"/>
  <c r="U2401" i="9" s="1"/>
  <c r="O2400" i="9"/>
  <c r="N2400" i="9"/>
  <c r="Q2400" i="9" s="1"/>
  <c r="U2400" i="9" s="1"/>
  <c r="O2399" i="9"/>
  <c r="N2399" i="9"/>
  <c r="Q2399" i="9" s="1"/>
  <c r="U2399" i="9" s="1"/>
  <c r="O2398" i="9"/>
  <c r="N2398" i="9"/>
  <c r="Q2398" i="9" s="1"/>
  <c r="U2398" i="9" s="1"/>
  <c r="O2397" i="9"/>
  <c r="N2397" i="9"/>
  <c r="Q2397" i="9" s="1"/>
  <c r="U2397" i="9" s="1"/>
  <c r="O2396" i="9"/>
  <c r="N2396" i="9"/>
  <c r="Q2396" i="9" s="1"/>
  <c r="U2396" i="9" s="1"/>
  <c r="O2395" i="9"/>
  <c r="N2395" i="9"/>
  <c r="Q2395" i="9" s="1"/>
  <c r="U2395" i="9" s="1"/>
  <c r="O2394" i="9"/>
  <c r="N2394" i="9"/>
  <c r="Q2394" i="9" s="1"/>
  <c r="U2394" i="9" s="1"/>
  <c r="O2393" i="9"/>
  <c r="N2393" i="9"/>
  <c r="Q2393" i="9" s="1"/>
  <c r="U2393" i="9" s="1"/>
  <c r="O2392" i="9"/>
  <c r="N2392" i="9"/>
  <c r="Q2392" i="9" s="1"/>
  <c r="U2392" i="9" s="1"/>
  <c r="O2391" i="9"/>
  <c r="N2391" i="9"/>
  <c r="Q2391" i="9" s="1"/>
  <c r="U2391" i="9" s="1"/>
  <c r="O2390" i="9"/>
  <c r="N2390" i="9"/>
  <c r="Q2390" i="9" s="1"/>
  <c r="U2390" i="9" s="1"/>
  <c r="O2389" i="9"/>
  <c r="N2389" i="9"/>
  <c r="Q2389" i="9" s="1"/>
  <c r="U2389" i="9" s="1"/>
  <c r="O2388" i="9"/>
  <c r="N2388" i="9"/>
  <c r="Q2388" i="9" s="1"/>
  <c r="U2388" i="9" s="1"/>
  <c r="O2387" i="9"/>
  <c r="N2387" i="9"/>
  <c r="Q2387" i="9" s="1"/>
  <c r="U2387" i="9" s="1"/>
  <c r="O2386" i="9"/>
  <c r="N2386" i="9"/>
  <c r="Q2386" i="9" s="1"/>
  <c r="U2386" i="9" s="1"/>
  <c r="O2385" i="9"/>
  <c r="N2385" i="9"/>
  <c r="Q2385" i="9" s="1"/>
  <c r="U2385" i="9" s="1"/>
  <c r="O2384" i="9"/>
  <c r="N2384" i="9"/>
  <c r="Q2384" i="9" s="1"/>
  <c r="U2384" i="9" s="1"/>
  <c r="O2383" i="9"/>
  <c r="N2383" i="9"/>
  <c r="Q2383" i="9" s="1"/>
  <c r="U2383" i="9" s="1"/>
  <c r="Q2382" i="9"/>
  <c r="U2382" i="9" s="1"/>
  <c r="Q2381" i="9"/>
  <c r="U2381" i="9" s="1"/>
  <c r="P2376" i="9"/>
  <c r="O2374" i="9"/>
  <c r="Q2374" i="9"/>
  <c r="U2374" i="9" s="1"/>
  <c r="O2373" i="9"/>
  <c r="N2373" i="9"/>
  <c r="Q2373" i="9" s="1"/>
  <c r="U2373" i="9" s="1"/>
  <c r="O2372" i="9"/>
  <c r="N2372" i="9"/>
  <c r="Q2372" i="9" s="1"/>
  <c r="U2372" i="9" s="1"/>
  <c r="O2371" i="9"/>
  <c r="N2371" i="9"/>
  <c r="Q2371" i="9" s="1"/>
  <c r="U2371" i="9" s="1"/>
  <c r="O2370" i="9"/>
  <c r="N2370" i="9"/>
  <c r="Q2370" i="9" s="1"/>
  <c r="U2370" i="9" s="1"/>
  <c r="O2369" i="9"/>
  <c r="N2369" i="9"/>
  <c r="Q2369" i="9" s="1"/>
  <c r="U2369" i="9" s="1"/>
  <c r="O2368" i="9"/>
  <c r="N2368" i="9"/>
  <c r="Q2368" i="9" s="1"/>
  <c r="U2368" i="9" s="1"/>
  <c r="O2367" i="9"/>
  <c r="N2367" i="9"/>
  <c r="Q2367" i="9" s="1"/>
  <c r="U2367" i="9" s="1"/>
  <c r="O2366" i="9"/>
  <c r="N2366" i="9"/>
  <c r="Q2366" i="9" s="1"/>
  <c r="U2366" i="9" s="1"/>
  <c r="O2365" i="9"/>
  <c r="N2365" i="9"/>
  <c r="Q2365" i="9" s="1"/>
  <c r="U2365" i="9" s="1"/>
  <c r="O2364" i="9"/>
  <c r="N2364" i="9"/>
  <c r="Q2364" i="9" s="1"/>
  <c r="U2364" i="9" s="1"/>
  <c r="O2363" i="9"/>
  <c r="N2363" i="9"/>
  <c r="Q2363" i="9" s="1"/>
  <c r="U2363" i="9" s="1"/>
  <c r="O2362" i="9"/>
  <c r="N2362" i="9"/>
  <c r="Q2362" i="9" s="1"/>
  <c r="U2362" i="9" s="1"/>
  <c r="O2361" i="9"/>
  <c r="N2361" i="9"/>
  <c r="Q2361" i="9" s="1"/>
  <c r="U2361" i="9" s="1"/>
  <c r="O2360" i="9"/>
  <c r="N2360" i="9"/>
  <c r="Q2360" i="9" s="1"/>
  <c r="U2360" i="9" s="1"/>
  <c r="O2359" i="9"/>
  <c r="N2359" i="9"/>
  <c r="Q2359" i="9" s="1"/>
  <c r="U2359" i="9" s="1"/>
  <c r="O2358" i="9"/>
  <c r="N2358" i="9"/>
  <c r="Q2358" i="9" s="1"/>
  <c r="U2358" i="9" s="1"/>
  <c r="O2357" i="9"/>
  <c r="N2357" i="9"/>
  <c r="Q2357" i="9" s="1"/>
  <c r="U2357" i="9" s="1"/>
  <c r="O2356" i="9"/>
  <c r="N2356" i="9"/>
  <c r="Q2356" i="9" s="1"/>
  <c r="U2356" i="9" s="1"/>
  <c r="O2355" i="9"/>
  <c r="N2355" i="9"/>
  <c r="Q2355" i="9" s="1"/>
  <c r="U2355" i="9" s="1"/>
  <c r="O2354" i="9"/>
  <c r="N2354" i="9"/>
  <c r="Q2354" i="9" s="1"/>
  <c r="U2354" i="9" s="1"/>
  <c r="O2353" i="9"/>
  <c r="N2353" i="9"/>
  <c r="Q2353" i="9" s="1"/>
  <c r="U2353" i="9" s="1"/>
  <c r="O2352" i="9"/>
  <c r="N2352" i="9"/>
  <c r="Q2352" i="9" s="1"/>
  <c r="U2352" i="9" s="1"/>
  <c r="O2351" i="9"/>
  <c r="N2351" i="9"/>
  <c r="Q2351" i="9" s="1"/>
  <c r="U2351" i="9" s="1"/>
  <c r="O2350" i="9"/>
  <c r="N2350" i="9"/>
  <c r="Q2350" i="9" s="1"/>
  <c r="U2350" i="9" s="1"/>
  <c r="Q2349" i="9"/>
  <c r="U2349" i="9" s="1"/>
  <c r="Q2348" i="9"/>
  <c r="U2348" i="9" s="1"/>
  <c r="P2343" i="9"/>
  <c r="O2341" i="9"/>
  <c r="Q2341" i="9"/>
  <c r="U2341" i="9" s="1"/>
  <c r="O2340" i="9"/>
  <c r="N2340" i="9"/>
  <c r="Q2340" i="9" s="1"/>
  <c r="U2340" i="9" s="1"/>
  <c r="O2339" i="9"/>
  <c r="N2339" i="9"/>
  <c r="Q2339" i="9" s="1"/>
  <c r="U2339" i="9" s="1"/>
  <c r="O2338" i="9"/>
  <c r="N2338" i="9"/>
  <c r="Q2338" i="9" s="1"/>
  <c r="U2338" i="9" s="1"/>
  <c r="O2337" i="9"/>
  <c r="N2337" i="9"/>
  <c r="Q2337" i="9" s="1"/>
  <c r="U2337" i="9" s="1"/>
  <c r="O2336" i="9"/>
  <c r="N2336" i="9"/>
  <c r="Q2336" i="9" s="1"/>
  <c r="U2336" i="9" s="1"/>
  <c r="O2335" i="9"/>
  <c r="N2335" i="9"/>
  <c r="Q2335" i="9" s="1"/>
  <c r="U2335" i="9" s="1"/>
  <c r="O2334" i="9"/>
  <c r="N2334" i="9"/>
  <c r="Q2334" i="9" s="1"/>
  <c r="U2334" i="9" s="1"/>
  <c r="O2333" i="9"/>
  <c r="N2333" i="9"/>
  <c r="Q2333" i="9" s="1"/>
  <c r="U2333" i="9" s="1"/>
  <c r="O2332" i="9"/>
  <c r="N2332" i="9"/>
  <c r="Q2332" i="9" s="1"/>
  <c r="U2332" i="9" s="1"/>
  <c r="O2331" i="9"/>
  <c r="N2331" i="9"/>
  <c r="Q2331" i="9" s="1"/>
  <c r="U2331" i="9" s="1"/>
  <c r="O2330" i="9"/>
  <c r="N2330" i="9"/>
  <c r="Q2330" i="9" s="1"/>
  <c r="U2330" i="9" s="1"/>
  <c r="O2329" i="9"/>
  <c r="N2329" i="9"/>
  <c r="Q2329" i="9" s="1"/>
  <c r="U2329" i="9" s="1"/>
  <c r="O2328" i="9"/>
  <c r="N2328" i="9"/>
  <c r="Q2328" i="9" s="1"/>
  <c r="U2328" i="9" s="1"/>
  <c r="O2327" i="9"/>
  <c r="N2327" i="9"/>
  <c r="Q2327" i="9" s="1"/>
  <c r="U2327" i="9" s="1"/>
  <c r="O2326" i="9"/>
  <c r="N2326" i="9"/>
  <c r="Q2326" i="9" s="1"/>
  <c r="U2326" i="9" s="1"/>
  <c r="O2325" i="9"/>
  <c r="N2325" i="9"/>
  <c r="Q2325" i="9" s="1"/>
  <c r="U2325" i="9" s="1"/>
  <c r="O2324" i="9"/>
  <c r="N2324" i="9"/>
  <c r="Q2324" i="9" s="1"/>
  <c r="U2324" i="9" s="1"/>
  <c r="O2323" i="9"/>
  <c r="N2323" i="9"/>
  <c r="Q2323" i="9" s="1"/>
  <c r="U2323" i="9" s="1"/>
  <c r="O2322" i="9"/>
  <c r="N2322" i="9"/>
  <c r="Q2322" i="9" s="1"/>
  <c r="U2322" i="9" s="1"/>
  <c r="O2321" i="9"/>
  <c r="N2321" i="9"/>
  <c r="Q2321" i="9" s="1"/>
  <c r="U2321" i="9" s="1"/>
  <c r="O2320" i="9"/>
  <c r="N2320" i="9"/>
  <c r="Q2320" i="9" s="1"/>
  <c r="U2320" i="9" s="1"/>
  <c r="O2319" i="9"/>
  <c r="N2319" i="9"/>
  <c r="Q2319" i="9" s="1"/>
  <c r="U2319" i="9" s="1"/>
  <c r="O2318" i="9"/>
  <c r="N2318" i="9"/>
  <c r="Q2318" i="9" s="1"/>
  <c r="U2318" i="9" s="1"/>
  <c r="O2317" i="9"/>
  <c r="N2317" i="9"/>
  <c r="Q2317" i="9" s="1"/>
  <c r="U2317" i="9" s="1"/>
  <c r="O2316" i="9"/>
  <c r="N2316" i="9"/>
  <c r="Q2315" i="9"/>
  <c r="U2315" i="9" s="1"/>
  <c r="Q2314" i="9"/>
  <c r="U2314" i="9" s="1"/>
  <c r="P2309" i="9"/>
  <c r="O2307" i="9"/>
  <c r="O2306" i="9"/>
  <c r="Q2306" i="9"/>
  <c r="U2306" i="9" s="1"/>
  <c r="O2305" i="9"/>
  <c r="N2305" i="9"/>
  <c r="Q2305" i="9" s="1"/>
  <c r="U2305" i="9" s="1"/>
  <c r="O2304" i="9"/>
  <c r="N2304" i="9"/>
  <c r="Q2304" i="9" s="1"/>
  <c r="U2304" i="9" s="1"/>
  <c r="O2303" i="9"/>
  <c r="N2303" i="9"/>
  <c r="Q2303" i="9" s="1"/>
  <c r="U2303" i="9" s="1"/>
  <c r="O2302" i="9"/>
  <c r="N2302" i="9"/>
  <c r="Q2302" i="9" s="1"/>
  <c r="U2302" i="9" s="1"/>
  <c r="O2301" i="9"/>
  <c r="N2301" i="9"/>
  <c r="Q2301" i="9" s="1"/>
  <c r="U2301" i="9" s="1"/>
  <c r="O2300" i="9"/>
  <c r="N2300" i="9"/>
  <c r="Q2300" i="9" s="1"/>
  <c r="U2300" i="9" s="1"/>
  <c r="O2299" i="9"/>
  <c r="N2299" i="9"/>
  <c r="Q2299" i="9" s="1"/>
  <c r="U2299" i="9" s="1"/>
  <c r="O2298" i="9"/>
  <c r="N2298" i="9"/>
  <c r="Q2298" i="9" s="1"/>
  <c r="U2298" i="9" s="1"/>
  <c r="O2297" i="9"/>
  <c r="N2297" i="9"/>
  <c r="Q2297" i="9" s="1"/>
  <c r="U2297" i="9" s="1"/>
  <c r="O2296" i="9"/>
  <c r="N2296" i="9"/>
  <c r="Q2296" i="9" s="1"/>
  <c r="U2296" i="9" s="1"/>
  <c r="O2295" i="9"/>
  <c r="N2295" i="9"/>
  <c r="Q2295" i="9" s="1"/>
  <c r="U2295" i="9" s="1"/>
  <c r="O2294" i="9"/>
  <c r="N2294" i="9"/>
  <c r="Q2294" i="9" s="1"/>
  <c r="U2294" i="9" s="1"/>
  <c r="O2293" i="9"/>
  <c r="N2293" i="9"/>
  <c r="Q2293" i="9" s="1"/>
  <c r="U2293" i="9" s="1"/>
  <c r="O2292" i="9"/>
  <c r="N2292" i="9"/>
  <c r="Q2292" i="9" s="1"/>
  <c r="U2292" i="9" s="1"/>
  <c r="O2291" i="9"/>
  <c r="N2291" i="9"/>
  <c r="Q2291" i="9" s="1"/>
  <c r="U2291" i="9" s="1"/>
  <c r="O2290" i="9"/>
  <c r="N2290" i="9"/>
  <c r="Q2290" i="9" s="1"/>
  <c r="U2290" i="9" s="1"/>
  <c r="O2289" i="9"/>
  <c r="N2289" i="9"/>
  <c r="Q2289" i="9" s="1"/>
  <c r="U2289" i="9" s="1"/>
  <c r="O2288" i="9"/>
  <c r="N2288" i="9"/>
  <c r="Q2288" i="9" s="1"/>
  <c r="U2288" i="9" s="1"/>
  <c r="O2287" i="9"/>
  <c r="N2287" i="9"/>
  <c r="Q2287" i="9" s="1"/>
  <c r="U2287" i="9" s="1"/>
  <c r="O2286" i="9"/>
  <c r="N2286" i="9"/>
  <c r="Q2286" i="9" s="1"/>
  <c r="U2286" i="9" s="1"/>
  <c r="O2285" i="9"/>
  <c r="N2285" i="9"/>
  <c r="Q2285" i="9" s="1"/>
  <c r="U2285" i="9" s="1"/>
  <c r="O2284" i="9"/>
  <c r="N2284" i="9"/>
  <c r="Q2284" i="9" s="1"/>
  <c r="U2284" i="9" s="1"/>
  <c r="O2283" i="9"/>
  <c r="N2283" i="9"/>
  <c r="Q2283" i="9" s="1"/>
  <c r="U2283" i="9" s="1"/>
  <c r="O2282" i="9"/>
  <c r="N2282" i="9"/>
  <c r="Q2282" i="9" s="1"/>
  <c r="U2282" i="9" s="1"/>
  <c r="O2281" i="9"/>
  <c r="N2281" i="9"/>
  <c r="Q2281" i="9" s="1"/>
  <c r="U2281" i="9" s="1"/>
  <c r="Q2280" i="9"/>
  <c r="U2280" i="9" s="1"/>
  <c r="Q2279" i="9"/>
  <c r="U2279" i="9" s="1"/>
  <c r="P2274" i="9"/>
  <c r="O2272" i="9"/>
  <c r="N2272" i="9"/>
  <c r="Q2272" i="9" s="1"/>
  <c r="U2272" i="9" s="1"/>
  <c r="O2271" i="9"/>
  <c r="N2271" i="9"/>
  <c r="Q2271" i="9" s="1"/>
  <c r="U2271" i="9" s="1"/>
  <c r="O2270" i="9"/>
  <c r="N2270" i="9"/>
  <c r="Q2270" i="9" s="1"/>
  <c r="U2270" i="9" s="1"/>
  <c r="O2269" i="9"/>
  <c r="N2269" i="9"/>
  <c r="Q2269" i="9" s="1"/>
  <c r="U2269" i="9" s="1"/>
  <c r="O2268" i="9"/>
  <c r="N2268" i="9"/>
  <c r="Q2268" i="9" s="1"/>
  <c r="U2268" i="9" s="1"/>
  <c r="O2267" i="9"/>
  <c r="N2267" i="9"/>
  <c r="Q2267" i="9" s="1"/>
  <c r="U2267" i="9" s="1"/>
  <c r="O2266" i="9"/>
  <c r="N2266" i="9"/>
  <c r="Q2266" i="9" s="1"/>
  <c r="U2266" i="9" s="1"/>
  <c r="O2265" i="9"/>
  <c r="N2265" i="9"/>
  <c r="Q2265" i="9" s="1"/>
  <c r="U2265" i="9" s="1"/>
  <c r="O2264" i="9"/>
  <c r="N2264" i="9"/>
  <c r="Q2264" i="9" s="1"/>
  <c r="U2264" i="9" s="1"/>
  <c r="O2263" i="9"/>
  <c r="N2263" i="9"/>
  <c r="Q2263" i="9" s="1"/>
  <c r="U2263" i="9" s="1"/>
  <c r="O2262" i="9"/>
  <c r="N2262" i="9"/>
  <c r="Q2262" i="9" s="1"/>
  <c r="U2262" i="9" s="1"/>
  <c r="O2261" i="9"/>
  <c r="N2261" i="9"/>
  <c r="Q2261" i="9" s="1"/>
  <c r="U2261" i="9" s="1"/>
  <c r="O2260" i="9"/>
  <c r="N2260" i="9"/>
  <c r="Q2260" i="9" s="1"/>
  <c r="U2260" i="9" s="1"/>
  <c r="O2259" i="9"/>
  <c r="N2259" i="9"/>
  <c r="Q2259" i="9" s="1"/>
  <c r="U2259" i="9" s="1"/>
  <c r="O2258" i="9"/>
  <c r="N2258" i="9"/>
  <c r="Q2258" i="9" s="1"/>
  <c r="U2258" i="9" s="1"/>
  <c r="O2257" i="9"/>
  <c r="N2257" i="9"/>
  <c r="Q2257" i="9" s="1"/>
  <c r="U2257" i="9" s="1"/>
  <c r="O2256" i="9"/>
  <c r="N2256" i="9"/>
  <c r="Q2256" i="9" s="1"/>
  <c r="U2256" i="9" s="1"/>
  <c r="O2255" i="9"/>
  <c r="N2255" i="9"/>
  <c r="Q2255" i="9" s="1"/>
  <c r="U2255" i="9" s="1"/>
  <c r="O2254" i="9"/>
  <c r="N2254" i="9"/>
  <c r="Q2254" i="9" s="1"/>
  <c r="U2254" i="9" s="1"/>
  <c r="O2253" i="9"/>
  <c r="N2253" i="9"/>
  <c r="Q2253" i="9" s="1"/>
  <c r="U2253" i="9" s="1"/>
  <c r="O2252" i="9"/>
  <c r="N2252" i="9"/>
  <c r="Q2252" i="9" s="1"/>
  <c r="U2252" i="9" s="1"/>
  <c r="O2251" i="9"/>
  <c r="N2251" i="9"/>
  <c r="Q2251" i="9" s="1"/>
  <c r="U2251" i="9" s="1"/>
  <c r="O2250" i="9"/>
  <c r="N2250" i="9"/>
  <c r="O2249" i="9"/>
  <c r="N2249" i="9"/>
  <c r="Q2249" i="9" s="1"/>
  <c r="U2249" i="9" s="1"/>
  <c r="Q2248" i="9"/>
  <c r="U2248" i="9" s="1"/>
  <c r="Q2247" i="9"/>
  <c r="U2247" i="9" s="1"/>
  <c r="P2240" i="9"/>
  <c r="O2237" i="9"/>
  <c r="O2236" i="9"/>
  <c r="N2236" i="9"/>
  <c r="Q2236" i="9" s="1"/>
  <c r="U2236" i="9" s="1"/>
  <c r="O2235" i="9"/>
  <c r="N2235" i="9"/>
  <c r="Q2235" i="9" s="1"/>
  <c r="U2235" i="9" s="1"/>
  <c r="O2234" i="9"/>
  <c r="N2234" i="9"/>
  <c r="Q2234" i="9" s="1"/>
  <c r="U2234" i="9" s="1"/>
  <c r="O2233" i="9"/>
  <c r="N2233" i="9"/>
  <c r="Q2233" i="9" s="1"/>
  <c r="U2233" i="9" s="1"/>
  <c r="O2232" i="9"/>
  <c r="N2232" i="9"/>
  <c r="Q2232" i="9" s="1"/>
  <c r="U2232" i="9" s="1"/>
  <c r="O2231" i="9"/>
  <c r="N2231" i="9"/>
  <c r="Q2231" i="9" s="1"/>
  <c r="U2231" i="9" s="1"/>
  <c r="O2230" i="9"/>
  <c r="N2230" i="9"/>
  <c r="Q2230" i="9" s="1"/>
  <c r="U2230" i="9" s="1"/>
  <c r="O2229" i="9"/>
  <c r="N2229" i="9"/>
  <c r="Q2229" i="9" s="1"/>
  <c r="U2229" i="9" s="1"/>
  <c r="O2228" i="9"/>
  <c r="N2228" i="9"/>
  <c r="Q2228" i="9" s="1"/>
  <c r="U2228" i="9" s="1"/>
  <c r="O2227" i="9"/>
  <c r="N2227" i="9"/>
  <c r="Q2227" i="9" s="1"/>
  <c r="U2227" i="9" s="1"/>
  <c r="O2226" i="9"/>
  <c r="N2226" i="9"/>
  <c r="Q2226" i="9" s="1"/>
  <c r="U2226" i="9" s="1"/>
  <c r="O2225" i="9"/>
  <c r="Q2225" i="9"/>
  <c r="U2225" i="9" s="1"/>
  <c r="O2224" i="9"/>
  <c r="Q2224" i="9"/>
  <c r="U2224" i="9" s="1"/>
  <c r="O2223" i="9"/>
  <c r="Q2223" i="9"/>
  <c r="U2223" i="9" s="1"/>
  <c r="O2222" i="9"/>
  <c r="Q2222" i="9"/>
  <c r="U2222" i="9" s="1"/>
  <c r="O2221" i="9"/>
  <c r="Q2221" i="9"/>
  <c r="U2221" i="9" s="1"/>
  <c r="O2220" i="9"/>
  <c r="Q2220" i="9"/>
  <c r="U2220" i="9" s="1"/>
  <c r="O2219" i="9"/>
  <c r="Q2219" i="9"/>
  <c r="U2219" i="9" s="1"/>
  <c r="O2218" i="9"/>
  <c r="Q2218" i="9"/>
  <c r="U2218" i="9" s="1"/>
  <c r="O2217" i="9"/>
  <c r="Q2217" i="9"/>
  <c r="U2217" i="9" s="1"/>
  <c r="O2216" i="9"/>
  <c r="O2215" i="9"/>
  <c r="Q2215" i="9"/>
  <c r="U2215" i="9" s="1"/>
  <c r="O2214" i="9"/>
  <c r="Q2214" i="9"/>
  <c r="U2214" i="9" s="1"/>
  <c r="Q2213" i="9"/>
  <c r="U2213" i="9" s="1"/>
  <c r="Q2212" i="9"/>
  <c r="O2205" i="9"/>
  <c r="P2204" i="9"/>
  <c r="O2204" i="9"/>
  <c r="O2203" i="9"/>
  <c r="Q2203" i="9"/>
  <c r="U2203" i="9" s="1"/>
  <c r="O2202" i="9"/>
  <c r="N2202" i="9"/>
  <c r="Q2202" i="9" s="1"/>
  <c r="U2202" i="9" s="1"/>
  <c r="O2201" i="9"/>
  <c r="N2201" i="9"/>
  <c r="Q2201" i="9" s="1"/>
  <c r="U2201" i="9" s="1"/>
  <c r="O2200" i="9"/>
  <c r="N2200" i="9"/>
  <c r="Q2200" i="9" s="1"/>
  <c r="U2200" i="9" s="1"/>
  <c r="O2199" i="9"/>
  <c r="N2199" i="9"/>
  <c r="Q2199" i="9" s="1"/>
  <c r="U2199" i="9" s="1"/>
  <c r="O2198" i="9"/>
  <c r="N2198" i="9"/>
  <c r="Q2198" i="9" s="1"/>
  <c r="U2198" i="9" s="1"/>
  <c r="O2197" i="9"/>
  <c r="N2197" i="9"/>
  <c r="Q2197" i="9" s="1"/>
  <c r="U2197" i="9" s="1"/>
  <c r="O2196" i="9"/>
  <c r="N2196" i="9"/>
  <c r="Q2196" i="9" s="1"/>
  <c r="U2196" i="9" s="1"/>
  <c r="O2195" i="9"/>
  <c r="N2195" i="9"/>
  <c r="Q2195" i="9" s="1"/>
  <c r="U2195" i="9" s="1"/>
  <c r="O2194" i="9"/>
  <c r="N2194" i="9"/>
  <c r="Q2194" i="9" s="1"/>
  <c r="U2194" i="9" s="1"/>
  <c r="O2193" i="9"/>
  <c r="N2193" i="9"/>
  <c r="Q2193" i="9" s="1"/>
  <c r="U2193" i="9" s="1"/>
  <c r="O2192" i="9"/>
  <c r="N2192" i="9"/>
  <c r="Q2192" i="9" s="1"/>
  <c r="U2192" i="9" s="1"/>
  <c r="O2191" i="9"/>
  <c r="N2191" i="9"/>
  <c r="Q2191" i="9" s="1"/>
  <c r="U2191" i="9" s="1"/>
  <c r="O2190" i="9"/>
  <c r="N2190" i="9"/>
  <c r="Q2190" i="9" s="1"/>
  <c r="U2190" i="9" s="1"/>
  <c r="O2189" i="9"/>
  <c r="N2189" i="9"/>
  <c r="Q2189" i="9" s="1"/>
  <c r="U2189" i="9" s="1"/>
  <c r="O2188" i="9"/>
  <c r="N2188" i="9"/>
  <c r="Q2188" i="9" s="1"/>
  <c r="U2188" i="9" s="1"/>
  <c r="O2187" i="9"/>
  <c r="N2187" i="9"/>
  <c r="O2186" i="9"/>
  <c r="Q2186" i="9"/>
  <c r="U2186" i="9" s="1"/>
  <c r="O2185" i="9"/>
  <c r="Q2185" i="9"/>
  <c r="U2185" i="9" s="1"/>
  <c r="O2184" i="9"/>
  <c r="Q2184" i="9"/>
  <c r="U2184" i="9" s="1"/>
  <c r="Q2183" i="9"/>
  <c r="U2183" i="9" s="1"/>
  <c r="Q2182" i="9"/>
  <c r="P2164" i="9"/>
  <c r="O2160" i="9"/>
  <c r="N2160" i="9"/>
  <c r="Q2160" i="9" s="1"/>
  <c r="U2160" i="9" s="1"/>
  <c r="O2159" i="9"/>
  <c r="N2159" i="9"/>
  <c r="Q2159" i="9" s="1"/>
  <c r="U2159" i="9" s="1"/>
  <c r="O2158" i="9"/>
  <c r="N2158" i="9"/>
  <c r="Q2158" i="9" s="1"/>
  <c r="U2158" i="9" s="1"/>
  <c r="O2157" i="9"/>
  <c r="N2157" i="9"/>
  <c r="Q2157" i="9" s="1"/>
  <c r="U2157" i="9" s="1"/>
  <c r="O2156" i="9"/>
  <c r="Z2141" i="9"/>
  <c r="P2141" i="9"/>
  <c r="Y2140" i="9"/>
  <c r="X2140" i="9"/>
  <c r="AA2140" i="9" s="1"/>
  <c r="AE2140" i="9" s="1"/>
  <c r="Y2139" i="9"/>
  <c r="X2139" i="9"/>
  <c r="AA2139" i="9" s="1"/>
  <c r="AE2139" i="9" s="1"/>
  <c r="O2139" i="9"/>
  <c r="N2139" i="9"/>
  <c r="Q2139" i="9" s="1"/>
  <c r="U2139" i="9" s="1"/>
  <c r="Y2138" i="9"/>
  <c r="X2138" i="9"/>
  <c r="AA2138" i="9" s="1"/>
  <c r="AE2138" i="9" s="1"/>
  <c r="O2138" i="9"/>
  <c r="N2138" i="9"/>
  <c r="Q2138" i="9" s="1"/>
  <c r="U2138" i="9" s="1"/>
  <c r="Y2137" i="9"/>
  <c r="X2137" i="9"/>
  <c r="AA2137" i="9" s="1"/>
  <c r="AE2137" i="9" s="1"/>
  <c r="Y2136" i="9"/>
  <c r="X2136" i="9"/>
  <c r="AA2136" i="9" s="1"/>
  <c r="AE2136" i="9" s="1"/>
  <c r="O2136" i="9"/>
  <c r="N2136" i="9"/>
  <c r="Q2136" i="9" s="1"/>
  <c r="U2136" i="9" s="1"/>
  <c r="Y2135" i="9"/>
  <c r="X2135" i="9"/>
  <c r="AA2135" i="9" s="1"/>
  <c r="AE2135" i="9" s="1"/>
  <c r="O2135" i="9"/>
  <c r="N2135" i="9"/>
  <c r="Q2135" i="9" s="1"/>
  <c r="U2135" i="9" s="1"/>
  <c r="Y2134" i="9"/>
  <c r="X2134" i="9"/>
  <c r="AA2134" i="9" s="1"/>
  <c r="AE2134" i="9" s="1"/>
  <c r="O2134" i="9"/>
  <c r="N2134" i="9"/>
  <c r="Q2134" i="9" s="1"/>
  <c r="U2134" i="9" s="1"/>
  <c r="O2133" i="9"/>
  <c r="P2118" i="9"/>
  <c r="Y2115" i="9"/>
  <c r="X2115" i="9"/>
  <c r="AA2115" i="9" s="1"/>
  <c r="AE2115" i="9" s="1"/>
  <c r="O2115" i="9"/>
  <c r="N2115" i="9"/>
  <c r="Q2115" i="9" s="1"/>
  <c r="U2115" i="9" s="1"/>
  <c r="Y2114" i="9"/>
  <c r="X2114" i="9"/>
  <c r="AA2114" i="9" s="1"/>
  <c r="AE2114" i="9" s="1"/>
  <c r="O2114" i="9"/>
  <c r="N2114" i="9"/>
  <c r="Q2114" i="9" s="1"/>
  <c r="U2114" i="9" s="1"/>
  <c r="Y2113" i="9"/>
  <c r="X2113" i="9"/>
  <c r="AA2113" i="9" s="1"/>
  <c r="AE2113" i="9" s="1"/>
  <c r="O2113" i="9"/>
  <c r="N2113" i="9"/>
  <c r="Q2113" i="9" s="1"/>
  <c r="U2113" i="9" s="1"/>
  <c r="Y2112" i="9"/>
  <c r="X2112" i="9"/>
  <c r="AA2112" i="9" s="1"/>
  <c r="AE2112" i="9" s="1"/>
  <c r="O2112" i="9"/>
  <c r="N2112" i="9"/>
  <c r="Q2112" i="9" s="1"/>
  <c r="U2112" i="9" s="1"/>
  <c r="Y2111" i="9"/>
  <c r="X2111" i="9"/>
  <c r="AA2111" i="9" s="1"/>
  <c r="AE2111" i="9" s="1"/>
  <c r="O2111" i="9"/>
  <c r="N2111" i="9"/>
  <c r="Q2111" i="9" s="1"/>
  <c r="U2111" i="9" s="1"/>
  <c r="Y2110" i="9"/>
  <c r="X2110" i="9"/>
  <c r="AA2110" i="9" s="1"/>
  <c r="AE2110" i="9" s="1"/>
  <c r="O2110" i="9"/>
  <c r="N2110" i="9"/>
  <c r="Q2110" i="9" s="1"/>
  <c r="U2110" i="9" s="1"/>
  <c r="Y2109" i="9"/>
  <c r="X2109" i="9"/>
  <c r="O2109" i="9"/>
  <c r="N2109" i="9"/>
  <c r="Q2109" i="9" s="1"/>
  <c r="U2109" i="9" s="1"/>
  <c r="O2108" i="9"/>
  <c r="P2094" i="9"/>
  <c r="O2092" i="9"/>
  <c r="N2092" i="9"/>
  <c r="Q2092" i="9" s="1"/>
  <c r="U2092" i="9" s="1"/>
  <c r="O2091" i="9"/>
  <c r="N2091" i="9"/>
  <c r="Q2091" i="9" s="1"/>
  <c r="U2091" i="9" s="1"/>
  <c r="O2090" i="9"/>
  <c r="N2090" i="9"/>
  <c r="Q2090" i="9" s="1"/>
  <c r="U2090" i="9" s="1"/>
  <c r="O2089" i="9"/>
  <c r="N2089" i="9"/>
  <c r="Q2089" i="9" s="1"/>
  <c r="U2089" i="9" s="1"/>
  <c r="O2088" i="9"/>
  <c r="N2088" i="9"/>
  <c r="Q2088" i="9" s="1"/>
  <c r="U2088" i="9" s="1"/>
  <c r="O2087" i="9"/>
  <c r="N2087" i="9"/>
  <c r="Q2087" i="9" s="1"/>
  <c r="U2087" i="9" s="1"/>
  <c r="O2086" i="9"/>
  <c r="N2086" i="9"/>
  <c r="Q2086" i="9" s="1"/>
  <c r="U2086" i="9" s="1"/>
  <c r="O2085" i="9"/>
  <c r="P2071" i="9"/>
  <c r="Z2069" i="9"/>
  <c r="O2069" i="9"/>
  <c r="N2069" i="9"/>
  <c r="Q2069" i="9" s="1"/>
  <c r="U2069" i="9" s="1"/>
  <c r="Y2068" i="9"/>
  <c r="X2068" i="9"/>
  <c r="AA2068" i="9" s="1"/>
  <c r="AE2068" i="9" s="1"/>
  <c r="Y2067" i="9"/>
  <c r="X2067" i="9"/>
  <c r="AA2067" i="9" s="1"/>
  <c r="AE2067" i="9" s="1"/>
  <c r="O2067" i="9"/>
  <c r="N2067" i="9"/>
  <c r="Q2067" i="9" s="1"/>
  <c r="U2067" i="9" s="1"/>
  <c r="Y2066" i="9"/>
  <c r="X2066" i="9"/>
  <c r="AA2066" i="9" s="1"/>
  <c r="AE2066" i="9" s="1"/>
  <c r="O2066" i="9"/>
  <c r="N2066" i="9"/>
  <c r="Q2066" i="9" s="1"/>
  <c r="U2066" i="9" s="1"/>
  <c r="Y2065" i="9"/>
  <c r="X2065" i="9"/>
  <c r="AA2065" i="9" s="1"/>
  <c r="AE2065" i="9" s="1"/>
  <c r="O2065" i="9"/>
  <c r="N2065" i="9"/>
  <c r="Q2065" i="9" s="1"/>
  <c r="U2065" i="9" s="1"/>
  <c r="Y2064" i="9"/>
  <c r="X2064" i="9"/>
  <c r="AA2064" i="9" s="1"/>
  <c r="AE2064" i="9" s="1"/>
  <c r="O2064" i="9"/>
  <c r="N2064" i="9"/>
  <c r="Q2064" i="9" s="1"/>
  <c r="U2064" i="9" s="1"/>
  <c r="Y2063" i="9"/>
  <c r="X2063" i="9"/>
  <c r="AA2063" i="9" s="1"/>
  <c r="AE2063" i="9" s="1"/>
  <c r="O2063" i="9"/>
  <c r="N2063" i="9"/>
  <c r="Q2063" i="9" s="1"/>
  <c r="U2063" i="9" s="1"/>
  <c r="Y2062" i="9"/>
  <c r="X2062" i="9"/>
  <c r="O2062" i="9"/>
  <c r="N2062" i="9"/>
  <c r="Q2062" i="9" s="1"/>
  <c r="U2062" i="9" s="1"/>
  <c r="O2061" i="9"/>
  <c r="P2047" i="9"/>
  <c r="O2045" i="9"/>
  <c r="N2045" i="9"/>
  <c r="Q2045" i="9" s="1"/>
  <c r="U2045" i="9" s="1"/>
  <c r="O2044" i="9"/>
  <c r="N2044" i="9"/>
  <c r="Q2044" i="9" s="1"/>
  <c r="U2044" i="9" s="1"/>
  <c r="O2043" i="9"/>
  <c r="N2043" i="9"/>
  <c r="Q2043" i="9" s="1"/>
  <c r="U2043" i="9" s="1"/>
  <c r="O2042" i="9"/>
  <c r="N2042" i="9"/>
  <c r="Q2042" i="9" s="1"/>
  <c r="U2042" i="9" s="1"/>
  <c r="O2041" i="9"/>
  <c r="N2041" i="9"/>
  <c r="Q2041" i="9" s="1"/>
  <c r="U2041" i="9" s="1"/>
  <c r="O2040" i="9"/>
  <c r="N2040" i="9"/>
  <c r="Q2040" i="9" s="1"/>
  <c r="U2040" i="9" s="1"/>
  <c r="O2039" i="9"/>
  <c r="N2039" i="9"/>
  <c r="Q2039" i="9" s="1"/>
  <c r="U2039" i="9" s="1"/>
  <c r="O2038" i="9"/>
  <c r="P2024" i="9"/>
  <c r="O2022" i="9"/>
  <c r="N2022" i="9"/>
  <c r="Q2022" i="9" s="1"/>
  <c r="U2022" i="9" s="1"/>
  <c r="O2021" i="9"/>
  <c r="N2021" i="9"/>
  <c r="Q2021" i="9" s="1"/>
  <c r="U2021" i="9" s="1"/>
  <c r="O2020" i="9"/>
  <c r="N2020" i="9"/>
  <c r="Q2020" i="9" s="1"/>
  <c r="U2020" i="9" s="1"/>
  <c r="O2019" i="9"/>
  <c r="N2019" i="9"/>
  <c r="Q2019" i="9" s="1"/>
  <c r="U2019" i="9" s="1"/>
  <c r="O2018" i="9"/>
  <c r="N2018" i="9"/>
  <c r="Q2018" i="9" s="1"/>
  <c r="U2018" i="9" s="1"/>
  <c r="O2017" i="9"/>
  <c r="N2017" i="9"/>
  <c r="Q2017" i="9" s="1"/>
  <c r="U2017" i="9" s="1"/>
  <c r="O2016" i="9"/>
  <c r="N2016" i="9"/>
  <c r="Q2016" i="9" s="1"/>
  <c r="U2016" i="9" s="1"/>
  <c r="O2015" i="9"/>
  <c r="P2001" i="9"/>
  <c r="O1999" i="9"/>
  <c r="N1999" i="9"/>
  <c r="Q1999" i="9" s="1"/>
  <c r="U1999" i="9" s="1"/>
  <c r="O1998" i="9"/>
  <c r="N1998" i="9"/>
  <c r="Q1998" i="9" s="1"/>
  <c r="U1998" i="9" s="1"/>
  <c r="O1997" i="9"/>
  <c r="N1997" i="9"/>
  <c r="Q1997" i="9" s="1"/>
  <c r="U1997" i="9" s="1"/>
  <c r="O1996" i="9"/>
  <c r="N1996" i="9"/>
  <c r="Q1996" i="9" s="1"/>
  <c r="U1996" i="9" s="1"/>
  <c r="O1995" i="9"/>
  <c r="N1995" i="9"/>
  <c r="Q1995" i="9" s="1"/>
  <c r="U1995" i="9" s="1"/>
  <c r="O1994" i="9"/>
  <c r="N1994" i="9"/>
  <c r="Q1994" i="9" s="1"/>
  <c r="U1994" i="9" s="1"/>
  <c r="O1993" i="9"/>
  <c r="N1993" i="9"/>
  <c r="Q1993" i="9" s="1"/>
  <c r="U1993" i="9" s="1"/>
  <c r="O1992" i="9"/>
  <c r="Z1977" i="9"/>
  <c r="P1977" i="9"/>
  <c r="Y1976" i="9"/>
  <c r="X1976" i="9"/>
  <c r="AA1976" i="9" s="1"/>
  <c r="AE1976" i="9" s="1"/>
  <c r="Y1975" i="9"/>
  <c r="X1975" i="9"/>
  <c r="AA1975" i="9" s="1"/>
  <c r="AE1975" i="9" s="1"/>
  <c r="Y1974" i="9"/>
  <c r="X1974" i="9"/>
  <c r="AA1974" i="9" s="1"/>
  <c r="AE1974" i="9" s="1"/>
  <c r="Y1973" i="9"/>
  <c r="X1973" i="9"/>
  <c r="AA1973" i="9" s="1"/>
  <c r="AE1973" i="9" s="1"/>
  <c r="O1973" i="9"/>
  <c r="N1973" i="9"/>
  <c r="Q1973" i="9" s="1"/>
  <c r="U1973" i="9" s="1"/>
  <c r="Y1972" i="9"/>
  <c r="X1972" i="9"/>
  <c r="AA1972" i="9" s="1"/>
  <c r="AE1972" i="9" s="1"/>
  <c r="O1972" i="9"/>
  <c r="N1972" i="9"/>
  <c r="Q1972" i="9" s="1"/>
  <c r="U1972" i="9" s="1"/>
  <c r="Y1971" i="9"/>
  <c r="X1971" i="9"/>
  <c r="AA1971" i="9" s="1"/>
  <c r="AE1971" i="9" s="1"/>
  <c r="Y1970" i="9"/>
  <c r="X1970" i="9"/>
  <c r="AA1970" i="9" s="1"/>
  <c r="AE1970" i="9" s="1"/>
  <c r="O1970" i="9"/>
  <c r="N1970" i="9"/>
  <c r="Q1970" i="9" s="1"/>
  <c r="U1970" i="9" s="1"/>
  <c r="O1969" i="9"/>
  <c r="P1954" i="9"/>
  <c r="O1952" i="9"/>
  <c r="N1952" i="9"/>
  <c r="Q1952" i="9" s="1"/>
  <c r="U1952" i="9" s="1"/>
  <c r="Z1951" i="9"/>
  <c r="O1951" i="9"/>
  <c r="N1951" i="9"/>
  <c r="Q1951" i="9" s="1"/>
  <c r="U1951" i="9" s="1"/>
  <c r="Y1950" i="9"/>
  <c r="X1950" i="9"/>
  <c r="AA1950" i="9" s="1"/>
  <c r="AE1950" i="9" s="1"/>
  <c r="O1950" i="9"/>
  <c r="N1950" i="9"/>
  <c r="Q1950" i="9" s="1"/>
  <c r="U1950" i="9" s="1"/>
  <c r="Y1949" i="9"/>
  <c r="X1949" i="9"/>
  <c r="AA1949" i="9" s="1"/>
  <c r="AE1949" i="9" s="1"/>
  <c r="O1949" i="9"/>
  <c r="Y1948" i="9"/>
  <c r="X1948" i="9"/>
  <c r="AA1948" i="9" s="1"/>
  <c r="AE1948" i="9" s="1"/>
  <c r="O1948" i="9"/>
  <c r="N1948" i="9"/>
  <c r="Q1948" i="9" s="1"/>
  <c r="U1948" i="9" s="1"/>
  <c r="Y1947" i="9"/>
  <c r="X1947" i="9"/>
  <c r="AA1947" i="9" s="1"/>
  <c r="AE1947" i="9" s="1"/>
  <c r="O1947" i="9"/>
  <c r="N1947" i="9"/>
  <c r="Q1947" i="9" s="1"/>
  <c r="U1947" i="9" s="1"/>
  <c r="Y1946" i="9"/>
  <c r="X1946" i="9"/>
  <c r="AA1946" i="9" s="1"/>
  <c r="AE1946" i="9" s="1"/>
  <c r="O1946" i="9"/>
  <c r="N1946" i="9"/>
  <c r="Q1946" i="9" s="1"/>
  <c r="U1946" i="9" s="1"/>
  <c r="Y1945" i="9"/>
  <c r="X1945" i="9"/>
  <c r="O1945" i="9"/>
  <c r="N1945" i="9"/>
  <c r="Q1945" i="9" s="1"/>
  <c r="U1945" i="9" s="1"/>
  <c r="O1944" i="9"/>
  <c r="P1929" i="9"/>
  <c r="O1927" i="9"/>
  <c r="N1927" i="9"/>
  <c r="Q1927" i="9" s="1"/>
  <c r="U1927" i="9" s="1"/>
  <c r="O1926" i="9"/>
  <c r="N1926" i="9"/>
  <c r="Q1926" i="9" s="1"/>
  <c r="U1926" i="9" s="1"/>
  <c r="O1925" i="9"/>
  <c r="N1925" i="9"/>
  <c r="Q1925" i="9" s="1"/>
  <c r="U1925" i="9" s="1"/>
  <c r="O1924" i="9"/>
  <c r="N1924" i="9"/>
  <c r="Q1924" i="9" s="1"/>
  <c r="U1924" i="9" s="1"/>
  <c r="O1923" i="9"/>
  <c r="N1923" i="9"/>
  <c r="Q1923" i="9" s="1"/>
  <c r="U1923" i="9" s="1"/>
  <c r="O1922" i="9"/>
  <c r="N1922" i="9"/>
  <c r="Q1922" i="9" s="1"/>
  <c r="U1922" i="9" s="1"/>
  <c r="O1921" i="9"/>
  <c r="P1906" i="9"/>
  <c r="O1904" i="9"/>
  <c r="N1904" i="9"/>
  <c r="Q1904" i="9" s="1"/>
  <c r="U1904" i="9" s="1"/>
  <c r="O1903" i="9"/>
  <c r="N1903" i="9"/>
  <c r="Q1903" i="9" s="1"/>
  <c r="U1903" i="9" s="1"/>
  <c r="O1902" i="9"/>
  <c r="N1902" i="9"/>
  <c r="Q1902" i="9" s="1"/>
  <c r="U1902" i="9" s="1"/>
  <c r="O1901" i="9"/>
  <c r="N1901" i="9"/>
  <c r="Q1901" i="9" s="1"/>
  <c r="U1901" i="9" s="1"/>
  <c r="O1900" i="9"/>
  <c r="N1900" i="9"/>
  <c r="Q1900" i="9" s="1"/>
  <c r="U1900" i="9" s="1"/>
  <c r="O1899" i="9"/>
  <c r="N1899" i="9"/>
  <c r="Q1899" i="9" s="1"/>
  <c r="U1899" i="9" s="1"/>
  <c r="O1898" i="9"/>
  <c r="P1883" i="9"/>
  <c r="O1879" i="9"/>
  <c r="N1879" i="9"/>
  <c r="Q1879" i="9" s="1"/>
  <c r="U1879" i="9" s="1"/>
  <c r="O1878" i="9"/>
  <c r="N1878" i="9"/>
  <c r="Q1878" i="9" s="1"/>
  <c r="U1878" i="9" s="1"/>
  <c r="O1877" i="9"/>
  <c r="N1877" i="9"/>
  <c r="Q1877" i="9" s="1"/>
  <c r="U1877" i="9" s="1"/>
  <c r="O1876" i="9"/>
  <c r="N1876" i="9"/>
  <c r="Q1876" i="9" s="1"/>
  <c r="U1876" i="9" s="1"/>
  <c r="O1875" i="9"/>
  <c r="P1860" i="9"/>
  <c r="O1856" i="9"/>
  <c r="N1856" i="9"/>
  <c r="Q1856" i="9" s="1"/>
  <c r="U1856" i="9" s="1"/>
  <c r="O1855" i="9"/>
  <c r="N1855" i="9"/>
  <c r="Q1855" i="9" s="1"/>
  <c r="U1855" i="9" s="1"/>
  <c r="O1854" i="9"/>
  <c r="N1854" i="9"/>
  <c r="Q1854" i="9" s="1"/>
  <c r="U1854" i="9" s="1"/>
  <c r="O1853" i="9"/>
  <c r="N1853" i="9"/>
  <c r="Q1853" i="9" s="1"/>
  <c r="U1853" i="9" s="1"/>
  <c r="O1852" i="9"/>
  <c r="P1837" i="9"/>
  <c r="O1834" i="9"/>
  <c r="N1834" i="9"/>
  <c r="Q1834" i="9" s="1"/>
  <c r="U1834" i="9" s="1"/>
  <c r="O1833" i="9"/>
  <c r="N1833" i="9"/>
  <c r="Q1833" i="9" s="1"/>
  <c r="U1833" i="9" s="1"/>
  <c r="O1832" i="9"/>
  <c r="N1832" i="9"/>
  <c r="Q1832" i="9" s="1"/>
  <c r="U1832" i="9" s="1"/>
  <c r="O1831" i="9"/>
  <c r="N1831" i="9"/>
  <c r="Q1831" i="9" s="1"/>
  <c r="U1831" i="9" s="1"/>
  <c r="O1830" i="9"/>
  <c r="N1830" i="9"/>
  <c r="Q1830" i="9" s="1"/>
  <c r="U1830" i="9" s="1"/>
  <c r="O1829" i="9"/>
  <c r="P1814" i="9"/>
  <c r="O1812" i="9"/>
  <c r="N1812" i="9"/>
  <c r="Q1812" i="9" s="1"/>
  <c r="U1812" i="9" s="1"/>
  <c r="O1811" i="9"/>
  <c r="N1811" i="9"/>
  <c r="Q1811" i="9" s="1"/>
  <c r="U1811" i="9" s="1"/>
  <c r="O1810" i="9"/>
  <c r="N1810" i="9"/>
  <c r="Q1810" i="9" s="1"/>
  <c r="U1810" i="9" s="1"/>
  <c r="O1809" i="9"/>
  <c r="N1809" i="9"/>
  <c r="Q1809" i="9" s="1"/>
  <c r="U1809" i="9" s="1"/>
  <c r="O1808" i="9"/>
  <c r="N1808" i="9"/>
  <c r="Q1808" i="9" s="1"/>
  <c r="U1808" i="9" s="1"/>
  <c r="O1807" i="9"/>
  <c r="N1807" i="9"/>
  <c r="Q1807" i="9" s="1"/>
  <c r="U1807" i="9" s="1"/>
  <c r="O1806" i="9"/>
  <c r="P1791" i="9"/>
  <c r="O1788" i="9"/>
  <c r="N1788" i="9"/>
  <c r="Q1788" i="9" s="1"/>
  <c r="U1788" i="9" s="1"/>
  <c r="O1787" i="9"/>
  <c r="N1787" i="9"/>
  <c r="Q1787" i="9" s="1"/>
  <c r="U1787" i="9" s="1"/>
  <c r="O1786" i="9"/>
  <c r="N1786" i="9"/>
  <c r="Q1786" i="9" s="1"/>
  <c r="U1786" i="9" s="1"/>
  <c r="O1785" i="9"/>
  <c r="N1785" i="9"/>
  <c r="Q1785" i="9" s="1"/>
  <c r="U1785" i="9" s="1"/>
  <c r="O1784" i="9"/>
  <c r="N1784" i="9"/>
  <c r="Q1784" i="9" s="1"/>
  <c r="U1784" i="9" s="1"/>
  <c r="O1783" i="9"/>
  <c r="P1769" i="9"/>
  <c r="O1765" i="9"/>
  <c r="N1765" i="9"/>
  <c r="Q1765" i="9" s="1"/>
  <c r="U1765" i="9" s="1"/>
  <c r="O1764" i="9"/>
  <c r="N1764" i="9"/>
  <c r="Q1764" i="9" s="1"/>
  <c r="U1764" i="9" s="1"/>
  <c r="O1763" i="9"/>
  <c r="N1763" i="9"/>
  <c r="Q1763" i="9" s="1"/>
  <c r="U1763" i="9" s="1"/>
  <c r="O1762" i="9"/>
  <c r="N1762" i="9"/>
  <c r="Q1762" i="9" s="1"/>
  <c r="U1762" i="9" s="1"/>
  <c r="O1761" i="9"/>
  <c r="N1761" i="9"/>
  <c r="Q1761" i="9" s="1"/>
  <c r="U1761" i="9" s="1"/>
  <c r="O1760" i="9"/>
  <c r="N1760" i="9"/>
  <c r="Q1760" i="9" s="1"/>
  <c r="U1760" i="9" s="1"/>
  <c r="O1759" i="9"/>
  <c r="P1745" i="9"/>
  <c r="O1741" i="9"/>
  <c r="N1741" i="9"/>
  <c r="Q1741" i="9" s="1"/>
  <c r="U1741" i="9" s="1"/>
  <c r="O1740" i="9"/>
  <c r="N1740" i="9"/>
  <c r="Q1740" i="9" s="1"/>
  <c r="U1740" i="9" s="1"/>
  <c r="O1739" i="9"/>
  <c r="N1739" i="9"/>
  <c r="Q1739" i="9" s="1"/>
  <c r="U1739" i="9" s="1"/>
  <c r="O1738" i="9"/>
  <c r="N1738" i="9"/>
  <c r="Q1738" i="9" s="1"/>
  <c r="U1738" i="9" s="1"/>
  <c r="O1737" i="9"/>
  <c r="N1737" i="9"/>
  <c r="Q1737" i="9" s="1"/>
  <c r="U1737" i="9" s="1"/>
  <c r="O1736" i="9"/>
  <c r="N1736" i="9"/>
  <c r="Q1736" i="9" s="1"/>
  <c r="U1736" i="9" s="1"/>
  <c r="O1735" i="9"/>
  <c r="P1720" i="9"/>
  <c r="O1718" i="9"/>
  <c r="N1718" i="9"/>
  <c r="Q1718" i="9" s="1"/>
  <c r="U1718" i="9" s="1"/>
  <c r="O1717" i="9"/>
  <c r="N1717" i="9"/>
  <c r="Q1717" i="9" s="1"/>
  <c r="U1717" i="9" s="1"/>
  <c r="O1716" i="9"/>
  <c r="N1716" i="9"/>
  <c r="Q1716" i="9" s="1"/>
  <c r="U1716" i="9" s="1"/>
  <c r="O1715" i="9"/>
  <c r="N1715" i="9"/>
  <c r="Q1715" i="9" s="1"/>
  <c r="U1715" i="9" s="1"/>
  <c r="O1714" i="9"/>
  <c r="N1714" i="9"/>
  <c r="Q1714" i="9" s="1"/>
  <c r="U1714" i="9" s="1"/>
  <c r="O1713" i="9"/>
  <c r="N1713" i="9"/>
  <c r="Q1713" i="9" s="1"/>
  <c r="U1713" i="9" s="1"/>
  <c r="O1712" i="9"/>
  <c r="N1712" i="9"/>
  <c r="Q1712" i="9" s="1"/>
  <c r="U1712" i="9" s="1"/>
  <c r="O1711" i="9"/>
  <c r="N1711" i="9"/>
  <c r="Q1711" i="9" s="1"/>
  <c r="U1711" i="9" s="1"/>
  <c r="O1710" i="9"/>
  <c r="P1695" i="9"/>
  <c r="O1693" i="9"/>
  <c r="N1693" i="9"/>
  <c r="Q1693" i="9" s="1"/>
  <c r="U1693" i="9" s="1"/>
  <c r="O1692" i="9"/>
  <c r="N1692" i="9"/>
  <c r="Q1692" i="9" s="1"/>
  <c r="U1692" i="9" s="1"/>
  <c r="O1691" i="9"/>
  <c r="N1691" i="9"/>
  <c r="Q1691" i="9" s="1"/>
  <c r="U1691" i="9" s="1"/>
  <c r="O1690" i="9"/>
  <c r="N1690" i="9"/>
  <c r="Q1690" i="9" s="1"/>
  <c r="U1690" i="9" s="1"/>
  <c r="O1689" i="9"/>
  <c r="N1689" i="9"/>
  <c r="Q1689" i="9" s="1"/>
  <c r="U1689" i="9" s="1"/>
  <c r="O1688" i="9"/>
  <c r="N1688" i="9"/>
  <c r="Q1688" i="9" s="1"/>
  <c r="U1688" i="9" s="1"/>
  <c r="O1687" i="9"/>
  <c r="P1673" i="9"/>
  <c r="Z1672" i="9"/>
  <c r="Y1671" i="9"/>
  <c r="X1671" i="9"/>
  <c r="AA1671" i="9" s="1"/>
  <c r="AE1671" i="9" s="1"/>
  <c r="Y1670" i="9"/>
  <c r="X1670" i="9"/>
  <c r="AA1670" i="9" s="1"/>
  <c r="AE1670" i="9" s="1"/>
  <c r="O1670" i="9"/>
  <c r="N1670" i="9"/>
  <c r="Q1670" i="9" s="1"/>
  <c r="U1670" i="9" s="1"/>
  <c r="Y1669" i="9"/>
  <c r="X1669" i="9"/>
  <c r="AA1669" i="9" s="1"/>
  <c r="AE1669" i="9" s="1"/>
  <c r="O1669" i="9"/>
  <c r="N1669" i="9"/>
  <c r="Q1669" i="9" s="1"/>
  <c r="U1669" i="9" s="1"/>
  <c r="Y1668" i="9"/>
  <c r="X1668" i="9"/>
  <c r="O1668" i="9"/>
  <c r="N1668" i="9"/>
  <c r="Q1668" i="9" s="1"/>
  <c r="U1668" i="9" s="1"/>
  <c r="Y1667" i="9"/>
  <c r="X1667" i="9"/>
  <c r="AA1667" i="9" s="1"/>
  <c r="AE1667" i="9" s="1"/>
  <c r="O1667" i="9"/>
  <c r="N1667" i="9"/>
  <c r="Q1667" i="9" s="1"/>
  <c r="U1667" i="9" s="1"/>
  <c r="Y1666" i="9"/>
  <c r="X1666" i="9"/>
  <c r="AA1666" i="9" s="1"/>
  <c r="AE1666" i="9" s="1"/>
  <c r="O1666" i="9"/>
  <c r="N1666" i="9"/>
  <c r="Q1666" i="9" s="1"/>
  <c r="U1666" i="9" s="1"/>
  <c r="Y1665" i="9"/>
  <c r="X1665" i="9"/>
  <c r="AA1665" i="9" s="1"/>
  <c r="AE1665" i="9" s="1"/>
  <c r="O1665" i="9"/>
  <c r="N1665" i="9"/>
  <c r="Q1665" i="9" s="1"/>
  <c r="U1665" i="9" s="1"/>
  <c r="O1664" i="9"/>
  <c r="P1649" i="9"/>
  <c r="O1646" i="9"/>
  <c r="N1646" i="9"/>
  <c r="Q1646" i="9" s="1"/>
  <c r="U1646" i="9" s="1"/>
  <c r="O1645" i="9"/>
  <c r="N1645" i="9"/>
  <c r="Q1645" i="9" s="1"/>
  <c r="U1645" i="9" s="1"/>
  <c r="Z1644" i="9"/>
  <c r="O1644" i="9"/>
  <c r="N1644" i="9"/>
  <c r="Q1644" i="9" s="1"/>
  <c r="U1644" i="9" s="1"/>
  <c r="Y1643" i="9"/>
  <c r="X1643" i="9"/>
  <c r="AA1643" i="9" s="1"/>
  <c r="AE1643" i="9" s="1"/>
  <c r="O1643" i="9"/>
  <c r="N1643" i="9"/>
  <c r="Q1643" i="9" s="1"/>
  <c r="U1643" i="9" s="1"/>
  <c r="Y1642" i="9"/>
  <c r="X1642" i="9"/>
  <c r="AA1642" i="9" s="1"/>
  <c r="AE1642" i="9" s="1"/>
  <c r="O1642" i="9"/>
  <c r="N1642" i="9"/>
  <c r="Q1642" i="9" s="1"/>
  <c r="U1642" i="9" s="1"/>
  <c r="Y1641" i="9"/>
  <c r="X1641" i="9"/>
  <c r="AA1641" i="9" s="1"/>
  <c r="AE1641" i="9" s="1"/>
  <c r="O1641" i="9"/>
  <c r="N1641" i="9"/>
  <c r="Q1641" i="9" s="1"/>
  <c r="U1641" i="9" s="1"/>
  <c r="Y1640" i="9"/>
  <c r="X1640" i="9"/>
  <c r="AA1640" i="9" s="1"/>
  <c r="AE1640" i="9" s="1"/>
  <c r="O1640" i="9"/>
  <c r="N1640" i="9"/>
  <c r="Q1640" i="9" s="1"/>
  <c r="U1640" i="9" s="1"/>
  <c r="Y1639" i="9"/>
  <c r="X1639" i="9"/>
  <c r="AA1639" i="9" s="1"/>
  <c r="AE1639" i="9" s="1"/>
  <c r="O1639" i="9"/>
  <c r="N1639" i="9"/>
  <c r="Q1639" i="9" s="1"/>
  <c r="U1639" i="9" s="1"/>
  <c r="Y1638" i="9"/>
  <c r="X1638" i="9"/>
  <c r="AA1638" i="9" s="1"/>
  <c r="AE1638" i="9" s="1"/>
  <c r="O1638" i="9"/>
  <c r="N1638" i="9"/>
  <c r="Q1638" i="9" s="1"/>
  <c r="U1638" i="9" s="1"/>
  <c r="Y1637" i="9"/>
  <c r="X1637" i="9"/>
  <c r="O1637" i="9"/>
  <c r="N1637" i="9"/>
  <c r="Q1637" i="9" s="1"/>
  <c r="U1637" i="9" s="1"/>
  <c r="O1636" i="9"/>
  <c r="Z1621" i="9"/>
  <c r="P1621" i="9"/>
  <c r="Y1620" i="9"/>
  <c r="X1620" i="9"/>
  <c r="Y1619" i="9"/>
  <c r="X1619" i="9"/>
  <c r="AA1619" i="9" s="1"/>
  <c r="AE1619" i="9" s="1"/>
  <c r="Y1618" i="9"/>
  <c r="X1618" i="9"/>
  <c r="AA1618" i="9" s="1"/>
  <c r="AE1618" i="9" s="1"/>
  <c r="O1618" i="9"/>
  <c r="N1618" i="9"/>
  <c r="Q1618" i="9" s="1"/>
  <c r="U1618" i="9" s="1"/>
  <c r="Y1617" i="9"/>
  <c r="X1617" i="9"/>
  <c r="AA1617" i="9" s="1"/>
  <c r="AE1617" i="9" s="1"/>
  <c r="O1617" i="9"/>
  <c r="N1617" i="9"/>
  <c r="Q1617" i="9" s="1"/>
  <c r="U1617" i="9" s="1"/>
  <c r="Y1616" i="9"/>
  <c r="X1616" i="9"/>
  <c r="AA1616" i="9" s="1"/>
  <c r="AE1616" i="9" s="1"/>
  <c r="Y1615" i="9"/>
  <c r="X1615" i="9"/>
  <c r="AA1615" i="9" s="1"/>
  <c r="AE1615" i="9" s="1"/>
  <c r="O1615" i="9"/>
  <c r="N1615" i="9"/>
  <c r="Q1615" i="9" s="1"/>
  <c r="U1615" i="9" s="1"/>
  <c r="Y1614" i="9"/>
  <c r="X1614" i="9"/>
  <c r="AA1614" i="9" s="1"/>
  <c r="AE1614" i="9" s="1"/>
  <c r="O1614" i="9"/>
  <c r="N1614" i="9"/>
  <c r="Q1614" i="9" s="1"/>
  <c r="U1614" i="9" s="1"/>
  <c r="O1613" i="9"/>
  <c r="Z1598" i="9"/>
  <c r="P1598" i="9"/>
  <c r="Y1597" i="9"/>
  <c r="X1597" i="9"/>
  <c r="AA1597" i="9" s="1"/>
  <c r="AE1597" i="9" s="1"/>
  <c r="Y1596" i="9"/>
  <c r="X1596" i="9"/>
  <c r="AA1596" i="9" s="1"/>
  <c r="AE1596" i="9" s="1"/>
  <c r="Y1595" i="9"/>
  <c r="X1595" i="9"/>
  <c r="AA1595" i="9" s="1"/>
  <c r="AE1595" i="9" s="1"/>
  <c r="O1595" i="9"/>
  <c r="N1595" i="9"/>
  <c r="Q1595" i="9" s="1"/>
  <c r="U1595" i="9" s="1"/>
  <c r="Y1594" i="9"/>
  <c r="X1594" i="9"/>
  <c r="AA1594" i="9" s="1"/>
  <c r="AE1594" i="9" s="1"/>
  <c r="Y1593" i="9"/>
  <c r="X1593" i="9"/>
  <c r="AA1593" i="9" s="1"/>
  <c r="AE1593" i="9" s="1"/>
  <c r="O1593" i="9"/>
  <c r="N1593" i="9"/>
  <c r="Q1593" i="9" s="1"/>
  <c r="U1593" i="9" s="1"/>
  <c r="Y1592" i="9"/>
  <c r="X1592" i="9"/>
  <c r="AA1592" i="9" s="1"/>
  <c r="AE1592" i="9" s="1"/>
  <c r="O1592" i="9"/>
  <c r="N1592" i="9"/>
  <c r="Q1592" i="9" s="1"/>
  <c r="U1592" i="9" s="1"/>
  <c r="Y1591" i="9"/>
  <c r="X1591" i="9"/>
  <c r="O1591" i="9"/>
  <c r="N1591" i="9"/>
  <c r="Q1591" i="9" s="1"/>
  <c r="U1591" i="9" s="1"/>
  <c r="O1590" i="9"/>
  <c r="P1576" i="9"/>
  <c r="O1573" i="9"/>
  <c r="N1573" i="9"/>
  <c r="Q1573" i="9" s="1"/>
  <c r="U1573" i="9" s="1"/>
  <c r="O1572" i="9"/>
  <c r="N1572" i="9"/>
  <c r="Q1572" i="9" s="1"/>
  <c r="U1572" i="9" s="1"/>
  <c r="O1571" i="9"/>
  <c r="N1571" i="9"/>
  <c r="Q1571" i="9" s="1"/>
  <c r="U1571" i="9" s="1"/>
  <c r="O1570" i="9"/>
  <c r="N1570" i="9"/>
  <c r="Q1570" i="9" s="1"/>
  <c r="U1570" i="9" s="1"/>
  <c r="O1569" i="9"/>
  <c r="N1569" i="9"/>
  <c r="Q1569" i="9" s="1"/>
  <c r="U1569" i="9" s="1"/>
  <c r="O1568" i="9"/>
  <c r="N1568" i="9"/>
  <c r="Q1568" i="9" s="1"/>
  <c r="U1568" i="9" s="1"/>
  <c r="O1567" i="9"/>
  <c r="N1567" i="9"/>
  <c r="Q1567" i="9" s="1"/>
  <c r="U1567" i="9" s="1"/>
  <c r="O1566" i="9"/>
  <c r="N1566" i="9"/>
  <c r="Q1566" i="9" s="1"/>
  <c r="U1566" i="9" s="1"/>
  <c r="O1565" i="9"/>
  <c r="P1551" i="9"/>
  <c r="O1549" i="9"/>
  <c r="N1549" i="9"/>
  <c r="Q1549" i="9" s="1"/>
  <c r="U1549" i="9" s="1"/>
  <c r="O1548" i="9"/>
  <c r="N1548" i="9"/>
  <c r="Q1548" i="9" s="1"/>
  <c r="U1548" i="9" s="1"/>
  <c r="O1547" i="9"/>
  <c r="N1547" i="9"/>
  <c r="Q1547" i="9" s="1"/>
  <c r="U1547" i="9" s="1"/>
  <c r="O1546" i="9"/>
  <c r="N1546" i="9"/>
  <c r="Q1546" i="9" s="1"/>
  <c r="U1546" i="9" s="1"/>
  <c r="O1545" i="9"/>
  <c r="N1545" i="9"/>
  <c r="Q1545" i="9" s="1"/>
  <c r="U1545" i="9" s="1"/>
  <c r="O1544" i="9"/>
  <c r="N1544" i="9"/>
  <c r="Q1544" i="9" s="1"/>
  <c r="U1544" i="9" s="1"/>
  <c r="O1543" i="9"/>
  <c r="N1543" i="9"/>
  <c r="Q1543" i="9" s="1"/>
  <c r="U1543" i="9" s="1"/>
  <c r="O1542" i="9"/>
  <c r="P1528" i="9"/>
  <c r="O1526" i="9"/>
  <c r="N1526" i="9"/>
  <c r="Q1526" i="9" s="1"/>
  <c r="U1526" i="9" s="1"/>
  <c r="Z1525" i="9"/>
  <c r="O1525" i="9"/>
  <c r="N1525" i="9"/>
  <c r="Q1525" i="9" s="1"/>
  <c r="U1525" i="9" s="1"/>
  <c r="Y1524" i="9"/>
  <c r="X1524" i="9"/>
  <c r="AA1524" i="9" s="1"/>
  <c r="AE1524" i="9" s="1"/>
  <c r="O1524" i="9"/>
  <c r="N1524" i="9"/>
  <c r="Q1524" i="9" s="1"/>
  <c r="U1524" i="9" s="1"/>
  <c r="Y1523" i="9"/>
  <c r="X1523" i="9"/>
  <c r="AA1523" i="9" s="1"/>
  <c r="AE1523" i="9" s="1"/>
  <c r="O1523" i="9"/>
  <c r="N1523" i="9"/>
  <c r="Q1523" i="9" s="1"/>
  <c r="U1523" i="9" s="1"/>
  <c r="Y1522" i="9"/>
  <c r="X1522" i="9"/>
  <c r="AA1522" i="9" s="1"/>
  <c r="AE1522" i="9" s="1"/>
  <c r="O1522" i="9"/>
  <c r="N1522" i="9"/>
  <c r="Q1522" i="9" s="1"/>
  <c r="U1522" i="9" s="1"/>
  <c r="Y1521" i="9"/>
  <c r="X1521" i="9"/>
  <c r="AA1521" i="9" s="1"/>
  <c r="AE1521" i="9" s="1"/>
  <c r="Y1520" i="9"/>
  <c r="X1520" i="9"/>
  <c r="AA1520" i="9" s="1"/>
  <c r="AE1520" i="9" s="1"/>
  <c r="O1520" i="9"/>
  <c r="N1520" i="9"/>
  <c r="Q1520" i="9" s="1"/>
  <c r="U1520" i="9" s="1"/>
  <c r="Y1519" i="9"/>
  <c r="X1519" i="9"/>
  <c r="AA1519" i="9" s="1"/>
  <c r="AE1519" i="9" s="1"/>
  <c r="O1519" i="9"/>
  <c r="N1519" i="9"/>
  <c r="Q1519" i="9" s="1"/>
  <c r="U1519" i="9" s="1"/>
  <c r="Y1518" i="9"/>
  <c r="X1518" i="9"/>
  <c r="O1518" i="9"/>
  <c r="N1518" i="9"/>
  <c r="Q1518" i="9" s="1"/>
  <c r="U1518" i="9" s="1"/>
  <c r="O1517" i="9"/>
  <c r="Z1502" i="9"/>
  <c r="P1502" i="9"/>
  <c r="Y1501" i="9"/>
  <c r="X1501" i="9"/>
  <c r="AA1501" i="9" s="1"/>
  <c r="AE1501" i="9" s="1"/>
  <c r="Y1500" i="9"/>
  <c r="X1500" i="9"/>
  <c r="AA1500" i="9" s="1"/>
  <c r="AE1500" i="9" s="1"/>
  <c r="Y1499" i="9"/>
  <c r="X1499" i="9"/>
  <c r="AA1499" i="9" s="1"/>
  <c r="AE1499" i="9" s="1"/>
  <c r="O1499" i="9"/>
  <c r="N1499" i="9"/>
  <c r="Q1499" i="9" s="1"/>
  <c r="U1499" i="9" s="1"/>
  <c r="Y1498" i="9"/>
  <c r="X1498" i="9"/>
  <c r="AA1498" i="9" s="1"/>
  <c r="AE1498" i="9" s="1"/>
  <c r="Y1497" i="9"/>
  <c r="X1497" i="9"/>
  <c r="AA1497" i="9" s="1"/>
  <c r="AE1497" i="9" s="1"/>
  <c r="O1497" i="9"/>
  <c r="N1497" i="9"/>
  <c r="Q1497" i="9" s="1"/>
  <c r="U1497" i="9" s="1"/>
  <c r="Y1496" i="9"/>
  <c r="X1496" i="9"/>
  <c r="AA1496" i="9" s="1"/>
  <c r="AE1496" i="9" s="1"/>
  <c r="O1496" i="9"/>
  <c r="N1496" i="9"/>
  <c r="Q1496" i="9" s="1"/>
  <c r="U1496" i="9" s="1"/>
  <c r="Y1495" i="9"/>
  <c r="X1495" i="9"/>
  <c r="O1495" i="9"/>
  <c r="N1495" i="9"/>
  <c r="Q1495" i="9" s="1"/>
  <c r="U1495" i="9" s="1"/>
  <c r="O1494" i="9"/>
  <c r="P1479" i="9"/>
  <c r="O1478" i="9"/>
  <c r="O1477" i="9"/>
  <c r="O1476" i="9"/>
  <c r="N1476" i="9"/>
  <c r="Q1476" i="9" s="1"/>
  <c r="U1476" i="9" s="1"/>
  <c r="O1475" i="9"/>
  <c r="N1475" i="9"/>
  <c r="Q1475" i="9" s="1"/>
  <c r="U1475" i="9" s="1"/>
  <c r="O1474" i="9"/>
  <c r="O1473" i="9"/>
  <c r="N1473" i="9"/>
  <c r="Q1473" i="9" s="1"/>
  <c r="U1473" i="9" s="1"/>
  <c r="O1472" i="9"/>
  <c r="N1472" i="9"/>
  <c r="Q1472" i="9" s="1"/>
  <c r="U1472" i="9" s="1"/>
  <c r="O1471" i="9"/>
  <c r="N1471" i="9"/>
  <c r="Q1471" i="9" s="1"/>
  <c r="U1471" i="9" s="1"/>
  <c r="O1470" i="9"/>
  <c r="N1470" i="9"/>
  <c r="Q1470" i="9" s="1"/>
  <c r="U1470" i="9" s="1"/>
  <c r="O1469" i="9"/>
  <c r="N1469" i="9"/>
  <c r="Z1454" i="9"/>
  <c r="Y1453" i="9"/>
  <c r="X1453" i="9"/>
  <c r="AA1453" i="9" s="1"/>
  <c r="AE1453" i="9" s="1"/>
  <c r="Y1452" i="9"/>
  <c r="X1452" i="9"/>
  <c r="AA1452" i="9" s="1"/>
  <c r="AE1452" i="9" s="1"/>
  <c r="P1452" i="9"/>
  <c r="Y1451" i="9"/>
  <c r="X1451" i="9"/>
  <c r="AA1451" i="9" s="1"/>
  <c r="AE1451" i="9" s="1"/>
  <c r="Y1450" i="9"/>
  <c r="X1450" i="9"/>
  <c r="AA1450" i="9" s="1"/>
  <c r="AE1450" i="9" s="1"/>
  <c r="Y1449" i="9"/>
  <c r="X1449" i="9"/>
  <c r="AA1449" i="9" s="1"/>
  <c r="AE1449" i="9" s="1"/>
  <c r="O1449" i="9"/>
  <c r="N1449" i="9"/>
  <c r="Q1449" i="9" s="1"/>
  <c r="U1449" i="9" s="1"/>
  <c r="Y1448" i="9"/>
  <c r="X1448" i="9"/>
  <c r="AA1448" i="9" s="1"/>
  <c r="AE1448" i="9" s="1"/>
  <c r="Y1447" i="9"/>
  <c r="X1447" i="9"/>
  <c r="AA1447" i="9" s="1"/>
  <c r="AE1447" i="9" s="1"/>
  <c r="O1447" i="9"/>
  <c r="N1447" i="9"/>
  <c r="Q1447" i="9" s="1"/>
  <c r="U1447" i="9" s="1"/>
  <c r="Y1446" i="9"/>
  <c r="X1446" i="9"/>
  <c r="O1446" i="9"/>
  <c r="N1446" i="9"/>
  <c r="Q1446" i="9" s="1"/>
  <c r="U1446" i="9" s="1"/>
  <c r="Y1445" i="9"/>
  <c r="X1445" i="9"/>
  <c r="AA1445" i="9" s="1"/>
  <c r="AE1445" i="9" s="1"/>
  <c r="O1445" i="9"/>
  <c r="N1445" i="9"/>
  <c r="Q1445" i="9" s="1"/>
  <c r="U1445" i="9" s="1"/>
  <c r="O1444" i="9"/>
  <c r="Z1429" i="9"/>
  <c r="P1429" i="9"/>
  <c r="Y1428" i="9"/>
  <c r="X1428" i="9"/>
  <c r="AA1428" i="9" s="1"/>
  <c r="AE1428" i="9" s="1"/>
  <c r="Q1428" i="9"/>
  <c r="Y1427" i="9"/>
  <c r="X1427" i="9"/>
  <c r="AA1427" i="9" s="1"/>
  <c r="AE1427" i="9" s="1"/>
  <c r="O1427" i="9"/>
  <c r="N1427" i="9"/>
  <c r="Q1427" i="9" s="1"/>
  <c r="U1427" i="9" s="1"/>
  <c r="Y1426" i="9"/>
  <c r="X1426" i="9"/>
  <c r="AA1426" i="9" s="1"/>
  <c r="AE1426" i="9" s="1"/>
  <c r="O1426" i="9"/>
  <c r="N1426" i="9"/>
  <c r="Q1426" i="9" s="1"/>
  <c r="U1426" i="9" s="1"/>
  <c r="Y1425" i="9"/>
  <c r="X1425" i="9"/>
  <c r="AA1425" i="9" s="1"/>
  <c r="AE1425" i="9" s="1"/>
  <c r="Y1424" i="9"/>
  <c r="X1424" i="9"/>
  <c r="AA1424" i="9" s="1"/>
  <c r="AE1424" i="9" s="1"/>
  <c r="O1424" i="9"/>
  <c r="N1424" i="9"/>
  <c r="Q1424" i="9" s="1"/>
  <c r="U1424" i="9" s="1"/>
  <c r="Y1423" i="9"/>
  <c r="X1423" i="9"/>
  <c r="O1423" i="9"/>
  <c r="N1423" i="9"/>
  <c r="Q1423" i="9" s="1"/>
  <c r="U1423" i="9" s="1"/>
  <c r="Y1422" i="9"/>
  <c r="X1422" i="9"/>
  <c r="AA1422" i="9" s="1"/>
  <c r="AE1422" i="9" s="1"/>
  <c r="O1422" i="9"/>
  <c r="N1422" i="9"/>
  <c r="Q1422" i="9" s="1"/>
  <c r="U1422" i="9" s="1"/>
  <c r="O1421" i="9"/>
  <c r="Z1405" i="9"/>
  <c r="Y1404" i="9"/>
  <c r="X1404" i="9"/>
  <c r="AA1404" i="9" s="1"/>
  <c r="AE1404" i="9" s="1"/>
  <c r="Y1403" i="9"/>
  <c r="X1403" i="9"/>
  <c r="AA1403" i="9" s="1"/>
  <c r="AE1403" i="9" s="1"/>
  <c r="P1403" i="9"/>
  <c r="Y1402" i="9"/>
  <c r="X1402" i="9"/>
  <c r="AA1402" i="9" s="1"/>
  <c r="AE1402" i="9" s="1"/>
  <c r="Y1401" i="9"/>
  <c r="X1401" i="9"/>
  <c r="AA1401" i="9" s="1"/>
  <c r="AE1401" i="9" s="1"/>
  <c r="Y1400" i="9"/>
  <c r="X1400" i="9"/>
  <c r="AA1400" i="9" s="1"/>
  <c r="AE1400" i="9" s="1"/>
  <c r="O1400" i="9"/>
  <c r="N1400" i="9"/>
  <c r="Q1400" i="9" s="1"/>
  <c r="U1400" i="9" s="1"/>
  <c r="Y1399" i="9"/>
  <c r="X1399" i="9"/>
  <c r="AA1399" i="9" s="1"/>
  <c r="AE1399" i="9" s="1"/>
  <c r="O1399" i="9"/>
  <c r="N1399" i="9"/>
  <c r="Q1399" i="9" s="1"/>
  <c r="U1399" i="9" s="1"/>
  <c r="Y1398" i="9"/>
  <c r="X1398" i="9"/>
  <c r="AA1398" i="9" s="1"/>
  <c r="AE1398" i="9" s="1"/>
  <c r="O1398" i="9"/>
  <c r="N1398" i="9"/>
  <c r="Q1398" i="9" s="1"/>
  <c r="U1398" i="9" s="1"/>
  <c r="Y1397" i="9"/>
  <c r="X1397" i="9"/>
  <c r="AA1397" i="9" s="1"/>
  <c r="AE1397" i="9" s="1"/>
  <c r="Y1396" i="9"/>
  <c r="X1396" i="9"/>
  <c r="AA1396" i="9" s="1"/>
  <c r="AE1396" i="9" s="1"/>
  <c r="O1396" i="9"/>
  <c r="N1396" i="9"/>
  <c r="Q1396" i="9" s="1"/>
  <c r="U1396" i="9" s="1"/>
  <c r="O1395" i="9"/>
  <c r="Z1380" i="9"/>
  <c r="P1380" i="9"/>
  <c r="Y1378" i="9"/>
  <c r="X1378" i="9"/>
  <c r="AA1378" i="9" s="1"/>
  <c r="AE1378" i="9" s="1"/>
  <c r="Y1377" i="9"/>
  <c r="X1377" i="9"/>
  <c r="AA1377" i="9" s="1"/>
  <c r="AE1377" i="9" s="1"/>
  <c r="O1377" i="9"/>
  <c r="N1377" i="9"/>
  <c r="Q1377" i="9" s="1"/>
  <c r="U1377" i="9" s="1"/>
  <c r="Y1376" i="9"/>
  <c r="X1376" i="9"/>
  <c r="AA1376" i="9" s="1"/>
  <c r="AE1376" i="9" s="1"/>
  <c r="O1376" i="9"/>
  <c r="N1376" i="9"/>
  <c r="Q1376" i="9" s="1"/>
  <c r="U1376" i="9" s="1"/>
  <c r="Y1375" i="9"/>
  <c r="X1375" i="9"/>
  <c r="AA1375" i="9" s="1"/>
  <c r="AE1375" i="9" s="1"/>
  <c r="Y1374" i="9"/>
  <c r="X1374" i="9"/>
  <c r="O1374" i="9"/>
  <c r="N1374" i="9"/>
  <c r="Q1374" i="9" s="1"/>
  <c r="U1374" i="9" s="1"/>
  <c r="Y1373" i="9"/>
  <c r="X1373" i="9"/>
  <c r="AA1373" i="9" s="1"/>
  <c r="AE1373" i="9" s="1"/>
  <c r="O1373" i="9"/>
  <c r="N1373" i="9"/>
  <c r="Q1373" i="9" s="1"/>
  <c r="U1373" i="9" s="1"/>
  <c r="O1372" i="9"/>
  <c r="Z1354" i="9"/>
  <c r="Y1353" i="9"/>
  <c r="X1353" i="9"/>
  <c r="AA1353" i="9" s="1"/>
  <c r="AE1353" i="9" s="1"/>
  <c r="Y1352" i="9"/>
  <c r="X1352" i="9"/>
  <c r="AA1352" i="9" s="1"/>
  <c r="AE1352" i="9" s="1"/>
  <c r="O1352" i="9"/>
  <c r="Y1351" i="9"/>
  <c r="X1351" i="9"/>
  <c r="AA1351" i="9" s="1"/>
  <c r="AE1351" i="9" s="1"/>
  <c r="O1351" i="9"/>
  <c r="N1351" i="9"/>
  <c r="Q1351" i="9" s="1"/>
  <c r="U1351" i="9" s="1"/>
  <c r="Y1350" i="9"/>
  <c r="X1350" i="9"/>
  <c r="AA1350" i="9" s="1"/>
  <c r="O1350" i="9"/>
  <c r="N1350" i="9"/>
  <c r="Q1350" i="9" s="1"/>
  <c r="U1350" i="9" s="1"/>
  <c r="O1349" i="9"/>
  <c r="P1335" i="9"/>
  <c r="AJ1333" i="9"/>
  <c r="S1333" i="9"/>
  <c r="T1333" i="9" s="1"/>
  <c r="O1333" i="9"/>
  <c r="N1333" i="9"/>
  <c r="Q1333" i="9" s="1"/>
  <c r="AI1332" i="9"/>
  <c r="AH1332" i="9"/>
  <c r="AK1332" i="9" s="1"/>
  <c r="AO1332" i="9" s="1"/>
  <c r="S1332" i="9"/>
  <c r="T1332" i="9" s="1"/>
  <c r="O1332" i="9"/>
  <c r="N1332" i="9"/>
  <c r="Q1332" i="9" s="1"/>
  <c r="AI1331" i="9"/>
  <c r="AH1331" i="9"/>
  <c r="AK1331" i="9" s="1"/>
  <c r="AO1331" i="9" s="1"/>
  <c r="Z1331" i="9"/>
  <c r="S1331" i="9"/>
  <c r="T1331" i="9" s="1"/>
  <c r="O1331" i="9"/>
  <c r="N1331" i="9"/>
  <c r="Q1331" i="9" s="1"/>
  <c r="AI1330" i="9"/>
  <c r="AH1330" i="9"/>
  <c r="AK1330" i="9" s="1"/>
  <c r="AO1330" i="9" s="1"/>
  <c r="AC1330" i="9"/>
  <c r="AD1330" i="9" s="1"/>
  <c r="Y1330" i="9"/>
  <c r="X1330" i="9"/>
  <c r="AA1330" i="9" s="1"/>
  <c r="S1330" i="9"/>
  <c r="T1330" i="9" s="1"/>
  <c r="AI1329" i="9"/>
  <c r="AH1329" i="9"/>
  <c r="AK1329" i="9" s="1"/>
  <c r="AO1329" i="9" s="1"/>
  <c r="AC1329" i="9"/>
  <c r="AD1329" i="9" s="1"/>
  <c r="Y1329" i="9"/>
  <c r="X1329" i="9"/>
  <c r="AA1329" i="9" s="1"/>
  <c r="S1329" i="9"/>
  <c r="T1329" i="9" s="1"/>
  <c r="AI1328" i="9"/>
  <c r="AH1328" i="9"/>
  <c r="AK1328" i="9" s="1"/>
  <c r="AO1328" i="9" s="1"/>
  <c r="AC1328" i="9"/>
  <c r="AD1328" i="9" s="1"/>
  <c r="Y1328" i="9"/>
  <c r="X1328" i="9"/>
  <c r="AA1328" i="9" s="1"/>
  <c r="S1328" i="9"/>
  <c r="T1328" i="9" s="1"/>
  <c r="O1328" i="9"/>
  <c r="N1328" i="9"/>
  <c r="Q1328" i="9" s="1"/>
  <c r="AI1327" i="9"/>
  <c r="AH1327" i="9"/>
  <c r="AK1327" i="9" s="1"/>
  <c r="AO1327" i="9" s="1"/>
  <c r="AC1327" i="9"/>
  <c r="AD1327" i="9" s="1"/>
  <c r="Y1327" i="9"/>
  <c r="X1327" i="9"/>
  <c r="AA1327" i="9" s="1"/>
  <c r="S1327" i="9"/>
  <c r="T1327" i="9" s="1"/>
  <c r="O1327" i="9"/>
  <c r="N1327" i="9"/>
  <c r="Q1327" i="9" s="1"/>
  <c r="AI1326" i="9"/>
  <c r="AH1326" i="9"/>
  <c r="AK1326" i="9" s="1"/>
  <c r="AO1326" i="9" s="1"/>
  <c r="AC1326" i="9"/>
  <c r="AD1326" i="9" s="1"/>
  <c r="Y1326" i="9"/>
  <c r="X1326" i="9"/>
  <c r="AA1326" i="9" s="1"/>
  <c r="S1326" i="9"/>
  <c r="T1326" i="9" s="1"/>
  <c r="O1326" i="9"/>
  <c r="N1326" i="9"/>
  <c r="Q1326" i="9" s="1"/>
  <c r="AI1325" i="9"/>
  <c r="AH1325" i="9"/>
  <c r="AK1325" i="9" s="1"/>
  <c r="AO1325" i="9" s="1"/>
  <c r="AC1325" i="9"/>
  <c r="AD1325" i="9" s="1"/>
  <c r="Y1325" i="9"/>
  <c r="X1325" i="9"/>
  <c r="S1325" i="9"/>
  <c r="O1325" i="9"/>
  <c r="N1325" i="9"/>
  <c r="Q1325" i="9" s="1"/>
  <c r="AI1324" i="9"/>
  <c r="AH1324" i="9"/>
  <c r="AD1324" i="9"/>
  <c r="Y1324" i="9"/>
  <c r="X1324" i="9"/>
  <c r="AA1324" i="9" s="1"/>
  <c r="AE1324" i="9" s="1"/>
  <c r="S1324" i="9"/>
  <c r="T1324" i="9" s="1"/>
  <c r="O1324" i="9"/>
  <c r="N1324" i="9"/>
  <c r="Q1324" i="9" s="1"/>
  <c r="S1323" i="9"/>
  <c r="T1323" i="9" s="1"/>
  <c r="O1323" i="9"/>
  <c r="Z1308" i="9"/>
  <c r="AC1307" i="9"/>
  <c r="AD1307" i="9" s="1"/>
  <c r="Y1307" i="9"/>
  <c r="X1307" i="9"/>
  <c r="AA1307" i="9" s="1"/>
  <c r="AC1306" i="9"/>
  <c r="AD1306" i="9" s="1"/>
  <c r="Y1306" i="9"/>
  <c r="X1306" i="9"/>
  <c r="AA1306" i="9" s="1"/>
  <c r="P1306" i="9"/>
  <c r="AC1305" i="9"/>
  <c r="AD1305" i="9" s="1"/>
  <c r="Y1305" i="9"/>
  <c r="X1305" i="9"/>
  <c r="AA1305" i="9" s="1"/>
  <c r="AC1304" i="9"/>
  <c r="AD1304" i="9" s="1"/>
  <c r="Y1304" i="9"/>
  <c r="X1304" i="9"/>
  <c r="AA1304" i="9" s="1"/>
  <c r="AC1303" i="9"/>
  <c r="AD1303" i="9" s="1"/>
  <c r="Y1303" i="9"/>
  <c r="X1303" i="9"/>
  <c r="AA1303" i="9" s="1"/>
  <c r="S1303" i="9"/>
  <c r="T1303" i="9" s="1"/>
  <c r="O1303" i="9"/>
  <c r="N1303" i="9"/>
  <c r="Q1303" i="9" s="1"/>
  <c r="AC1302" i="9"/>
  <c r="AD1302" i="9" s="1"/>
  <c r="Y1302" i="9"/>
  <c r="X1302" i="9"/>
  <c r="AA1302" i="9" s="1"/>
  <c r="S1302" i="9"/>
  <c r="T1302" i="9" s="1"/>
  <c r="AC1301" i="9"/>
  <c r="AD1301" i="9" s="1"/>
  <c r="Y1301" i="9"/>
  <c r="X1301" i="9"/>
  <c r="AA1301" i="9" s="1"/>
  <c r="S1301" i="9"/>
  <c r="T1301" i="9" s="1"/>
  <c r="O1301" i="9"/>
  <c r="N1301" i="9"/>
  <c r="Q1301" i="9" s="1"/>
  <c r="AC1300" i="9"/>
  <c r="AD1300" i="9" s="1"/>
  <c r="Y1300" i="9"/>
  <c r="X1300" i="9"/>
  <c r="AA1300" i="9" s="1"/>
  <c r="S1300" i="9"/>
  <c r="T1300" i="9" s="1"/>
  <c r="O1300" i="9"/>
  <c r="N1300" i="9"/>
  <c r="Q1300" i="9" s="1"/>
  <c r="AC1299" i="9"/>
  <c r="AD1299" i="9" s="1"/>
  <c r="Y1299" i="9"/>
  <c r="X1299" i="9"/>
  <c r="S1299" i="9"/>
  <c r="T1299" i="9" s="1"/>
  <c r="O1299" i="9"/>
  <c r="N1299" i="9"/>
  <c r="Q1299" i="9" s="1"/>
  <c r="S1298" i="9"/>
  <c r="T1298" i="9" s="1"/>
  <c r="O1298" i="9"/>
  <c r="Z1283" i="9"/>
  <c r="P1283" i="9"/>
  <c r="AC1282" i="9"/>
  <c r="Y1282" i="9"/>
  <c r="X1282" i="9"/>
  <c r="AA1282" i="9" s="1"/>
  <c r="AC1281" i="9"/>
  <c r="AD1281" i="9" s="1"/>
  <c r="Y1281" i="9"/>
  <c r="X1281" i="9"/>
  <c r="AA1281" i="9" s="1"/>
  <c r="S1281" i="9"/>
  <c r="T1281" i="9" s="1"/>
  <c r="O1281" i="9"/>
  <c r="N1281" i="9"/>
  <c r="Q1281" i="9" s="1"/>
  <c r="AC1280" i="9"/>
  <c r="AD1280" i="9" s="1"/>
  <c r="Y1280" i="9"/>
  <c r="X1280" i="9"/>
  <c r="AA1280" i="9" s="1"/>
  <c r="S1280" i="9"/>
  <c r="T1280" i="9" s="1"/>
  <c r="O1280" i="9"/>
  <c r="N1280" i="9"/>
  <c r="Q1280" i="9" s="1"/>
  <c r="AC1279" i="9"/>
  <c r="AD1279" i="9" s="1"/>
  <c r="Y1279" i="9"/>
  <c r="X1279" i="9"/>
  <c r="AA1279" i="9" s="1"/>
  <c r="S1279" i="9"/>
  <c r="T1279" i="9" s="1"/>
  <c r="AC1278" i="9"/>
  <c r="AD1278" i="9" s="1"/>
  <c r="Y1278" i="9"/>
  <c r="X1278" i="9"/>
  <c r="AA1278" i="9" s="1"/>
  <c r="S1278" i="9"/>
  <c r="T1278" i="9" s="1"/>
  <c r="O1278" i="9"/>
  <c r="N1278" i="9"/>
  <c r="Q1278" i="9" s="1"/>
  <c r="AC1277" i="9"/>
  <c r="AD1277" i="9" s="1"/>
  <c r="Y1277" i="9"/>
  <c r="X1277" i="9"/>
  <c r="AA1277" i="9" s="1"/>
  <c r="S1277" i="9"/>
  <c r="T1277" i="9" s="1"/>
  <c r="O1277" i="9"/>
  <c r="N1277" i="9"/>
  <c r="Q1277" i="9" s="1"/>
  <c r="AC1276" i="9"/>
  <c r="AD1276" i="9" s="1"/>
  <c r="Y1276" i="9"/>
  <c r="X1276" i="9"/>
  <c r="AA1276" i="9" s="1"/>
  <c r="S1276" i="9"/>
  <c r="T1276" i="9" s="1"/>
  <c r="O1276" i="9"/>
  <c r="N1276" i="9"/>
  <c r="Q1276" i="9" s="1"/>
  <c r="S1275" i="9"/>
  <c r="T1275" i="9" s="1"/>
  <c r="O1275" i="9"/>
  <c r="Z1260" i="9"/>
  <c r="P1260" i="9"/>
  <c r="AC1259" i="9"/>
  <c r="AD1259" i="9" s="1"/>
  <c r="Y1259" i="9"/>
  <c r="X1259" i="9"/>
  <c r="AA1259" i="9" s="1"/>
  <c r="AC1258" i="9"/>
  <c r="AD1258" i="9" s="1"/>
  <c r="Y1258" i="9"/>
  <c r="X1258" i="9"/>
  <c r="AA1258" i="9" s="1"/>
  <c r="AC1257" i="9"/>
  <c r="AD1257" i="9" s="1"/>
  <c r="Y1257" i="9"/>
  <c r="X1257" i="9"/>
  <c r="AA1257" i="9" s="1"/>
  <c r="S1257" i="9"/>
  <c r="T1257" i="9" s="1"/>
  <c r="O1257" i="9"/>
  <c r="N1257" i="9"/>
  <c r="Q1257" i="9" s="1"/>
  <c r="AC1256" i="9"/>
  <c r="AD1256" i="9" s="1"/>
  <c r="Y1256" i="9"/>
  <c r="X1256" i="9"/>
  <c r="AA1256" i="9" s="1"/>
  <c r="S1256" i="9"/>
  <c r="T1256" i="9" s="1"/>
  <c r="AC1255" i="9"/>
  <c r="AD1255" i="9" s="1"/>
  <c r="Y1255" i="9"/>
  <c r="X1255" i="9"/>
  <c r="S1255" i="9"/>
  <c r="T1255" i="9" s="1"/>
  <c r="O1255" i="9"/>
  <c r="N1255" i="9"/>
  <c r="Q1255" i="9" s="1"/>
  <c r="AC1254" i="9"/>
  <c r="AD1254" i="9" s="1"/>
  <c r="Y1254" i="9"/>
  <c r="X1254" i="9"/>
  <c r="AA1254" i="9" s="1"/>
  <c r="S1254" i="9"/>
  <c r="T1254" i="9" s="1"/>
  <c r="O1254" i="9"/>
  <c r="N1254" i="9"/>
  <c r="Q1254" i="9" s="1"/>
  <c r="AC1253" i="9"/>
  <c r="AD1253" i="9" s="1"/>
  <c r="Y1253" i="9"/>
  <c r="X1253" i="9"/>
  <c r="AA1253" i="9" s="1"/>
  <c r="S1253" i="9"/>
  <c r="T1253" i="9" s="1"/>
  <c r="O1253" i="9"/>
  <c r="N1253" i="9"/>
  <c r="Q1253" i="9" s="1"/>
  <c r="S1252" i="9"/>
  <c r="T1252" i="9" s="1"/>
  <c r="O1252" i="9"/>
  <c r="AJ1237" i="9"/>
  <c r="Z1237" i="9"/>
  <c r="P1237" i="9"/>
  <c r="AM1236" i="9"/>
  <c r="AN1236" i="9" s="1"/>
  <c r="AI1236" i="9"/>
  <c r="AH1236" i="9"/>
  <c r="AK1236" i="9" s="1"/>
  <c r="AM1235" i="9"/>
  <c r="AN1235" i="9" s="1"/>
  <c r="AI1235" i="9"/>
  <c r="AH1235" i="9"/>
  <c r="AK1235" i="9" s="1"/>
  <c r="AC1235" i="9"/>
  <c r="AD1235" i="9" s="1"/>
  <c r="Y1235" i="9"/>
  <c r="X1235" i="9"/>
  <c r="AA1235" i="9" s="1"/>
  <c r="AM1234" i="9"/>
  <c r="AN1234" i="9" s="1"/>
  <c r="AI1234" i="9"/>
  <c r="AH1234" i="9"/>
  <c r="AK1234" i="9" s="1"/>
  <c r="AC1234" i="9"/>
  <c r="Y1234" i="9"/>
  <c r="X1234" i="9"/>
  <c r="AA1234" i="9" s="1"/>
  <c r="S1234" i="9"/>
  <c r="T1234" i="9" s="1"/>
  <c r="O1234" i="9"/>
  <c r="N1234" i="9"/>
  <c r="Q1234" i="9" s="1"/>
  <c r="AM1233" i="9"/>
  <c r="AN1233" i="9" s="1"/>
  <c r="AI1233" i="9"/>
  <c r="AH1233" i="9"/>
  <c r="AK1233" i="9" s="1"/>
  <c r="AC1233" i="9"/>
  <c r="AD1233" i="9" s="1"/>
  <c r="Y1233" i="9"/>
  <c r="X1233" i="9"/>
  <c r="AA1233" i="9" s="1"/>
  <c r="S1233" i="9"/>
  <c r="T1233" i="9" s="1"/>
  <c r="AM1232" i="9"/>
  <c r="AN1232" i="9" s="1"/>
  <c r="AI1232" i="9"/>
  <c r="AH1232" i="9"/>
  <c r="AK1232" i="9" s="1"/>
  <c r="AC1232" i="9"/>
  <c r="AD1232" i="9" s="1"/>
  <c r="Y1232" i="9"/>
  <c r="X1232" i="9"/>
  <c r="AA1232" i="9" s="1"/>
  <c r="S1232" i="9"/>
  <c r="T1232" i="9" s="1"/>
  <c r="AM1231" i="9"/>
  <c r="AN1231" i="9" s="1"/>
  <c r="AI1231" i="9"/>
  <c r="AH1231" i="9"/>
  <c r="AC1231" i="9"/>
  <c r="AD1231" i="9" s="1"/>
  <c r="Y1231" i="9"/>
  <c r="X1231" i="9"/>
  <c r="S1231" i="9"/>
  <c r="T1231" i="9" s="1"/>
  <c r="O1231" i="9"/>
  <c r="N1231" i="9"/>
  <c r="Q1231" i="9" s="1"/>
  <c r="AM1230" i="9"/>
  <c r="AN1230" i="9" s="1"/>
  <c r="AI1230" i="9"/>
  <c r="AH1230" i="9"/>
  <c r="AK1230" i="9" s="1"/>
  <c r="AC1230" i="9"/>
  <c r="AD1230" i="9" s="1"/>
  <c r="Y1230" i="9"/>
  <c r="X1230" i="9"/>
  <c r="AA1230" i="9" s="1"/>
  <c r="S1230" i="9"/>
  <c r="T1230" i="9" s="1"/>
  <c r="O1230" i="9"/>
  <c r="N1230" i="9"/>
  <c r="Q1230" i="9" s="1"/>
  <c r="S1229" i="9"/>
  <c r="T1229" i="9" s="1"/>
  <c r="O1229" i="9"/>
  <c r="P1215" i="9"/>
  <c r="AJ1214" i="9"/>
  <c r="Z1214" i="9"/>
  <c r="AC1213" i="9"/>
  <c r="AD1213" i="9" s="1"/>
  <c r="Y1213" i="9"/>
  <c r="X1213" i="9"/>
  <c r="AA1213" i="9" s="1"/>
  <c r="S1213" i="9"/>
  <c r="T1213" i="9" s="1"/>
  <c r="O1213" i="9"/>
  <c r="N1213" i="9"/>
  <c r="Q1213" i="9" s="1"/>
  <c r="AM1212" i="9"/>
  <c r="AI1212" i="9"/>
  <c r="AH1212" i="9"/>
  <c r="AK1212" i="9" s="1"/>
  <c r="AC1212" i="9"/>
  <c r="AD1212" i="9" s="1"/>
  <c r="Y1212" i="9"/>
  <c r="X1212" i="9"/>
  <c r="AA1212" i="9" s="1"/>
  <c r="S1212" i="9"/>
  <c r="T1212" i="9" s="1"/>
  <c r="AM1211" i="9"/>
  <c r="AN1211" i="9" s="1"/>
  <c r="AI1211" i="9"/>
  <c r="AH1211" i="9"/>
  <c r="AK1211" i="9" s="1"/>
  <c r="AC1211" i="9"/>
  <c r="AD1211" i="9" s="1"/>
  <c r="Y1211" i="9"/>
  <c r="X1211" i="9"/>
  <c r="AA1211" i="9" s="1"/>
  <c r="S1211" i="9"/>
  <c r="T1211" i="9" s="1"/>
  <c r="AM1210" i="9"/>
  <c r="AN1210" i="9" s="1"/>
  <c r="AI1210" i="9"/>
  <c r="AH1210" i="9"/>
  <c r="AK1210" i="9" s="1"/>
  <c r="AC1210" i="9"/>
  <c r="AD1210" i="9" s="1"/>
  <c r="Y1210" i="9"/>
  <c r="X1210" i="9"/>
  <c r="AA1210" i="9" s="1"/>
  <c r="S1210" i="9"/>
  <c r="T1210" i="9" s="1"/>
  <c r="O1210" i="9"/>
  <c r="Q1210" i="9"/>
  <c r="AM1209" i="9"/>
  <c r="AN1209" i="9" s="1"/>
  <c r="AI1209" i="9"/>
  <c r="AH1209" i="9"/>
  <c r="AK1209" i="9" s="1"/>
  <c r="AC1209" i="9"/>
  <c r="AD1209" i="9" s="1"/>
  <c r="Y1209" i="9"/>
  <c r="X1209" i="9"/>
  <c r="AA1209" i="9" s="1"/>
  <c r="S1209" i="9"/>
  <c r="O1209" i="9"/>
  <c r="N1209" i="9"/>
  <c r="Q1209" i="9" s="1"/>
  <c r="AM1208" i="9"/>
  <c r="AN1208" i="9" s="1"/>
  <c r="AI1208" i="9"/>
  <c r="AH1208" i="9"/>
  <c r="AC1208" i="9"/>
  <c r="AD1208" i="9" s="1"/>
  <c r="Y1208" i="9"/>
  <c r="X1208" i="9"/>
  <c r="AA1208" i="9" s="1"/>
  <c r="S1208" i="9"/>
  <c r="T1208" i="9" s="1"/>
  <c r="O1208" i="9"/>
  <c r="N1208" i="9"/>
  <c r="Q1208" i="9" s="1"/>
  <c r="AM1207" i="9"/>
  <c r="AN1207" i="9" s="1"/>
  <c r="AI1207" i="9"/>
  <c r="AH1207" i="9"/>
  <c r="AK1207" i="9" s="1"/>
  <c r="AC1207" i="9"/>
  <c r="AD1207" i="9" s="1"/>
  <c r="Y1207" i="9"/>
  <c r="X1207" i="9"/>
  <c r="S1207" i="9"/>
  <c r="T1207" i="9" s="1"/>
  <c r="O1207" i="9"/>
  <c r="N1207" i="9"/>
  <c r="Q1207" i="9" s="1"/>
  <c r="S1206" i="9"/>
  <c r="T1206" i="9" s="1"/>
  <c r="O1206" i="9"/>
  <c r="P1192" i="9"/>
  <c r="Z1190" i="9"/>
  <c r="S1190" i="9"/>
  <c r="T1190" i="9" s="1"/>
  <c r="O1190" i="9"/>
  <c r="N1190" i="9"/>
  <c r="Q1190" i="9" s="1"/>
  <c r="AC1189" i="9"/>
  <c r="AD1189" i="9" s="1"/>
  <c r="Y1189" i="9"/>
  <c r="X1189" i="9"/>
  <c r="AA1189" i="9" s="1"/>
  <c r="S1189" i="9"/>
  <c r="T1189" i="9" s="1"/>
  <c r="O1189" i="9"/>
  <c r="N1189" i="9"/>
  <c r="Q1189" i="9" s="1"/>
  <c r="AC1188" i="9"/>
  <c r="Y1188" i="9"/>
  <c r="X1188" i="9"/>
  <c r="AA1188" i="9" s="1"/>
  <c r="S1188" i="9"/>
  <c r="T1188" i="9" s="1"/>
  <c r="O1188" i="9"/>
  <c r="N1188" i="9"/>
  <c r="Q1188" i="9" s="1"/>
  <c r="AC1187" i="9"/>
  <c r="AD1187" i="9" s="1"/>
  <c r="Y1187" i="9"/>
  <c r="X1187" i="9"/>
  <c r="AA1187" i="9" s="1"/>
  <c r="S1187" i="9"/>
  <c r="T1187" i="9" s="1"/>
  <c r="O1187" i="9"/>
  <c r="N1187" i="9"/>
  <c r="Q1187" i="9" s="1"/>
  <c r="AC1186" i="9"/>
  <c r="AD1186" i="9" s="1"/>
  <c r="Y1186" i="9"/>
  <c r="X1186" i="9"/>
  <c r="AA1186" i="9" s="1"/>
  <c r="S1186" i="9"/>
  <c r="T1186" i="9" s="1"/>
  <c r="AC1185" i="9"/>
  <c r="AD1185" i="9" s="1"/>
  <c r="Y1185" i="9"/>
  <c r="X1185" i="9"/>
  <c r="AA1185" i="9" s="1"/>
  <c r="S1185" i="9"/>
  <c r="T1185" i="9" s="1"/>
  <c r="O1185" i="9"/>
  <c r="N1185" i="9"/>
  <c r="Q1185" i="9" s="1"/>
  <c r="AC1184" i="9"/>
  <c r="AD1184" i="9" s="1"/>
  <c r="Y1184" i="9"/>
  <c r="X1184" i="9"/>
  <c r="AA1184" i="9" s="1"/>
  <c r="S1184" i="9"/>
  <c r="T1184" i="9" s="1"/>
  <c r="O1184" i="9"/>
  <c r="N1184" i="9"/>
  <c r="Q1184" i="9" s="1"/>
  <c r="AC1183" i="9"/>
  <c r="AD1183" i="9" s="1"/>
  <c r="Y1183" i="9"/>
  <c r="X1183" i="9"/>
  <c r="AA1183" i="9" s="1"/>
  <c r="S1183" i="9"/>
  <c r="T1183" i="9" s="1"/>
  <c r="O1183" i="9"/>
  <c r="N1183" i="9"/>
  <c r="Q1183" i="9" s="1"/>
  <c r="S1182" i="9"/>
  <c r="T1182" i="9" s="1"/>
  <c r="O1182" i="9"/>
  <c r="P1168" i="9"/>
  <c r="S1166" i="9"/>
  <c r="T1166" i="9" s="1"/>
  <c r="O1166" i="9"/>
  <c r="N1166" i="9"/>
  <c r="Q1166" i="9" s="1"/>
  <c r="S1165" i="9"/>
  <c r="T1165" i="9" s="1"/>
  <c r="O1165" i="9"/>
  <c r="N1165" i="9"/>
  <c r="Q1165" i="9" s="1"/>
  <c r="S1164" i="9"/>
  <c r="T1164" i="9" s="1"/>
  <c r="O1164" i="9"/>
  <c r="N1164" i="9"/>
  <c r="Q1164" i="9" s="1"/>
  <c r="S1163" i="9"/>
  <c r="T1163" i="9" s="1"/>
  <c r="O1163" i="9"/>
  <c r="N1163" i="9"/>
  <c r="Q1163" i="9" s="1"/>
  <c r="S1162" i="9"/>
  <c r="T1162" i="9" s="1"/>
  <c r="O1162" i="9"/>
  <c r="N1162" i="9"/>
  <c r="Q1162" i="9" s="1"/>
  <c r="S1161" i="9"/>
  <c r="T1161" i="9" s="1"/>
  <c r="O1161" i="9"/>
  <c r="N1161" i="9"/>
  <c r="Q1161" i="9" s="1"/>
  <c r="S1160" i="9"/>
  <c r="T1160" i="9" s="1"/>
  <c r="O1160" i="9"/>
  <c r="N1160" i="9"/>
  <c r="Q1160" i="9" s="1"/>
  <c r="S1159" i="9"/>
  <c r="T1159" i="9" s="1"/>
  <c r="O1159" i="9"/>
  <c r="P1144" i="9"/>
  <c r="O1144" i="9"/>
  <c r="S1143" i="9"/>
  <c r="T1143" i="9" s="1"/>
  <c r="N1143" i="9"/>
  <c r="Q1143" i="9" s="1"/>
  <c r="S1142" i="9"/>
  <c r="T1142" i="9" s="1"/>
  <c r="O1142" i="9"/>
  <c r="N1142" i="9"/>
  <c r="Q1142" i="9" s="1"/>
  <c r="S1141" i="9"/>
  <c r="O1141" i="9"/>
  <c r="N1141" i="9"/>
  <c r="Q1141" i="9" s="1"/>
  <c r="S1140" i="9"/>
  <c r="T1140" i="9" s="1"/>
  <c r="O1140" i="9"/>
  <c r="N1140" i="9"/>
  <c r="Q1140" i="9" s="1"/>
  <c r="S1139" i="9"/>
  <c r="T1139" i="9" s="1"/>
  <c r="O1139" i="9"/>
  <c r="N1139" i="9"/>
  <c r="Q1139" i="9" s="1"/>
  <c r="S1138" i="9"/>
  <c r="T1138" i="9" s="1"/>
  <c r="O1138" i="9"/>
  <c r="N1138" i="9"/>
  <c r="Q1138" i="9" s="1"/>
  <c r="S1137" i="9"/>
  <c r="T1137" i="9" s="1"/>
  <c r="O1137" i="9"/>
  <c r="N1137" i="9"/>
  <c r="Q1137" i="9" s="1"/>
  <c r="S1136" i="9"/>
  <c r="T1136" i="9" s="1"/>
  <c r="O1136" i="9"/>
  <c r="N1136" i="9"/>
  <c r="Q1136" i="9" s="1"/>
  <c r="S1135" i="9"/>
  <c r="T1135" i="9" s="1"/>
  <c r="O1135" i="9"/>
  <c r="N1135" i="9"/>
  <c r="Q1135" i="9" s="1"/>
  <c r="S1134" i="9"/>
  <c r="T1134" i="9" s="1"/>
  <c r="O1134" i="9"/>
  <c r="N1134" i="9"/>
  <c r="Q1134" i="9" s="1"/>
  <c r="S1133" i="9"/>
  <c r="T1133" i="9" s="1"/>
  <c r="O1133" i="9"/>
  <c r="N1133" i="9"/>
  <c r="Q1133" i="9" s="1"/>
  <c r="S1132" i="9"/>
  <c r="T1132" i="9" s="1"/>
  <c r="O1132" i="9"/>
  <c r="P1117" i="9"/>
  <c r="S1116" i="9"/>
  <c r="T1116" i="9" s="1"/>
  <c r="O1116" i="9"/>
  <c r="N1116" i="9"/>
  <c r="Q1116" i="9" s="1"/>
  <c r="S1115" i="9"/>
  <c r="T1115" i="9" s="1"/>
  <c r="O1115" i="9"/>
  <c r="N1115" i="9"/>
  <c r="Q1115" i="9" s="1"/>
  <c r="S1114" i="9"/>
  <c r="T1114" i="9" s="1"/>
  <c r="O1114" i="9"/>
  <c r="N1114" i="9"/>
  <c r="Q1114" i="9" s="1"/>
  <c r="S1113" i="9"/>
  <c r="T1113" i="9" s="1"/>
  <c r="O1113" i="9"/>
  <c r="N1113" i="9"/>
  <c r="Q1113" i="9" s="1"/>
  <c r="S1112" i="9"/>
  <c r="T1112" i="9" s="1"/>
  <c r="O1112" i="9"/>
  <c r="N1112" i="9"/>
  <c r="Q1112" i="9" s="1"/>
  <c r="S1111" i="9"/>
  <c r="T1111" i="9" s="1"/>
  <c r="O1111" i="9"/>
  <c r="N1111" i="9"/>
  <c r="Q1111" i="9" s="1"/>
  <c r="S1110" i="9"/>
  <c r="O1110" i="9"/>
  <c r="N1110" i="9"/>
  <c r="Q1110" i="9" s="1"/>
  <c r="S1109" i="9"/>
  <c r="T1109" i="9" s="1"/>
  <c r="O1109" i="9"/>
  <c r="N1109" i="9"/>
  <c r="Z1094" i="9"/>
  <c r="AC1093" i="9"/>
  <c r="AD1093" i="9" s="1"/>
  <c r="Y1093" i="9"/>
  <c r="X1093" i="9"/>
  <c r="AA1093" i="9" s="1"/>
  <c r="AC1092" i="9"/>
  <c r="AD1092" i="9" s="1"/>
  <c r="Y1092" i="9"/>
  <c r="X1092" i="9"/>
  <c r="AA1092" i="9" s="1"/>
  <c r="P1092" i="9"/>
  <c r="AC1091" i="9"/>
  <c r="AD1091" i="9" s="1"/>
  <c r="Y1091" i="9"/>
  <c r="X1091" i="9"/>
  <c r="AA1091" i="9" s="1"/>
  <c r="AC1090" i="9"/>
  <c r="AD1090" i="9" s="1"/>
  <c r="Y1090" i="9"/>
  <c r="X1090" i="9"/>
  <c r="AA1090" i="9" s="1"/>
  <c r="AC1089" i="9"/>
  <c r="AD1089" i="9" s="1"/>
  <c r="Y1089" i="9"/>
  <c r="X1089" i="9"/>
  <c r="AA1089" i="9" s="1"/>
  <c r="AC1088" i="9"/>
  <c r="Y1088" i="9"/>
  <c r="X1088" i="9"/>
  <c r="AA1088" i="9" s="1"/>
  <c r="S1088" i="9"/>
  <c r="T1088" i="9" s="1"/>
  <c r="O1088" i="9"/>
  <c r="N1088" i="9"/>
  <c r="Q1088" i="9" s="1"/>
  <c r="AC1087" i="9"/>
  <c r="AD1087" i="9" s="1"/>
  <c r="Y1087" i="9"/>
  <c r="X1087" i="9"/>
  <c r="AA1087" i="9" s="1"/>
  <c r="S1087" i="9"/>
  <c r="T1087" i="9" s="1"/>
  <c r="O1087" i="9"/>
  <c r="N1087" i="9"/>
  <c r="Q1087" i="9" s="1"/>
  <c r="AC1086" i="9"/>
  <c r="AD1086" i="9" s="1"/>
  <c r="Y1086" i="9"/>
  <c r="X1086" i="9"/>
  <c r="AA1086" i="9" s="1"/>
  <c r="S1086" i="9"/>
  <c r="T1086" i="9" s="1"/>
  <c r="AC1085" i="9"/>
  <c r="AD1085" i="9" s="1"/>
  <c r="Y1085" i="9"/>
  <c r="X1085" i="9"/>
  <c r="AA1085" i="9" s="1"/>
  <c r="S1085" i="9"/>
  <c r="T1085" i="9" s="1"/>
  <c r="O1085" i="9"/>
  <c r="N1085" i="9"/>
  <c r="Q1085" i="9" s="1"/>
  <c r="S1084" i="9"/>
  <c r="T1084" i="9" s="1"/>
  <c r="O1084" i="9"/>
  <c r="P1070" i="9"/>
  <c r="S1069" i="9"/>
  <c r="T1069" i="9" s="1"/>
  <c r="O1069" i="9"/>
  <c r="N1069" i="9"/>
  <c r="Q1069" i="9" s="1"/>
  <c r="S1068" i="9"/>
  <c r="O1068" i="9"/>
  <c r="N1068" i="9"/>
  <c r="Q1068" i="9" s="1"/>
  <c r="S1067" i="9"/>
  <c r="T1067" i="9" s="1"/>
  <c r="O1067" i="9"/>
  <c r="N1067" i="9"/>
  <c r="Q1067" i="9" s="1"/>
  <c r="Z1066" i="9"/>
  <c r="S1066" i="9"/>
  <c r="T1066" i="9" s="1"/>
  <c r="O1066" i="9"/>
  <c r="N1066" i="9"/>
  <c r="Q1066" i="9" s="1"/>
  <c r="AC1065" i="9"/>
  <c r="AD1065" i="9" s="1"/>
  <c r="Y1065" i="9"/>
  <c r="X1065" i="9"/>
  <c r="AA1065" i="9" s="1"/>
  <c r="S1065" i="9"/>
  <c r="T1065" i="9" s="1"/>
  <c r="O1065" i="9"/>
  <c r="N1065" i="9"/>
  <c r="Q1065" i="9" s="1"/>
  <c r="AC1064" i="9"/>
  <c r="AD1064" i="9" s="1"/>
  <c r="Y1064" i="9"/>
  <c r="X1064" i="9"/>
  <c r="AA1064" i="9" s="1"/>
  <c r="S1064" i="9"/>
  <c r="T1064" i="9" s="1"/>
  <c r="O1064" i="9"/>
  <c r="N1064" i="9"/>
  <c r="Q1064" i="9" s="1"/>
  <c r="AC1063" i="9"/>
  <c r="AD1063" i="9" s="1"/>
  <c r="Y1063" i="9"/>
  <c r="X1063" i="9"/>
  <c r="AA1063" i="9" s="1"/>
  <c r="S1063" i="9"/>
  <c r="T1063" i="9" s="1"/>
  <c r="AC1062" i="9"/>
  <c r="AD1062" i="9" s="1"/>
  <c r="Y1062" i="9"/>
  <c r="X1062" i="9"/>
  <c r="AA1062" i="9" s="1"/>
  <c r="S1062" i="9"/>
  <c r="T1062" i="9" s="1"/>
  <c r="O1062" i="9"/>
  <c r="N1062" i="9"/>
  <c r="Q1062" i="9" s="1"/>
  <c r="AC1061" i="9"/>
  <c r="AD1061" i="9" s="1"/>
  <c r="Y1061" i="9"/>
  <c r="X1061" i="9"/>
  <c r="S1061" i="9"/>
  <c r="T1061" i="9" s="1"/>
  <c r="O1061" i="9"/>
  <c r="N1061" i="9"/>
  <c r="Q1061" i="9" s="1"/>
  <c r="AC1060" i="9"/>
  <c r="AD1060" i="9" s="1"/>
  <c r="Y1060" i="9"/>
  <c r="X1060" i="9"/>
  <c r="AA1060" i="9" s="1"/>
  <c r="S1060" i="9"/>
  <c r="T1060" i="9" s="1"/>
  <c r="O1060" i="9"/>
  <c r="N1060" i="9"/>
  <c r="Q1060" i="9" s="1"/>
  <c r="S1059" i="9"/>
  <c r="T1059" i="9" s="1"/>
  <c r="O1059" i="9"/>
  <c r="Z1044" i="9"/>
  <c r="P1044" i="9"/>
  <c r="AC1043" i="9"/>
  <c r="AD1043" i="9" s="1"/>
  <c r="Y1043" i="9"/>
  <c r="X1043" i="9"/>
  <c r="Q1043" i="9"/>
  <c r="AC1042" i="9"/>
  <c r="AD1042" i="9" s="1"/>
  <c r="Y1042" i="9"/>
  <c r="X1042" i="9"/>
  <c r="S1042" i="9"/>
  <c r="O1042" i="9"/>
  <c r="N1042" i="9"/>
  <c r="Q1042" i="9" s="1"/>
  <c r="AC1041" i="9"/>
  <c r="AD1041" i="9" s="1"/>
  <c r="Y1041" i="9"/>
  <c r="X1041" i="9"/>
  <c r="S1041" i="9"/>
  <c r="T1041" i="9" s="1"/>
  <c r="O1041" i="9"/>
  <c r="N1041" i="9"/>
  <c r="Q1041" i="9" s="1"/>
  <c r="AC1040" i="9"/>
  <c r="AD1040" i="9" s="1"/>
  <c r="Y1040" i="9"/>
  <c r="X1040" i="9"/>
  <c r="AA1040" i="9" s="1"/>
  <c r="S1040" i="9"/>
  <c r="T1040" i="9" s="1"/>
  <c r="AC1039" i="9"/>
  <c r="AD1039" i="9" s="1"/>
  <c r="Y1039" i="9"/>
  <c r="X1039" i="9"/>
  <c r="AA1039" i="9" s="1"/>
  <c r="S1039" i="9"/>
  <c r="T1039" i="9" s="1"/>
  <c r="O1039" i="9"/>
  <c r="N1039" i="9"/>
  <c r="Q1039" i="9" s="1"/>
  <c r="AC1038" i="9"/>
  <c r="AD1038" i="9" s="1"/>
  <c r="Y1038" i="9"/>
  <c r="X1038" i="9"/>
  <c r="AA1038" i="9" s="1"/>
  <c r="S1038" i="9"/>
  <c r="T1038" i="9" s="1"/>
  <c r="O1038" i="9"/>
  <c r="N1038" i="9"/>
  <c r="Q1038" i="9" s="1"/>
  <c r="AC1037" i="9"/>
  <c r="AD1037" i="9" s="1"/>
  <c r="Y1037" i="9"/>
  <c r="X1037" i="9"/>
  <c r="AA1037" i="9" s="1"/>
  <c r="S1037" i="9"/>
  <c r="T1037" i="9" s="1"/>
  <c r="O1037" i="9"/>
  <c r="N1037" i="9"/>
  <c r="Q1037" i="9" s="1"/>
  <c r="S1036" i="9"/>
  <c r="T1036" i="9" s="1"/>
  <c r="O1036" i="9"/>
  <c r="Z1021" i="9"/>
  <c r="AC1020" i="9"/>
  <c r="AD1020" i="9" s="1"/>
  <c r="Y1020" i="9"/>
  <c r="X1020" i="9"/>
  <c r="AA1020" i="9" s="1"/>
  <c r="AC1019" i="9"/>
  <c r="AD1019" i="9" s="1"/>
  <c r="Y1019" i="9"/>
  <c r="X1019" i="9"/>
  <c r="AA1019" i="9" s="1"/>
  <c r="P1019" i="9"/>
  <c r="AC1018" i="9"/>
  <c r="AD1018" i="9" s="1"/>
  <c r="Y1018" i="9"/>
  <c r="X1018" i="9"/>
  <c r="AA1018" i="9" s="1"/>
  <c r="AC1017" i="9"/>
  <c r="AD1017" i="9" s="1"/>
  <c r="Y1017" i="9"/>
  <c r="X1017" i="9"/>
  <c r="AA1017" i="9" s="1"/>
  <c r="AC1016" i="9"/>
  <c r="AD1016" i="9" s="1"/>
  <c r="Y1016" i="9"/>
  <c r="X1016" i="9"/>
  <c r="AA1016" i="9" s="1"/>
  <c r="S1016" i="9"/>
  <c r="T1016" i="9" s="1"/>
  <c r="O1016" i="9"/>
  <c r="N1016" i="9"/>
  <c r="Q1016" i="9" s="1"/>
  <c r="AC1015" i="9"/>
  <c r="AD1015" i="9" s="1"/>
  <c r="Y1015" i="9"/>
  <c r="X1015" i="9"/>
  <c r="AA1015" i="9" s="1"/>
  <c r="S1015" i="9"/>
  <c r="T1015" i="9" s="1"/>
  <c r="AC1014" i="9"/>
  <c r="AD1014" i="9" s="1"/>
  <c r="Y1014" i="9"/>
  <c r="X1014" i="9"/>
  <c r="AA1014" i="9" s="1"/>
  <c r="S1014" i="9"/>
  <c r="T1014" i="9" s="1"/>
  <c r="O1014" i="9"/>
  <c r="N1014" i="9"/>
  <c r="Q1014" i="9" s="1"/>
  <c r="AC1013" i="9"/>
  <c r="AD1013" i="9" s="1"/>
  <c r="Y1013" i="9"/>
  <c r="X1013" i="9"/>
  <c r="AA1013" i="9" s="1"/>
  <c r="S1013" i="9"/>
  <c r="T1013" i="9" s="1"/>
  <c r="O1013" i="9"/>
  <c r="N1013" i="9"/>
  <c r="Q1013" i="9" s="1"/>
  <c r="AC1012" i="9"/>
  <c r="AD1012" i="9" s="1"/>
  <c r="Y1012" i="9"/>
  <c r="X1012" i="9"/>
  <c r="S1012" i="9"/>
  <c r="T1012" i="9" s="1"/>
  <c r="O1012" i="9"/>
  <c r="N1012" i="9"/>
  <c r="Q1012" i="9" s="1"/>
  <c r="S1011" i="9"/>
  <c r="T1011" i="9" s="1"/>
  <c r="O1011" i="9"/>
  <c r="Z996" i="9"/>
  <c r="P996" i="9"/>
  <c r="AC995" i="9"/>
  <c r="AD995" i="9" s="1"/>
  <c r="Y995" i="9"/>
  <c r="X995" i="9"/>
  <c r="AA995" i="9" s="1"/>
  <c r="Q995" i="9"/>
  <c r="AC994" i="9"/>
  <c r="Y994" i="9"/>
  <c r="X994" i="9"/>
  <c r="AA994" i="9" s="1"/>
  <c r="S994" i="9"/>
  <c r="T994" i="9" s="1"/>
  <c r="O994" i="9"/>
  <c r="N994" i="9"/>
  <c r="Q994" i="9" s="1"/>
  <c r="AC993" i="9"/>
  <c r="AD993" i="9" s="1"/>
  <c r="Y993" i="9"/>
  <c r="X993" i="9"/>
  <c r="AA993" i="9" s="1"/>
  <c r="S993" i="9"/>
  <c r="T993" i="9" s="1"/>
  <c r="O993" i="9"/>
  <c r="N993" i="9"/>
  <c r="Q993" i="9" s="1"/>
  <c r="AC992" i="9"/>
  <c r="AD992" i="9" s="1"/>
  <c r="Y992" i="9"/>
  <c r="X992" i="9"/>
  <c r="AA992" i="9" s="1"/>
  <c r="S992" i="9"/>
  <c r="T992" i="9" s="1"/>
  <c r="AC991" i="9"/>
  <c r="AD991" i="9" s="1"/>
  <c r="Y991" i="9"/>
  <c r="X991" i="9"/>
  <c r="AA991" i="9" s="1"/>
  <c r="S991" i="9"/>
  <c r="T991" i="9" s="1"/>
  <c r="O991" i="9"/>
  <c r="N991" i="9"/>
  <c r="Q991" i="9" s="1"/>
  <c r="AC990" i="9"/>
  <c r="AD990" i="9" s="1"/>
  <c r="Y990" i="9"/>
  <c r="X990" i="9"/>
  <c r="AA990" i="9" s="1"/>
  <c r="S990" i="9"/>
  <c r="T990" i="9" s="1"/>
  <c r="O990" i="9"/>
  <c r="N990" i="9"/>
  <c r="Q990" i="9" s="1"/>
  <c r="AC989" i="9"/>
  <c r="AD989" i="9" s="1"/>
  <c r="Y989" i="9"/>
  <c r="X989" i="9"/>
  <c r="S989" i="9"/>
  <c r="T989" i="9" s="1"/>
  <c r="O989" i="9"/>
  <c r="N989" i="9"/>
  <c r="Q989" i="9" s="1"/>
  <c r="S988" i="9"/>
  <c r="T988" i="9" s="1"/>
  <c r="O988" i="9"/>
  <c r="Z973" i="9"/>
  <c r="P973" i="9"/>
  <c r="Q972" i="9"/>
  <c r="AC971" i="9"/>
  <c r="AD971" i="9" s="1"/>
  <c r="Y971" i="9"/>
  <c r="X971" i="9"/>
  <c r="AA971" i="9" s="1"/>
  <c r="S971" i="9"/>
  <c r="T971" i="9" s="1"/>
  <c r="O971" i="9"/>
  <c r="N971" i="9"/>
  <c r="Q971" i="9" s="1"/>
  <c r="AC970" i="9"/>
  <c r="AD970" i="9" s="1"/>
  <c r="Y970" i="9"/>
  <c r="X970" i="9"/>
  <c r="AA970" i="9" s="1"/>
  <c r="S970" i="9"/>
  <c r="T970" i="9" s="1"/>
  <c r="O970" i="9"/>
  <c r="N970" i="9"/>
  <c r="Q970" i="9" s="1"/>
  <c r="AC969" i="9"/>
  <c r="AD969" i="9" s="1"/>
  <c r="Y969" i="9"/>
  <c r="X969" i="9"/>
  <c r="AA969" i="9" s="1"/>
  <c r="S969" i="9"/>
  <c r="T969" i="9" s="1"/>
  <c r="AC968" i="9"/>
  <c r="Y968" i="9"/>
  <c r="X968" i="9"/>
  <c r="AA968" i="9" s="1"/>
  <c r="S968" i="9"/>
  <c r="T968" i="9" s="1"/>
  <c r="O968" i="9"/>
  <c r="N968" i="9"/>
  <c r="Q968" i="9" s="1"/>
  <c r="AC967" i="9"/>
  <c r="AD967" i="9" s="1"/>
  <c r="Y967" i="9"/>
  <c r="X967" i="9"/>
  <c r="S967" i="9"/>
  <c r="T967" i="9" s="1"/>
  <c r="O967" i="9"/>
  <c r="N967" i="9"/>
  <c r="Q967" i="9" s="1"/>
  <c r="AC966" i="9"/>
  <c r="AD966" i="9" s="1"/>
  <c r="Y966" i="9"/>
  <c r="X966" i="9"/>
  <c r="AA966" i="9" s="1"/>
  <c r="S966" i="9"/>
  <c r="T966" i="9" s="1"/>
  <c r="O966" i="9"/>
  <c r="N966" i="9"/>
  <c r="Q966" i="9" s="1"/>
  <c r="S965" i="9"/>
  <c r="T965" i="9" s="1"/>
  <c r="O965" i="9"/>
  <c r="P950" i="9"/>
  <c r="Z948" i="9"/>
  <c r="AC947" i="9"/>
  <c r="AD947" i="9" s="1"/>
  <c r="Y947" i="9"/>
  <c r="X947" i="9"/>
  <c r="AA947" i="9" s="1"/>
  <c r="AC946" i="9"/>
  <c r="Y946" i="9"/>
  <c r="X946" i="9"/>
  <c r="AA946" i="9" s="1"/>
  <c r="S946" i="9"/>
  <c r="T946" i="9" s="1"/>
  <c r="O946" i="9"/>
  <c r="N946" i="9"/>
  <c r="Q946" i="9" s="1"/>
  <c r="AC945" i="9"/>
  <c r="AD945" i="9" s="1"/>
  <c r="Y945" i="9"/>
  <c r="X945" i="9"/>
  <c r="AA945" i="9" s="1"/>
  <c r="S945" i="9"/>
  <c r="T945" i="9" s="1"/>
  <c r="AC944" i="9"/>
  <c r="AD944" i="9" s="1"/>
  <c r="Y944" i="9"/>
  <c r="X944" i="9"/>
  <c r="AA944" i="9" s="1"/>
  <c r="S944" i="9"/>
  <c r="T944" i="9" s="1"/>
  <c r="O944" i="9"/>
  <c r="N944" i="9"/>
  <c r="Q944" i="9" s="1"/>
  <c r="AC943" i="9"/>
  <c r="AD943" i="9" s="1"/>
  <c r="Y943" i="9"/>
  <c r="X943" i="9"/>
  <c r="S943" i="9"/>
  <c r="T943" i="9" s="1"/>
  <c r="O943" i="9"/>
  <c r="N943" i="9"/>
  <c r="Q943" i="9" s="1"/>
  <c r="S942" i="9"/>
  <c r="T942" i="9" s="1"/>
  <c r="O942" i="9"/>
  <c r="Z927" i="9"/>
  <c r="P927" i="9"/>
  <c r="AC926" i="9"/>
  <c r="AD926" i="9" s="1"/>
  <c r="Y926" i="9"/>
  <c r="X926" i="9"/>
  <c r="AA926" i="9" s="1"/>
  <c r="Q926" i="9"/>
  <c r="AC925" i="9"/>
  <c r="AD925" i="9" s="1"/>
  <c r="Y925" i="9"/>
  <c r="X925" i="9"/>
  <c r="AA925" i="9" s="1"/>
  <c r="S925" i="9"/>
  <c r="T925" i="9" s="1"/>
  <c r="O925" i="9"/>
  <c r="N925" i="9"/>
  <c r="Q925" i="9" s="1"/>
  <c r="AC924" i="9"/>
  <c r="AD924" i="9" s="1"/>
  <c r="Y924" i="9"/>
  <c r="X924" i="9"/>
  <c r="AA924" i="9" s="1"/>
  <c r="S924" i="9"/>
  <c r="T924" i="9" s="1"/>
  <c r="AC923" i="9"/>
  <c r="AD923" i="9" s="1"/>
  <c r="Y923" i="9"/>
  <c r="X923" i="9"/>
  <c r="AA923" i="9" s="1"/>
  <c r="S923" i="9"/>
  <c r="T923" i="9" s="1"/>
  <c r="O923" i="9"/>
  <c r="N923" i="9"/>
  <c r="Q923" i="9" s="1"/>
  <c r="AC922" i="9"/>
  <c r="AD922" i="9" s="1"/>
  <c r="Y922" i="9"/>
  <c r="X922" i="9"/>
  <c r="AA922" i="9" s="1"/>
  <c r="S922" i="9"/>
  <c r="T922" i="9" s="1"/>
  <c r="O922" i="9"/>
  <c r="N922" i="9"/>
  <c r="Q922" i="9" s="1"/>
  <c r="AC921" i="9"/>
  <c r="AD921" i="9" s="1"/>
  <c r="Y921" i="9"/>
  <c r="X921" i="9"/>
  <c r="AA921" i="9" s="1"/>
  <c r="S921" i="9"/>
  <c r="T921" i="9" s="1"/>
  <c r="O921" i="9"/>
  <c r="N921" i="9"/>
  <c r="Q921" i="9" s="1"/>
  <c r="AC920" i="9"/>
  <c r="AD920" i="9" s="1"/>
  <c r="Y920" i="9"/>
  <c r="X920" i="9"/>
  <c r="AA920" i="9" s="1"/>
  <c r="S920" i="9"/>
  <c r="T920" i="9" s="1"/>
  <c r="O920" i="9"/>
  <c r="N920" i="9"/>
  <c r="Q920" i="9" s="1"/>
  <c r="S919" i="9"/>
  <c r="T919" i="9" s="1"/>
  <c r="O919" i="9"/>
  <c r="P904" i="9"/>
  <c r="Q903" i="9"/>
  <c r="Z902" i="9"/>
  <c r="Q902" i="9"/>
  <c r="AC901" i="9"/>
  <c r="AD901" i="9" s="1"/>
  <c r="Y901" i="9"/>
  <c r="X901" i="9"/>
  <c r="AA901" i="9" s="1"/>
  <c r="S901" i="9"/>
  <c r="T901" i="9" s="1"/>
  <c r="AC900" i="9"/>
  <c r="AD900" i="9" s="1"/>
  <c r="Y900" i="9"/>
  <c r="X900" i="9"/>
  <c r="AA900" i="9" s="1"/>
  <c r="S900" i="9"/>
  <c r="T900" i="9" s="1"/>
  <c r="O900" i="9"/>
  <c r="N900" i="9"/>
  <c r="Q900" i="9" s="1"/>
  <c r="AC899" i="9"/>
  <c r="AD899" i="9" s="1"/>
  <c r="Y899" i="9"/>
  <c r="X899" i="9"/>
  <c r="AA899" i="9" s="1"/>
  <c r="S899" i="9"/>
  <c r="T899" i="9" s="1"/>
  <c r="O899" i="9"/>
  <c r="N899" i="9"/>
  <c r="Q899" i="9" s="1"/>
  <c r="AC898" i="9"/>
  <c r="AD898" i="9" s="1"/>
  <c r="Y898" i="9"/>
  <c r="X898" i="9"/>
  <c r="AA898" i="9" s="1"/>
  <c r="S898" i="9"/>
  <c r="T898" i="9" s="1"/>
  <c r="O898" i="9"/>
  <c r="N898" i="9"/>
  <c r="Q898" i="9" s="1"/>
  <c r="AC897" i="9"/>
  <c r="AD897" i="9" s="1"/>
  <c r="Y897" i="9"/>
  <c r="X897" i="9"/>
  <c r="S897" i="9"/>
  <c r="T897" i="9" s="1"/>
  <c r="O897" i="9"/>
  <c r="N897" i="9"/>
  <c r="Q897" i="9" s="1"/>
  <c r="S896" i="9"/>
  <c r="T896" i="9" s="1"/>
  <c r="O896" i="9"/>
  <c r="P881" i="9"/>
  <c r="S878" i="9"/>
  <c r="T878" i="9" s="1"/>
  <c r="O878" i="9"/>
  <c r="N878" i="9"/>
  <c r="Q878" i="9" s="1"/>
  <c r="S877" i="9"/>
  <c r="T877" i="9" s="1"/>
  <c r="O877" i="9"/>
  <c r="N877" i="9"/>
  <c r="Q877" i="9" s="1"/>
  <c r="S876" i="9"/>
  <c r="T876" i="9" s="1"/>
  <c r="O876" i="9"/>
  <c r="N876" i="9"/>
  <c r="Q876" i="9" s="1"/>
  <c r="S875" i="9"/>
  <c r="T875" i="9" s="1"/>
  <c r="O875" i="9"/>
  <c r="N875" i="9"/>
  <c r="Q875" i="9" s="1"/>
  <c r="S874" i="9"/>
  <c r="T874" i="9" s="1"/>
  <c r="O874" i="9"/>
  <c r="N874" i="9"/>
  <c r="Q874" i="9" s="1"/>
  <c r="S873" i="9"/>
  <c r="T873" i="9" s="1"/>
  <c r="O873" i="9"/>
  <c r="Z858" i="9"/>
  <c r="P858" i="9"/>
  <c r="AC856" i="9"/>
  <c r="AD856" i="9" s="1"/>
  <c r="Y856" i="9"/>
  <c r="X856" i="9"/>
  <c r="AA856" i="9" s="1"/>
  <c r="AC855" i="9"/>
  <c r="AD855" i="9" s="1"/>
  <c r="Y855" i="9"/>
  <c r="X855" i="9"/>
  <c r="AC854" i="9"/>
  <c r="AD854" i="9" s="1"/>
  <c r="Y854" i="9"/>
  <c r="X854" i="9"/>
  <c r="AA854" i="9" s="1"/>
  <c r="S854" i="9"/>
  <c r="T854" i="9" s="1"/>
  <c r="O854" i="9"/>
  <c r="N854" i="9"/>
  <c r="Q854" i="9" s="1"/>
  <c r="AC853" i="9"/>
  <c r="AD853" i="9" s="1"/>
  <c r="Y853" i="9"/>
  <c r="X853" i="9"/>
  <c r="AA853" i="9" s="1"/>
  <c r="S853" i="9"/>
  <c r="T853" i="9" s="1"/>
  <c r="O853" i="9"/>
  <c r="N853" i="9"/>
  <c r="Q853" i="9" s="1"/>
  <c r="AC852" i="9"/>
  <c r="AD852" i="9" s="1"/>
  <c r="Y852" i="9"/>
  <c r="X852" i="9"/>
  <c r="AA852" i="9" s="1"/>
  <c r="S852" i="9"/>
  <c r="T852" i="9" s="1"/>
  <c r="AC851" i="9"/>
  <c r="AD851" i="9" s="1"/>
  <c r="Y851" i="9"/>
  <c r="X851" i="9"/>
  <c r="AA851" i="9" s="1"/>
  <c r="S851" i="9"/>
  <c r="T851" i="9" s="1"/>
  <c r="O851" i="9"/>
  <c r="N851" i="9"/>
  <c r="Q851" i="9" s="1"/>
  <c r="S850" i="9"/>
  <c r="T850" i="9" s="1"/>
  <c r="O850" i="9"/>
  <c r="P835" i="9"/>
  <c r="S835" i="9" s="1"/>
  <c r="T835" i="9" s="1"/>
  <c r="Z833" i="9"/>
  <c r="AC832" i="9"/>
  <c r="AD832" i="9" s="1"/>
  <c r="Y832" i="9"/>
  <c r="X832" i="9"/>
  <c r="AA832" i="9" s="1"/>
  <c r="S832" i="9"/>
  <c r="T832" i="9" s="1"/>
  <c r="O832" i="9"/>
  <c r="N832" i="9"/>
  <c r="Q832" i="9" s="1"/>
  <c r="AC831" i="9"/>
  <c r="AD831" i="9" s="1"/>
  <c r="Y831" i="9"/>
  <c r="X831" i="9"/>
  <c r="AA831" i="9" s="1"/>
  <c r="S831" i="9"/>
  <c r="T831" i="9" s="1"/>
  <c r="O831" i="9"/>
  <c r="N831" i="9"/>
  <c r="Q831" i="9" s="1"/>
  <c r="AC830" i="9"/>
  <c r="AD830" i="9" s="1"/>
  <c r="Y830" i="9"/>
  <c r="X830" i="9"/>
  <c r="AA830" i="9" s="1"/>
  <c r="S830" i="9"/>
  <c r="T830" i="9" s="1"/>
  <c r="O830" i="9"/>
  <c r="N830" i="9"/>
  <c r="Q830" i="9" s="1"/>
  <c r="AC829" i="9"/>
  <c r="AD829" i="9" s="1"/>
  <c r="Y829" i="9"/>
  <c r="X829" i="9"/>
  <c r="S829" i="9"/>
  <c r="T829" i="9" s="1"/>
  <c r="AC828" i="9"/>
  <c r="Y828" i="9"/>
  <c r="X828" i="9"/>
  <c r="AA828" i="9" s="1"/>
  <c r="S828" i="9"/>
  <c r="T828" i="9" s="1"/>
  <c r="O828" i="9"/>
  <c r="N828" i="9"/>
  <c r="Q828" i="9" s="1"/>
  <c r="S827" i="9"/>
  <c r="T827" i="9" s="1"/>
  <c r="O827" i="9"/>
  <c r="P813" i="9"/>
  <c r="S810" i="9"/>
  <c r="T810" i="9" s="1"/>
  <c r="O810" i="9"/>
  <c r="N810" i="9"/>
  <c r="Q810" i="9" s="1"/>
  <c r="S809" i="9"/>
  <c r="T809" i="9" s="1"/>
  <c r="O809" i="9"/>
  <c r="N809" i="9"/>
  <c r="Q809" i="9" s="1"/>
  <c r="S808" i="9"/>
  <c r="T808" i="9" s="1"/>
  <c r="O808" i="9"/>
  <c r="N808" i="9"/>
  <c r="Q808" i="9" s="1"/>
  <c r="S807" i="9"/>
  <c r="O807" i="9"/>
  <c r="N807" i="9"/>
  <c r="Q807" i="9" s="1"/>
  <c r="S806" i="9"/>
  <c r="T806" i="9" s="1"/>
  <c r="O806" i="9"/>
  <c r="N806" i="9"/>
  <c r="Q806" i="9" s="1"/>
  <c r="S805" i="9"/>
  <c r="T805" i="9" s="1"/>
  <c r="O805" i="9"/>
  <c r="N805" i="9"/>
  <c r="Q805" i="9" s="1"/>
  <c r="S804" i="9"/>
  <c r="T804" i="9" s="1"/>
  <c r="O804" i="9"/>
  <c r="N804" i="9"/>
  <c r="Q804" i="9" s="1"/>
  <c r="S803" i="9"/>
  <c r="T803" i="9" s="1"/>
  <c r="O803" i="9"/>
  <c r="N803" i="9"/>
  <c r="Q803" i="9" s="1"/>
  <c r="S802" i="9"/>
  <c r="T802" i="9" s="1"/>
  <c r="O802" i="9"/>
  <c r="P787" i="9"/>
  <c r="S784" i="9"/>
  <c r="T784" i="9" s="1"/>
  <c r="O784" i="9"/>
  <c r="N784" i="9"/>
  <c r="Q784" i="9" s="1"/>
  <c r="S783" i="9"/>
  <c r="T783" i="9" s="1"/>
  <c r="O783" i="9"/>
  <c r="N783" i="9"/>
  <c r="Q783" i="9" s="1"/>
  <c r="S782" i="9"/>
  <c r="T782" i="9" s="1"/>
  <c r="O782" i="9"/>
  <c r="N782" i="9"/>
  <c r="Q782" i="9" s="1"/>
  <c r="S781" i="9"/>
  <c r="T781" i="9" s="1"/>
  <c r="O781" i="9"/>
  <c r="N781" i="9"/>
  <c r="Q781" i="9" s="1"/>
  <c r="S780" i="9"/>
  <c r="T780" i="9" s="1"/>
  <c r="O780" i="9"/>
  <c r="N780" i="9"/>
  <c r="Q780" i="9" s="1"/>
  <c r="S779" i="9"/>
  <c r="T779" i="9" s="1"/>
  <c r="O779" i="9"/>
  <c r="N779" i="9"/>
  <c r="Q779" i="9" s="1"/>
  <c r="S778" i="9"/>
  <c r="T778" i="9" s="1"/>
  <c r="O778" i="9"/>
  <c r="N778" i="9"/>
  <c r="Q778" i="9" s="1"/>
  <c r="S777" i="9"/>
  <c r="T777" i="9" s="1"/>
  <c r="O777" i="9"/>
  <c r="P763" i="9"/>
  <c r="Q762" i="9"/>
  <c r="S761" i="9"/>
  <c r="T761" i="9" s="1"/>
  <c r="O761" i="9"/>
  <c r="N761" i="9"/>
  <c r="Q761" i="9" s="1"/>
  <c r="S760" i="9"/>
  <c r="T760" i="9" s="1"/>
  <c r="O760" i="9"/>
  <c r="N760" i="9"/>
  <c r="S759" i="9"/>
  <c r="T759" i="9" s="1"/>
  <c r="O759" i="9"/>
  <c r="N759" i="9"/>
  <c r="Q759" i="9" s="1"/>
  <c r="S758" i="9"/>
  <c r="O758" i="9"/>
  <c r="N758" i="9"/>
  <c r="Q758" i="9" s="1"/>
  <c r="S757" i="9"/>
  <c r="T757" i="9" s="1"/>
  <c r="O757" i="9"/>
  <c r="N757" i="9"/>
  <c r="S756" i="9"/>
  <c r="T756" i="9" s="1"/>
  <c r="O756" i="9"/>
  <c r="N756" i="9"/>
  <c r="Q756" i="9" s="1"/>
  <c r="S755" i="9"/>
  <c r="T755" i="9" s="1"/>
  <c r="O755" i="9"/>
  <c r="N755" i="9"/>
  <c r="Q755" i="9" s="1"/>
  <c r="S754" i="9"/>
  <c r="T754" i="9" s="1"/>
  <c r="O754" i="9"/>
  <c r="N754" i="9"/>
  <c r="Q754" i="9" s="1"/>
  <c r="S753" i="9"/>
  <c r="T753" i="9" s="1"/>
  <c r="O753" i="9"/>
  <c r="N753" i="9"/>
  <c r="Q753" i="9" s="1"/>
  <c r="S752" i="9"/>
  <c r="T752" i="9" s="1"/>
  <c r="O752" i="9"/>
  <c r="P738" i="9"/>
  <c r="Q737" i="9"/>
  <c r="S736" i="9"/>
  <c r="T736" i="9" s="1"/>
  <c r="O736" i="9"/>
  <c r="N736" i="9"/>
  <c r="Q736" i="9" s="1"/>
  <c r="S735" i="9"/>
  <c r="T735" i="9" s="1"/>
  <c r="O735" i="9"/>
  <c r="N735" i="9"/>
  <c r="Q735" i="9" s="1"/>
  <c r="S734" i="9"/>
  <c r="T734" i="9" s="1"/>
  <c r="O734" i="9"/>
  <c r="N734" i="9"/>
  <c r="Q734" i="9" s="1"/>
  <c r="S733" i="9"/>
  <c r="T733" i="9" s="1"/>
  <c r="O733" i="9"/>
  <c r="N733" i="9"/>
  <c r="Q733" i="9" s="1"/>
  <c r="S732" i="9"/>
  <c r="T732" i="9" s="1"/>
  <c r="O732" i="9"/>
  <c r="N732" i="9"/>
  <c r="Q732" i="9" s="1"/>
  <c r="S731" i="9"/>
  <c r="T731" i="9" s="1"/>
  <c r="O731" i="9"/>
  <c r="N731" i="9"/>
  <c r="Q731" i="9" s="1"/>
  <c r="S730" i="9"/>
  <c r="T730" i="9" s="1"/>
  <c r="O730" i="9"/>
  <c r="N730" i="9"/>
  <c r="Q730" i="9" s="1"/>
  <c r="S729" i="9"/>
  <c r="T729" i="9" s="1"/>
  <c r="O729" i="9"/>
  <c r="Z714" i="9"/>
  <c r="P714" i="9"/>
  <c r="Y713" i="9"/>
  <c r="X713" i="9"/>
  <c r="AA713" i="9" s="1"/>
  <c r="AE713" i="9" s="1"/>
  <c r="Y712" i="9"/>
  <c r="X712" i="9"/>
  <c r="AA712" i="9" s="1"/>
  <c r="AE712" i="9" s="1"/>
  <c r="AC711" i="9"/>
  <c r="AD711" i="9" s="1"/>
  <c r="Y711" i="9"/>
  <c r="X711" i="9"/>
  <c r="AA711" i="9" s="1"/>
  <c r="AC710" i="9"/>
  <c r="AD710" i="9" s="1"/>
  <c r="Y710" i="9"/>
  <c r="X710" i="9"/>
  <c r="AA710" i="9" s="1"/>
  <c r="S710" i="9"/>
  <c r="O710" i="9"/>
  <c r="N710" i="9"/>
  <c r="Q710" i="9" s="1"/>
  <c r="AC709" i="9"/>
  <c r="AD709" i="9" s="1"/>
  <c r="Y709" i="9"/>
  <c r="X709" i="9"/>
  <c r="AA709" i="9" s="1"/>
  <c r="S709" i="9"/>
  <c r="T709" i="9" s="1"/>
  <c r="O709" i="9"/>
  <c r="N709" i="9"/>
  <c r="Q709" i="9" s="1"/>
  <c r="AC708" i="9"/>
  <c r="AD708" i="9" s="1"/>
  <c r="Y708" i="9"/>
  <c r="X708" i="9"/>
  <c r="AA708" i="9" s="1"/>
  <c r="S708" i="9"/>
  <c r="T708" i="9" s="1"/>
  <c r="AC707" i="9"/>
  <c r="AD707" i="9" s="1"/>
  <c r="Y707" i="9"/>
  <c r="X707" i="9"/>
  <c r="AA707" i="9" s="1"/>
  <c r="S707" i="9"/>
  <c r="T707" i="9" s="1"/>
  <c r="O707" i="9"/>
  <c r="N707" i="9"/>
  <c r="Q707" i="9" s="1"/>
  <c r="S706" i="9"/>
  <c r="T706" i="9" s="1"/>
  <c r="O706" i="9"/>
  <c r="Z692" i="9"/>
  <c r="AC691" i="9"/>
  <c r="AD691" i="9" s="1"/>
  <c r="Y691" i="9"/>
  <c r="X691" i="9"/>
  <c r="AA691" i="9" s="1"/>
  <c r="AC690" i="9"/>
  <c r="AD690" i="9" s="1"/>
  <c r="Y690" i="9"/>
  <c r="X690" i="9"/>
  <c r="AA690" i="9" s="1"/>
  <c r="AC689" i="9"/>
  <c r="AD689" i="9" s="1"/>
  <c r="Y689" i="9"/>
  <c r="X689" i="9"/>
  <c r="AA689" i="9" s="1"/>
  <c r="AC688" i="9"/>
  <c r="AD688" i="9" s="1"/>
  <c r="Y688" i="9"/>
  <c r="X688" i="9"/>
  <c r="AA688" i="9" s="1"/>
  <c r="AC687" i="9"/>
  <c r="AD687" i="9" s="1"/>
  <c r="Y687" i="9"/>
  <c r="X687" i="9"/>
  <c r="AA687" i="9" s="1"/>
  <c r="P687" i="9"/>
  <c r="AC686" i="9"/>
  <c r="AD686" i="9" s="1"/>
  <c r="Y686" i="9"/>
  <c r="X686" i="9"/>
  <c r="AA686" i="9" s="1"/>
  <c r="AC685" i="9"/>
  <c r="AD685" i="9" s="1"/>
  <c r="Y685" i="9"/>
  <c r="X685" i="9"/>
  <c r="AA685" i="9" s="1"/>
  <c r="AC684" i="9"/>
  <c r="AD684" i="9" s="1"/>
  <c r="Y684" i="9"/>
  <c r="X684" i="9"/>
  <c r="AA684" i="9" s="1"/>
  <c r="S684" i="9"/>
  <c r="T684" i="9" s="1"/>
  <c r="O684" i="9"/>
  <c r="N684" i="9"/>
  <c r="Q684" i="9" s="1"/>
  <c r="AC683" i="9"/>
  <c r="AD683" i="9" s="1"/>
  <c r="Y683" i="9"/>
  <c r="X683" i="9"/>
  <c r="AA683" i="9" s="1"/>
  <c r="S683" i="9"/>
  <c r="T683" i="9" s="1"/>
  <c r="AC682" i="9"/>
  <c r="Y682" i="9"/>
  <c r="X682" i="9"/>
  <c r="AA682" i="9" s="1"/>
  <c r="S682" i="9"/>
  <c r="T682" i="9" s="1"/>
  <c r="O682" i="9"/>
  <c r="N682" i="9"/>
  <c r="Q682" i="9" s="1"/>
  <c r="AC681" i="9"/>
  <c r="AD681" i="9" s="1"/>
  <c r="Y681" i="9"/>
  <c r="X681" i="9"/>
  <c r="S681" i="9"/>
  <c r="T681" i="9" s="1"/>
  <c r="O681" i="9"/>
  <c r="N681" i="9"/>
  <c r="Q681" i="9" s="1"/>
  <c r="AC680" i="9"/>
  <c r="Y680" i="9"/>
  <c r="X680" i="9"/>
  <c r="AA680" i="9" s="1"/>
  <c r="S680" i="9"/>
  <c r="T680" i="9" s="1"/>
  <c r="O680" i="9"/>
  <c r="N680" i="9"/>
  <c r="Q680" i="9" s="1"/>
  <c r="S679" i="9"/>
  <c r="T679" i="9" s="1"/>
  <c r="O679" i="9"/>
  <c r="P665" i="9"/>
  <c r="S663" i="9"/>
  <c r="T663" i="9" s="1"/>
  <c r="O663" i="9"/>
  <c r="N663" i="9"/>
  <c r="Q663" i="9" s="1"/>
  <c r="S662" i="9"/>
  <c r="T662" i="9" s="1"/>
  <c r="O662" i="9"/>
  <c r="N662" i="9"/>
  <c r="Q662" i="9" s="1"/>
  <c r="S661" i="9"/>
  <c r="T661" i="9" s="1"/>
  <c r="O661" i="9"/>
  <c r="N661" i="9"/>
  <c r="Q661" i="9" s="1"/>
  <c r="S660" i="9"/>
  <c r="T660" i="9" s="1"/>
  <c r="O660" i="9"/>
  <c r="N660" i="9"/>
  <c r="Q660" i="9" s="1"/>
  <c r="S659" i="9"/>
  <c r="O659" i="9"/>
  <c r="N659" i="9"/>
  <c r="Q659" i="9" s="1"/>
  <c r="S658" i="9"/>
  <c r="T658" i="9" s="1"/>
  <c r="O658" i="9"/>
  <c r="N658" i="9"/>
  <c r="Q658" i="9" s="1"/>
  <c r="S657" i="9"/>
  <c r="T657" i="9" s="1"/>
  <c r="O657" i="9"/>
  <c r="N657" i="9"/>
  <c r="Q657" i="9" s="1"/>
  <c r="S656" i="9"/>
  <c r="T656" i="9" s="1"/>
  <c r="O656" i="9"/>
  <c r="S642" i="9"/>
  <c r="T642" i="9" s="1"/>
  <c r="P642" i="9"/>
  <c r="Z641" i="9"/>
  <c r="AC640" i="9"/>
  <c r="Y640" i="9"/>
  <c r="X640" i="9"/>
  <c r="AA640" i="9" s="1"/>
  <c r="AC639" i="9"/>
  <c r="AD639" i="9" s="1"/>
  <c r="Y639" i="9"/>
  <c r="X639" i="9"/>
  <c r="AA639" i="9" s="1"/>
  <c r="AC638" i="9"/>
  <c r="AD638" i="9" s="1"/>
  <c r="Y638" i="9"/>
  <c r="X638" i="9"/>
  <c r="AA638" i="9" s="1"/>
  <c r="S638" i="9"/>
  <c r="T638" i="9" s="1"/>
  <c r="AC637" i="9"/>
  <c r="AD637" i="9" s="1"/>
  <c r="Y637" i="9"/>
  <c r="X637" i="9"/>
  <c r="AA637" i="9" s="1"/>
  <c r="S637" i="9"/>
  <c r="T637" i="9" s="1"/>
  <c r="O637" i="9"/>
  <c r="N637" i="9"/>
  <c r="Q637" i="9" s="1"/>
  <c r="AC636" i="9"/>
  <c r="AD636" i="9" s="1"/>
  <c r="Y636" i="9"/>
  <c r="X636" i="9"/>
  <c r="AA636" i="9" s="1"/>
  <c r="S636" i="9"/>
  <c r="O636" i="9"/>
  <c r="N636" i="9"/>
  <c r="Q636" i="9" s="1"/>
  <c r="AC635" i="9"/>
  <c r="AD635" i="9" s="1"/>
  <c r="Y635" i="9"/>
  <c r="X635" i="9"/>
  <c r="AA635" i="9" s="1"/>
  <c r="S635" i="9"/>
  <c r="T635" i="9" s="1"/>
  <c r="O635" i="9"/>
  <c r="N635" i="9"/>
  <c r="Q635" i="9" s="1"/>
  <c r="AC634" i="9"/>
  <c r="AD634" i="9" s="1"/>
  <c r="Y634" i="9"/>
  <c r="X634" i="9"/>
  <c r="AA634" i="9" s="1"/>
  <c r="S634" i="9"/>
  <c r="T634" i="9" s="1"/>
  <c r="O634" i="9"/>
  <c r="N634" i="9"/>
  <c r="Q634" i="9" s="1"/>
  <c r="AC633" i="9"/>
  <c r="AD633" i="9" s="1"/>
  <c r="Y633" i="9"/>
  <c r="X633" i="9"/>
  <c r="AA633" i="9" s="1"/>
  <c r="S633" i="9"/>
  <c r="T633" i="9" s="1"/>
  <c r="O633" i="9"/>
  <c r="N633" i="9"/>
  <c r="Q633" i="9" s="1"/>
  <c r="AC632" i="9"/>
  <c r="AD632" i="9" s="1"/>
  <c r="Y632" i="9"/>
  <c r="X632" i="9"/>
  <c r="S632" i="9"/>
  <c r="T632" i="9" s="1"/>
  <c r="O632" i="9"/>
  <c r="N632" i="9"/>
  <c r="Q632" i="9" s="1"/>
  <c r="S631" i="9"/>
  <c r="T631" i="9" s="1"/>
  <c r="O631" i="9"/>
  <c r="P616" i="9"/>
  <c r="S616" i="9" s="1"/>
  <c r="T616" i="9" s="1"/>
  <c r="Z614" i="9"/>
  <c r="S614" i="9"/>
  <c r="T614" i="9" s="1"/>
  <c r="O614" i="9"/>
  <c r="N614" i="9"/>
  <c r="Q614" i="9" s="1"/>
  <c r="AC613" i="9"/>
  <c r="AD613" i="9" s="1"/>
  <c r="Y613" i="9"/>
  <c r="X613" i="9"/>
  <c r="AA613" i="9" s="1"/>
  <c r="S613" i="9"/>
  <c r="T613" i="9" s="1"/>
  <c r="O613" i="9"/>
  <c r="N613" i="9"/>
  <c r="Q613" i="9" s="1"/>
  <c r="AC612" i="9"/>
  <c r="AD612" i="9" s="1"/>
  <c r="Y612" i="9"/>
  <c r="X612" i="9"/>
  <c r="AA612" i="9" s="1"/>
  <c r="S612" i="9"/>
  <c r="T612" i="9" s="1"/>
  <c r="O612" i="9"/>
  <c r="N612" i="9"/>
  <c r="Q612" i="9" s="1"/>
  <c r="AC611" i="9"/>
  <c r="AD611" i="9" s="1"/>
  <c r="Y611" i="9"/>
  <c r="X611" i="9"/>
  <c r="AA611" i="9" s="1"/>
  <c r="S611" i="9"/>
  <c r="T611" i="9" s="1"/>
  <c r="AC610" i="9"/>
  <c r="AD610" i="9" s="1"/>
  <c r="Y610" i="9"/>
  <c r="X610" i="9"/>
  <c r="AA610" i="9" s="1"/>
  <c r="S610" i="9"/>
  <c r="T610" i="9" s="1"/>
  <c r="O610" i="9"/>
  <c r="N610" i="9"/>
  <c r="Q610" i="9" s="1"/>
  <c r="AC609" i="9"/>
  <c r="AD609" i="9" s="1"/>
  <c r="Y609" i="9"/>
  <c r="X609" i="9"/>
  <c r="S609" i="9"/>
  <c r="T609" i="9" s="1"/>
  <c r="O609" i="9"/>
  <c r="N609" i="9"/>
  <c r="Q609" i="9" s="1"/>
  <c r="S608" i="9"/>
  <c r="T608" i="9" s="1"/>
  <c r="O608" i="9"/>
  <c r="P594" i="9"/>
  <c r="S592" i="9"/>
  <c r="T592" i="9" s="1"/>
  <c r="O592" i="9"/>
  <c r="N592" i="9"/>
  <c r="Q592" i="9" s="1"/>
  <c r="S591" i="9"/>
  <c r="T591" i="9" s="1"/>
  <c r="O591" i="9"/>
  <c r="N591" i="9"/>
  <c r="Q591" i="9" s="1"/>
  <c r="S590" i="9"/>
  <c r="O590" i="9"/>
  <c r="N590" i="9"/>
  <c r="Q590" i="9" s="1"/>
  <c r="S589" i="9"/>
  <c r="T589" i="9" s="1"/>
  <c r="O589" i="9"/>
  <c r="N589" i="9"/>
  <c r="Q589" i="9" s="1"/>
  <c r="S588" i="9"/>
  <c r="T588" i="9" s="1"/>
  <c r="O588" i="9"/>
  <c r="N588" i="9"/>
  <c r="Q588" i="9" s="1"/>
  <c r="S587" i="9"/>
  <c r="T587" i="9" s="1"/>
  <c r="O587" i="9"/>
  <c r="N587" i="9"/>
  <c r="Q587" i="9" s="1"/>
  <c r="S586" i="9"/>
  <c r="T586" i="9" s="1"/>
  <c r="O586" i="9"/>
  <c r="N586" i="9"/>
  <c r="Q586" i="9" s="1"/>
  <c r="S585" i="9"/>
  <c r="T585" i="9" s="1"/>
  <c r="O585" i="9"/>
  <c r="N585" i="9"/>
  <c r="Q585" i="9" s="1"/>
  <c r="S584" i="9"/>
  <c r="T584" i="9" s="1"/>
  <c r="O584" i="9"/>
  <c r="P568" i="9"/>
  <c r="S566" i="9"/>
  <c r="T566" i="9" s="1"/>
  <c r="O566" i="9"/>
  <c r="N566" i="9"/>
  <c r="Q566" i="9" s="1"/>
  <c r="S565" i="9"/>
  <c r="T565" i="9" s="1"/>
  <c r="O565" i="9"/>
  <c r="N565" i="9"/>
  <c r="Q565" i="9" s="1"/>
  <c r="S564" i="9"/>
  <c r="O564" i="9"/>
  <c r="N564" i="9"/>
  <c r="Q564" i="9" s="1"/>
  <c r="S563" i="9"/>
  <c r="T563" i="9" s="1"/>
  <c r="O563" i="9"/>
  <c r="N563" i="9"/>
  <c r="Q563" i="9" s="1"/>
  <c r="S562" i="9"/>
  <c r="T562" i="9" s="1"/>
  <c r="O562" i="9"/>
  <c r="N562" i="9"/>
  <c r="Q562" i="9" s="1"/>
  <c r="S561" i="9"/>
  <c r="T561" i="9" s="1"/>
  <c r="O561" i="9"/>
  <c r="N561" i="9"/>
  <c r="Q561" i="9" s="1"/>
  <c r="S560" i="9"/>
  <c r="T560" i="9" s="1"/>
  <c r="O560" i="9"/>
  <c r="N560" i="9"/>
  <c r="Q560" i="9" s="1"/>
  <c r="S559" i="9"/>
  <c r="T559" i="9" s="1"/>
  <c r="O559" i="9"/>
  <c r="N559" i="9"/>
  <c r="Q559" i="9" s="1"/>
  <c r="S558" i="9"/>
  <c r="T558" i="9" s="1"/>
  <c r="O558" i="9"/>
  <c r="P544" i="9"/>
  <c r="S542" i="9"/>
  <c r="T542" i="9" s="1"/>
  <c r="O542" i="9"/>
  <c r="N542" i="9"/>
  <c r="Q542" i="9" s="1"/>
  <c r="S541" i="9"/>
  <c r="T541" i="9" s="1"/>
  <c r="O541" i="9"/>
  <c r="N541" i="9"/>
  <c r="Q541" i="9" s="1"/>
  <c r="Z540" i="9"/>
  <c r="S540" i="9"/>
  <c r="T540" i="9" s="1"/>
  <c r="O540" i="9"/>
  <c r="N540" i="9"/>
  <c r="Q540" i="9" s="1"/>
  <c r="AC539" i="9"/>
  <c r="AD539" i="9" s="1"/>
  <c r="Y539" i="9"/>
  <c r="X539" i="9"/>
  <c r="AA539" i="9" s="1"/>
  <c r="S539" i="9"/>
  <c r="T539" i="9" s="1"/>
  <c r="O539" i="9"/>
  <c r="N539" i="9"/>
  <c r="Q539" i="9" s="1"/>
  <c r="AC538" i="9"/>
  <c r="AD538" i="9" s="1"/>
  <c r="Y538" i="9"/>
  <c r="X538" i="9"/>
  <c r="AA538" i="9" s="1"/>
  <c r="S538" i="9"/>
  <c r="T538" i="9" s="1"/>
  <c r="O538" i="9"/>
  <c r="N538" i="9"/>
  <c r="Q538" i="9" s="1"/>
  <c r="AC537" i="9"/>
  <c r="AD537" i="9" s="1"/>
  <c r="Y537" i="9"/>
  <c r="X537" i="9"/>
  <c r="AA537" i="9" s="1"/>
  <c r="S537" i="9"/>
  <c r="T537" i="9" s="1"/>
  <c r="AC536" i="9"/>
  <c r="AD536" i="9" s="1"/>
  <c r="Y536" i="9"/>
  <c r="X536" i="9"/>
  <c r="AA536" i="9" s="1"/>
  <c r="S536" i="9"/>
  <c r="T536" i="9" s="1"/>
  <c r="O536" i="9"/>
  <c r="N536" i="9"/>
  <c r="Q536" i="9" s="1"/>
  <c r="AC535" i="9"/>
  <c r="AD535" i="9" s="1"/>
  <c r="Y535" i="9"/>
  <c r="X535" i="9"/>
  <c r="AA535" i="9" s="1"/>
  <c r="S535" i="9"/>
  <c r="T535" i="9" s="1"/>
  <c r="O535" i="9"/>
  <c r="N535" i="9"/>
  <c r="Q535" i="9" s="1"/>
  <c r="AC534" i="9"/>
  <c r="AD534" i="9" s="1"/>
  <c r="Y534" i="9"/>
  <c r="X534" i="9"/>
  <c r="AA534" i="9" s="1"/>
  <c r="S534" i="9"/>
  <c r="T534" i="9" s="1"/>
  <c r="O534" i="9"/>
  <c r="N534" i="9"/>
  <c r="Q534" i="9" s="1"/>
  <c r="S533" i="9"/>
  <c r="T533" i="9" s="1"/>
  <c r="O533" i="9"/>
  <c r="Z518" i="9"/>
  <c r="P518" i="9"/>
  <c r="AC517" i="9"/>
  <c r="AD517" i="9" s="1"/>
  <c r="Y517" i="9"/>
  <c r="X517" i="9"/>
  <c r="AA517" i="9" s="1"/>
  <c r="AC516" i="9"/>
  <c r="AD516" i="9" s="1"/>
  <c r="Y516" i="9"/>
  <c r="X516" i="9"/>
  <c r="AA516" i="9" s="1"/>
  <c r="AC515" i="9"/>
  <c r="Y515" i="9"/>
  <c r="X515" i="9"/>
  <c r="AA515" i="9" s="1"/>
  <c r="S515" i="9"/>
  <c r="T515" i="9" s="1"/>
  <c r="O515" i="9"/>
  <c r="N515" i="9"/>
  <c r="Q515" i="9" s="1"/>
  <c r="AC514" i="9"/>
  <c r="AD514" i="9" s="1"/>
  <c r="Y514" i="9"/>
  <c r="X514" i="9"/>
  <c r="AA514" i="9" s="1"/>
  <c r="S514" i="9"/>
  <c r="T514" i="9" s="1"/>
  <c r="O514" i="9"/>
  <c r="N514" i="9"/>
  <c r="Q514" i="9" s="1"/>
  <c r="AC513" i="9"/>
  <c r="AD513" i="9" s="1"/>
  <c r="Y513" i="9"/>
  <c r="X513" i="9"/>
  <c r="AA513" i="9" s="1"/>
  <c r="S513" i="9"/>
  <c r="T513" i="9" s="1"/>
  <c r="O513" i="9"/>
  <c r="N513" i="9"/>
  <c r="Q513" i="9" s="1"/>
  <c r="AC512" i="9"/>
  <c r="Y512" i="9"/>
  <c r="X512" i="9"/>
  <c r="AA512" i="9" s="1"/>
  <c r="S512" i="9"/>
  <c r="T512" i="9" s="1"/>
  <c r="AC511" i="9"/>
  <c r="AD511" i="9" s="1"/>
  <c r="Y511" i="9"/>
  <c r="X511" i="9"/>
  <c r="AA511" i="9" s="1"/>
  <c r="S511" i="9"/>
  <c r="T511" i="9" s="1"/>
  <c r="O511" i="9"/>
  <c r="N511" i="9"/>
  <c r="Q511" i="9" s="1"/>
  <c r="S510" i="9"/>
  <c r="T510" i="9" s="1"/>
  <c r="O510" i="9"/>
  <c r="P495" i="9"/>
  <c r="S493" i="9"/>
  <c r="T493" i="9" s="1"/>
  <c r="O493" i="9"/>
  <c r="N493" i="9"/>
  <c r="Q493" i="9" s="1"/>
  <c r="S492" i="9"/>
  <c r="T492" i="9" s="1"/>
  <c r="O492" i="9"/>
  <c r="N492" i="9"/>
  <c r="Q492" i="9" s="1"/>
  <c r="S491" i="9"/>
  <c r="T491" i="9" s="1"/>
  <c r="O491" i="9"/>
  <c r="N491" i="9"/>
  <c r="Q491" i="9" s="1"/>
  <c r="S490" i="9"/>
  <c r="T490" i="9" s="1"/>
  <c r="O490" i="9"/>
  <c r="N490" i="9"/>
  <c r="Q490" i="9" s="1"/>
  <c r="S489" i="9"/>
  <c r="T489" i="9" s="1"/>
  <c r="O489" i="9"/>
  <c r="N489" i="9"/>
  <c r="Q489" i="9" s="1"/>
  <c r="S488" i="9"/>
  <c r="T488" i="9" s="1"/>
  <c r="O488" i="9"/>
  <c r="N488" i="9"/>
  <c r="Q488" i="9" s="1"/>
  <c r="S487" i="9"/>
  <c r="T487" i="9" s="1"/>
  <c r="O487" i="9"/>
  <c r="P472" i="9"/>
  <c r="Z469" i="9"/>
  <c r="S469" i="9"/>
  <c r="T469" i="9" s="1"/>
  <c r="O469" i="9"/>
  <c r="N469" i="9"/>
  <c r="Q469" i="9" s="1"/>
  <c r="AC468" i="9"/>
  <c r="AD468" i="9" s="1"/>
  <c r="Y468" i="9"/>
  <c r="X468" i="9"/>
  <c r="AA468" i="9" s="1"/>
  <c r="S468" i="9"/>
  <c r="T468" i="9" s="1"/>
  <c r="O468" i="9"/>
  <c r="N468" i="9"/>
  <c r="Q468" i="9" s="1"/>
  <c r="AC467" i="9"/>
  <c r="AD467" i="9" s="1"/>
  <c r="Y467" i="9"/>
  <c r="X467" i="9"/>
  <c r="AA467" i="9" s="1"/>
  <c r="S467" i="9"/>
  <c r="T467" i="9" s="1"/>
  <c r="O467" i="9"/>
  <c r="AC466" i="9"/>
  <c r="AD466" i="9" s="1"/>
  <c r="Y466" i="9"/>
  <c r="X466" i="9"/>
  <c r="AA466" i="9" s="1"/>
  <c r="S466" i="9"/>
  <c r="T466" i="9" s="1"/>
  <c r="O466" i="9"/>
  <c r="N466" i="9"/>
  <c r="Q466" i="9" s="1"/>
  <c r="AC465" i="9"/>
  <c r="AD465" i="9" s="1"/>
  <c r="Y465" i="9"/>
  <c r="X465" i="9"/>
  <c r="S465" i="9"/>
  <c r="T465" i="9" s="1"/>
  <c r="O465" i="9"/>
  <c r="N465" i="9"/>
  <c r="Q465" i="9" s="1"/>
  <c r="S464" i="9"/>
  <c r="T464" i="9" s="1"/>
  <c r="O464" i="9"/>
  <c r="Z449" i="9"/>
  <c r="P449" i="9"/>
  <c r="AC447" i="9"/>
  <c r="AD447" i="9" s="1"/>
  <c r="Y447" i="9"/>
  <c r="X447" i="9"/>
  <c r="AA447" i="9" s="1"/>
  <c r="AC446" i="9"/>
  <c r="AD446" i="9" s="1"/>
  <c r="Y446" i="9"/>
  <c r="X446" i="9"/>
  <c r="AA446" i="9" s="1"/>
  <c r="S446" i="9"/>
  <c r="T446" i="9" s="1"/>
  <c r="O446" i="9"/>
  <c r="N446" i="9"/>
  <c r="Q446" i="9" s="1"/>
  <c r="AC445" i="9"/>
  <c r="AD445" i="9" s="1"/>
  <c r="Y445" i="9"/>
  <c r="X445" i="9"/>
  <c r="AA445" i="9" s="1"/>
  <c r="S445" i="9"/>
  <c r="O445" i="9"/>
  <c r="N445" i="9"/>
  <c r="Q445" i="9" s="1"/>
  <c r="AC444" i="9"/>
  <c r="AD444" i="9" s="1"/>
  <c r="Y444" i="9"/>
  <c r="X444" i="9"/>
  <c r="AA444" i="9" s="1"/>
  <c r="S444" i="9"/>
  <c r="T444" i="9" s="1"/>
  <c r="AC443" i="9"/>
  <c r="AD443" i="9" s="1"/>
  <c r="Y443" i="9"/>
  <c r="X443" i="9"/>
  <c r="AA443" i="9" s="1"/>
  <c r="S443" i="9"/>
  <c r="T443" i="9" s="1"/>
  <c r="O443" i="9"/>
  <c r="N443" i="9"/>
  <c r="Q443" i="9" s="1"/>
  <c r="AC442" i="9"/>
  <c r="AD442" i="9" s="1"/>
  <c r="Y442" i="9"/>
  <c r="X442" i="9"/>
  <c r="AA442" i="9" s="1"/>
  <c r="S442" i="9"/>
  <c r="T442" i="9" s="1"/>
  <c r="O442" i="9"/>
  <c r="N442" i="9"/>
  <c r="Q442" i="9" s="1"/>
  <c r="S441" i="9"/>
  <c r="T441" i="9" s="1"/>
  <c r="O441" i="9"/>
  <c r="P426" i="9"/>
  <c r="S424" i="9"/>
  <c r="T424" i="9" s="1"/>
  <c r="O424" i="9"/>
  <c r="N424" i="9"/>
  <c r="Q424" i="9" s="1"/>
  <c r="S423" i="9"/>
  <c r="T423" i="9" s="1"/>
  <c r="O423" i="9"/>
  <c r="N423" i="9"/>
  <c r="Q423" i="9" s="1"/>
  <c r="S422" i="9"/>
  <c r="T422" i="9" s="1"/>
  <c r="O422" i="9"/>
  <c r="N422" i="9"/>
  <c r="Q422" i="9" s="1"/>
  <c r="S421" i="9"/>
  <c r="O421" i="9"/>
  <c r="N421" i="9"/>
  <c r="Q421" i="9" s="1"/>
  <c r="S420" i="9"/>
  <c r="T420" i="9" s="1"/>
  <c r="O420" i="9"/>
  <c r="N420" i="9"/>
  <c r="Q420" i="9" s="1"/>
  <c r="S419" i="9"/>
  <c r="T419" i="9" s="1"/>
  <c r="O419" i="9"/>
  <c r="N419" i="9"/>
  <c r="Q419" i="9" s="1"/>
  <c r="S418" i="9"/>
  <c r="T418" i="9" s="1"/>
  <c r="O418" i="9"/>
  <c r="N418" i="9"/>
  <c r="Q418" i="9" s="1"/>
  <c r="S417" i="9"/>
  <c r="T417" i="9" s="1"/>
  <c r="O417" i="9"/>
  <c r="N417" i="9"/>
  <c r="Q417" i="9" s="1"/>
  <c r="S416" i="9"/>
  <c r="T416" i="9" s="1"/>
  <c r="O416" i="9"/>
  <c r="N416" i="9"/>
  <c r="Q416" i="9" s="1"/>
  <c r="S415" i="9"/>
  <c r="T415" i="9" s="1"/>
  <c r="O415" i="9"/>
  <c r="P402" i="9"/>
  <c r="S400" i="9"/>
  <c r="T400" i="9" s="1"/>
  <c r="O400" i="9"/>
  <c r="N400" i="9"/>
  <c r="Q400" i="9" s="1"/>
  <c r="S399" i="9"/>
  <c r="T399" i="9" s="1"/>
  <c r="O399" i="9"/>
  <c r="N399" i="9"/>
  <c r="Q399" i="9" s="1"/>
  <c r="S398" i="9"/>
  <c r="T398" i="9" s="1"/>
  <c r="O398" i="9"/>
  <c r="N398" i="9"/>
  <c r="Q398" i="9" s="1"/>
  <c r="S397" i="9"/>
  <c r="T397" i="9" s="1"/>
  <c r="O397" i="9"/>
  <c r="N397" i="9"/>
  <c r="Q397" i="9" s="1"/>
  <c r="S396" i="9"/>
  <c r="T396" i="9" s="1"/>
  <c r="O396" i="9"/>
  <c r="N396" i="9"/>
  <c r="Q396" i="9" s="1"/>
  <c r="S395" i="9"/>
  <c r="T395" i="9" s="1"/>
  <c r="O395" i="9"/>
  <c r="Q395" i="9"/>
  <c r="S394" i="9"/>
  <c r="T394" i="9" s="1"/>
  <c r="O394" i="9"/>
  <c r="N394" i="9"/>
  <c r="Q394" i="9" s="1"/>
  <c r="S393" i="9"/>
  <c r="T393" i="9" s="1"/>
  <c r="O393" i="9"/>
  <c r="N393" i="9"/>
  <c r="Q393" i="9" s="1"/>
  <c r="S392" i="9"/>
  <c r="T392" i="9" s="1"/>
  <c r="O392" i="9"/>
  <c r="P379" i="9"/>
  <c r="Z377" i="9"/>
  <c r="AC376" i="9"/>
  <c r="AD376" i="9" s="1"/>
  <c r="Y376" i="9"/>
  <c r="X376" i="9"/>
  <c r="AA376" i="9" s="1"/>
  <c r="S376" i="9"/>
  <c r="T376" i="9" s="1"/>
  <c r="AC375" i="9"/>
  <c r="AD375" i="9" s="1"/>
  <c r="Y375" i="9"/>
  <c r="X375" i="9"/>
  <c r="AA375" i="9" s="1"/>
  <c r="S375" i="9"/>
  <c r="T375" i="9" s="1"/>
  <c r="O375" i="9"/>
  <c r="N375" i="9"/>
  <c r="Q375" i="9" s="1"/>
  <c r="AC374" i="9"/>
  <c r="AD374" i="9" s="1"/>
  <c r="Y374" i="9"/>
  <c r="X374" i="9"/>
  <c r="AA374" i="9" s="1"/>
  <c r="S374" i="9"/>
  <c r="T374" i="9" s="1"/>
  <c r="O374" i="9"/>
  <c r="N374" i="9"/>
  <c r="Q374" i="9" s="1"/>
  <c r="AC373" i="9"/>
  <c r="Y373" i="9"/>
  <c r="X373" i="9"/>
  <c r="AA373" i="9" s="1"/>
  <c r="S373" i="9"/>
  <c r="T373" i="9" s="1"/>
  <c r="O373" i="9"/>
  <c r="N373" i="9"/>
  <c r="Q373" i="9" s="1"/>
  <c r="AC372" i="9"/>
  <c r="AD372" i="9" s="1"/>
  <c r="Y372" i="9"/>
  <c r="X372" i="9"/>
  <c r="AA372" i="9" s="1"/>
  <c r="S372" i="9"/>
  <c r="T372" i="9" s="1"/>
  <c r="O372" i="9"/>
  <c r="N372" i="9"/>
  <c r="Q372" i="9" s="1"/>
  <c r="AC371" i="9"/>
  <c r="AD371" i="9" s="1"/>
  <c r="Y371" i="9"/>
  <c r="X371" i="9"/>
  <c r="AA371" i="9" s="1"/>
  <c r="S371" i="9"/>
  <c r="T371" i="9" s="1"/>
  <c r="O371" i="9"/>
  <c r="N371" i="9"/>
  <c r="Q371" i="9" s="1"/>
  <c r="AC370" i="9"/>
  <c r="AD370" i="9" s="1"/>
  <c r="Y370" i="9"/>
  <c r="X370" i="9"/>
  <c r="S370" i="9"/>
  <c r="T370" i="9" s="1"/>
  <c r="O370" i="9"/>
  <c r="N370" i="9"/>
  <c r="Q370" i="9" s="1"/>
  <c r="S369" i="9"/>
  <c r="T369" i="9" s="1"/>
  <c r="O369" i="9"/>
  <c r="P354" i="9"/>
  <c r="S352" i="9"/>
  <c r="T352" i="9" s="1"/>
  <c r="O352" i="9"/>
  <c r="N352" i="9"/>
  <c r="Q352" i="9" s="1"/>
  <c r="S351" i="9"/>
  <c r="T351" i="9" s="1"/>
  <c r="O351" i="9"/>
  <c r="N351" i="9"/>
  <c r="Q351" i="9" s="1"/>
  <c r="S350" i="9"/>
  <c r="T350" i="9" s="1"/>
  <c r="O350" i="9"/>
  <c r="N350" i="9"/>
  <c r="Q350" i="9" s="1"/>
  <c r="S349" i="9"/>
  <c r="O349" i="9"/>
  <c r="N349" i="9"/>
  <c r="Q349" i="9" s="1"/>
  <c r="S348" i="9"/>
  <c r="T348" i="9" s="1"/>
  <c r="O348" i="9"/>
  <c r="N348" i="9"/>
  <c r="Q348" i="9" s="1"/>
  <c r="S347" i="9"/>
  <c r="O347" i="9"/>
  <c r="N347" i="9"/>
  <c r="Q347" i="9" s="1"/>
  <c r="S346" i="9"/>
  <c r="T346" i="9" s="1"/>
  <c r="O346" i="9"/>
  <c r="P331" i="9"/>
  <c r="Z329" i="9"/>
  <c r="AC328" i="9"/>
  <c r="AD328" i="9" s="1"/>
  <c r="Y328" i="9"/>
  <c r="X328" i="9"/>
  <c r="AA328" i="9" s="1"/>
  <c r="S328" i="9"/>
  <c r="T328" i="9" s="1"/>
  <c r="O328" i="9"/>
  <c r="N328" i="9"/>
  <c r="Q328" i="9" s="1"/>
  <c r="AC327" i="9"/>
  <c r="AD327" i="9" s="1"/>
  <c r="Y327" i="9"/>
  <c r="X327" i="9"/>
  <c r="AA327" i="9" s="1"/>
  <c r="S327" i="9"/>
  <c r="T327" i="9" s="1"/>
  <c r="AC326" i="9"/>
  <c r="AD326" i="9" s="1"/>
  <c r="Y326" i="9"/>
  <c r="X326" i="9"/>
  <c r="AA326" i="9" s="1"/>
  <c r="S326" i="9"/>
  <c r="T326" i="9" s="1"/>
  <c r="O326" i="9"/>
  <c r="N326" i="9"/>
  <c r="Q326" i="9" s="1"/>
  <c r="AC325" i="9"/>
  <c r="AD325" i="9" s="1"/>
  <c r="Y325" i="9"/>
  <c r="X325" i="9"/>
  <c r="AA325" i="9" s="1"/>
  <c r="S325" i="9"/>
  <c r="T325" i="9" s="1"/>
  <c r="O325" i="9"/>
  <c r="N325" i="9"/>
  <c r="Q325" i="9" s="1"/>
  <c r="AC324" i="9"/>
  <c r="AD324" i="9" s="1"/>
  <c r="Y324" i="9"/>
  <c r="X324" i="9"/>
  <c r="S324" i="9"/>
  <c r="T324" i="9" s="1"/>
  <c r="O324" i="9"/>
  <c r="N324" i="9"/>
  <c r="Q324" i="9" s="1"/>
  <c r="S323" i="9"/>
  <c r="T323" i="9" s="1"/>
  <c r="O323" i="9"/>
  <c r="P309" i="9"/>
  <c r="Z308" i="9"/>
  <c r="S308" i="9"/>
  <c r="AC307" i="9"/>
  <c r="AD307" i="9" s="1"/>
  <c r="Y307" i="9"/>
  <c r="X307" i="9"/>
  <c r="AA307" i="9" s="1"/>
  <c r="S307" i="9"/>
  <c r="O307" i="9"/>
  <c r="N307" i="9"/>
  <c r="Q307" i="9" s="1"/>
  <c r="AC306" i="9"/>
  <c r="AD306" i="9" s="1"/>
  <c r="Y306" i="9"/>
  <c r="X306" i="9"/>
  <c r="AA306" i="9" s="1"/>
  <c r="S306" i="9"/>
  <c r="T306" i="9" s="1"/>
  <c r="O306" i="9"/>
  <c r="N306" i="9"/>
  <c r="Q306" i="9" s="1"/>
  <c r="AC305" i="9"/>
  <c r="AD305" i="9" s="1"/>
  <c r="Y305" i="9"/>
  <c r="X305" i="9"/>
  <c r="AA305" i="9" s="1"/>
  <c r="S305" i="9"/>
  <c r="T305" i="9" s="1"/>
  <c r="O305" i="9"/>
  <c r="N305" i="9"/>
  <c r="Q305" i="9" s="1"/>
  <c r="AC304" i="9"/>
  <c r="AD304" i="9" s="1"/>
  <c r="Y304" i="9"/>
  <c r="X304" i="9"/>
  <c r="AA304" i="9" s="1"/>
  <c r="S304" i="9"/>
  <c r="T304" i="9" s="1"/>
  <c r="AC303" i="9"/>
  <c r="AD303" i="9" s="1"/>
  <c r="Y303" i="9"/>
  <c r="X303" i="9"/>
  <c r="AA303" i="9" s="1"/>
  <c r="S303" i="9"/>
  <c r="T303" i="9" s="1"/>
  <c r="O303" i="9"/>
  <c r="N303" i="9"/>
  <c r="Q303" i="9" s="1"/>
  <c r="AC302" i="9"/>
  <c r="AD302" i="9" s="1"/>
  <c r="Y302" i="9"/>
  <c r="X302" i="9"/>
  <c r="AA302" i="9" s="1"/>
  <c r="S302" i="9"/>
  <c r="T302" i="9" s="1"/>
  <c r="O302" i="9"/>
  <c r="N302" i="9"/>
  <c r="Q302" i="9" s="1"/>
  <c r="AC301" i="9"/>
  <c r="AD301" i="9" s="1"/>
  <c r="Y301" i="9"/>
  <c r="X301" i="9"/>
  <c r="S301" i="9"/>
  <c r="T301" i="9" s="1"/>
  <c r="O301" i="9"/>
  <c r="N301" i="9"/>
  <c r="Q301" i="9" s="1"/>
  <c r="S300" i="9"/>
  <c r="T300" i="9" s="1"/>
  <c r="O300" i="9"/>
  <c r="Z284" i="9"/>
  <c r="AC283" i="9"/>
  <c r="Y283" i="9"/>
  <c r="X283" i="9"/>
  <c r="AA283" i="9" s="1"/>
  <c r="AC282" i="9"/>
  <c r="AD282" i="9" s="1"/>
  <c r="Y282" i="9"/>
  <c r="X282" i="9"/>
  <c r="AA282" i="9" s="1"/>
  <c r="P282" i="9"/>
  <c r="AC281" i="9"/>
  <c r="Y281" i="9"/>
  <c r="X281" i="9"/>
  <c r="AA281" i="9" s="1"/>
  <c r="AC280" i="9"/>
  <c r="AD280" i="9" s="1"/>
  <c r="Y280" i="9"/>
  <c r="X280" i="9"/>
  <c r="AA280" i="9" s="1"/>
  <c r="AC279" i="9"/>
  <c r="AD279" i="9" s="1"/>
  <c r="Y279" i="9"/>
  <c r="X279" i="9"/>
  <c r="AA279" i="9" s="1"/>
  <c r="S279" i="9"/>
  <c r="T279" i="9" s="1"/>
  <c r="O279" i="9"/>
  <c r="N279" i="9"/>
  <c r="Q279" i="9" s="1"/>
  <c r="AC278" i="9"/>
  <c r="AD278" i="9" s="1"/>
  <c r="Y278" i="9"/>
  <c r="X278" i="9"/>
  <c r="AA278" i="9" s="1"/>
  <c r="S278" i="9"/>
  <c r="T278" i="9" s="1"/>
  <c r="AC277" i="9"/>
  <c r="AD277" i="9" s="1"/>
  <c r="Y277" i="9"/>
  <c r="X277" i="9"/>
  <c r="AA277" i="9" s="1"/>
  <c r="S277" i="9"/>
  <c r="O277" i="9"/>
  <c r="N277" i="9"/>
  <c r="Q277" i="9" s="1"/>
  <c r="AC276" i="9"/>
  <c r="AD276" i="9" s="1"/>
  <c r="Y276" i="9"/>
  <c r="X276" i="9"/>
  <c r="AA276" i="9" s="1"/>
  <c r="S276" i="9"/>
  <c r="T276" i="9" s="1"/>
  <c r="O276" i="9"/>
  <c r="N276" i="9"/>
  <c r="Q276" i="9" s="1"/>
  <c r="AC275" i="9"/>
  <c r="AD275" i="9" s="1"/>
  <c r="Y275" i="9"/>
  <c r="X275" i="9"/>
  <c r="S275" i="9"/>
  <c r="O275" i="9"/>
  <c r="N275" i="9"/>
  <c r="Q275" i="9" s="1"/>
  <c r="S274" i="9"/>
  <c r="T274" i="9" s="1"/>
  <c r="O274" i="9"/>
  <c r="P260" i="9"/>
  <c r="Z258" i="9"/>
  <c r="S258" i="9"/>
  <c r="T258" i="9" s="1"/>
  <c r="O258" i="9"/>
  <c r="N258" i="9"/>
  <c r="Q258" i="9" s="1"/>
  <c r="AC257" i="9"/>
  <c r="AD257" i="9" s="1"/>
  <c r="Y257" i="9"/>
  <c r="X257" i="9"/>
  <c r="AA257" i="9" s="1"/>
  <c r="S257" i="9"/>
  <c r="T257" i="9" s="1"/>
  <c r="AC256" i="9"/>
  <c r="AD256" i="9" s="1"/>
  <c r="Y256" i="9"/>
  <c r="X256" i="9"/>
  <c r="AA256" i="9" s="1"/>
  <c r="S256" i="9"/>
  <c r="T256" i="9" s="1"/>
  <c r="O256" i="9"/>
  <c r="N256" i="9"/>
  <c r="Q256" i="9" s="1"/>
  <c r="AC255" i="9"/>
  <c r="AD255" i="9" s="1"/>
  <c r="Y255" i="9"/>
  <c r="X255" i="9"/>
  <c r="AA255" i="9" s="1"/>
  <c r="S255" i="9"/>
  <c r="T255" i="9" s="1"/>
  <c r="O255" i="9"/>
  <c r="N255" i="9"/>
  <c r="Q255" i="9" s="1"/>
  <c r="AC254" i="9"/>
  <c r="AD254" i="9" s="1"/>
  <c r="Y254" i="9"/>
  <c r="X254" i="9"/>
  <c r="AA254" i="9" s="1"/>
  <c r="S254" i="9"/>
  <c r="T254" i="9" s="1"/>
  <c r="O254" i="9"/>
  <c r="N254" i="9"/>
  <c r="Q254" i="9" s="1"/>
  <c r="AC253" i="9"/>
  <c r="AD253" i="9" s="1"/>
  <c r="Y253" i="9"/>
  <c r="X253" i="9"/>
  <c r="AA253" i="9" s="1"/>
  <c r="S253" i="9"/>
  <c r="T253" i="9" s="1"/>
  <c r="O253" i="9"/>
  <c r="N253" i="9"/>
  <c r="Q253" i="9" s="1"/>
  <c r="AC252" i="9"/>
  <c r="AD252" i="9" s="1"/>
  <c r="Y252" i="9"/>
  <c r="X252" i="9"/>
  <c r="AA252" i="9" s="1"/>
  <c r="S252" i="9"/>
  <c r="T252" i="9" s="1"/>
  <c r="O252" i="9"/>
  <c r="N252" i="9"/>
  <c r="Q252" i="9" s="1"/>
  <c r="S251" i="9"/>
  <c r="T251" i="9" s="1"/>
  <c r="O251" i="9"/>
  <c r="Z236" i="9"/>
  <c r="P236" i="9"/>
  <c r="AC235" i="9"/>
  <c r="AD235" i="9" s="1"/>
  <c r="Y235" i="9"/>
  <c r="X235" i="9"/>
  <c r="AA235" i="9" s="1"/>
  <c r="AC234" i="9"/>
  <c r="AD234" i="9" s="1"/>
  <c r="Y234" i="9"/>
  <c r="X234" i="9"/>
  <c r="AA234" i="9" s="1"/>
  <c r="AC233" i="9"/>
  <c r="AD233" i="9" s="1"/>
  <c r="Y233" i="9"/>
  <c r="X233" i="9"/>
  <c r="AA233" i="9" s="1"/>
  <c r="S233" i="9"/>
  <c r="T233" i="9" s="1"/>
  <c r="O233" i="9"/>
  <c r="N233" i="9"/>
  <c r="Q233" i="9" s="1"/>
  <c r="AC232" i="9"/>
  <c r="AD232" i="9" s="1"/>
  <c r="Y232" i="9"/>
  <c r="X232" i="9"/>
  <c r="AA232" i="9" s="1"/>
  <c r="S232" i="9"/>
  <c r="T232" i="9" s="1"/>
  <c r="O232" i="9"/>
  <c r="N232" i="9"/>
  <c r="Q232" i="9" s="1"/>
  <c r="AC231" i="9"/>
  <c r="AD231" i="9" s="1"/>
  <c r="Y231" i="9"/>
  <c r="X231" i="9"/>
  <c r="S231" i="9"/>
  <c r="T231" i="9" s="1"/>
  <c r="O231" i="9"/>
  <c r="N231" i="9"/>
  <c r="Q231" i="9" s="1"/>
  <c r="AC230" i="9"/>
  <c r="Y230" i="9"/>
  <c r="X230" i="9"/>
  <c r="AA230" i="9" s="1"/>
  <c r="S230" i="9"/>
  <c r="T230" i="9" s="1"/>
  <c r="AC229" i="9"/>
  <c r="AD229" i="9" s="1"/>
  <c r="Y229" i="9"/>
  <c r="X229" i="9"/>
  <c r="AA229" i="9" s="1"/>
  <c r="S229" i="9"/>
  <c r="T229" i="9" s="1"/>
  <c r="O229" i="9"/>
  <c r="N229" i="9"/>
  <c r="Q229" i="9" s="1"/>
  <c r="S228" i="9"/>
  <c r="T228" i="9" s="1"/>
  <c r="O228" i="9"/>
  <c r="Z214" i="9"/>
  <c r="AC213" i="9"/>
  <c r="AD213" i="9" s="1"/>
  <c r="Y213" i="9"/>
  <c r="X213" i="9"/>
  <c r="AA213" i="9" s="1"/>
  <c r="AC212" i="9"/>
  <c r="AD212" i="9" s="1"/>
  <c r="Y212" i="9"/>
  <c r="X212" i="9"/>
  <c r="AA212" i="9" s="1"/>
  <c r="AC211" i="9"/>
  <c r="AD211" i="9" s="1"/>
  <c r="Y211" i="9"/>
  <c r="X211" i="9"/>
  <c r="AA211" i="9" s="1"/>
  <c r="AC210" i="9"/>
  <c r="AD210" i="9" s="1"/>
  <c r="Y210" i="9"/>
  <c r="X210" i="9"/>
  <c r="AA210" i="9" s="1"/>
  <c r="AC209" i="9"/>
  <c r="AD209" i="9" s="1"/>
  <c r="Y209" i="9"/>
  <c r="X209" i="9"/>
  <c r="AA209" i="9" s="1"/>
  <c r="AC208" i="9"/>
  <c r="AD208" i="9" s="1"/>
  <c r="Y208" i="9"/>
  <c r="X208" i="9"/>
  <c r="AA208" i="9" s="1"/>
  <c r="AC207" i="9"/>
  <c r="AD207" i="9" s="1"/>
  <c r="Y207" i="9"/>
  <c r="X207" i="9"/>
  <c r="AA207" i="9" s="1"/>
  <c r="AC206" i="9"/>
  <c r="AD206" i="9" s="1"/>
  <c r="Y206" i="9"/>
  <c r="X206" i="9"/>
  <c r="AA206" i="9" s="1"/>
  <c r="AC205" i="9"/>
  <c r="AD205" i="9" s="1"/>
  <c r="Y205" i="9"/>
  <c r="X205" i="9"/>
  <c r="AA205" i="9" s="1"/>
  <c r="AC204" i="9"/>
  <c r="Y204" i="9"/>
  <c r="X204" i="9"/>
  <c r="AA204" i="9" s="1"/>
  <c r="S204" i="9"/>
  <c r="T204" i="9" s="1"/>
  <c r="O204" i="9"/>
  <c r="N204" i="9"/>
  <c r="Q204" i="9" s="1"/>
  <c r="AC203" i="9"/>
  <c r="AD203" i="9" s="1"/>
  <c r="Y203" i="9"/>
  <c r="X203" i="9"/>
  <c r="AA203" i="9" s="1"/>
  <c r="S203" i="9"/>
  <c r="T203" i="9" s="1"/>
  <c r="AC202" i="9"/>
  <c r="AD202" i="9" s="1"/>
  <c r="Y202" i="9"/>
  <c r="X202" i="9"/>
  <c r="AA202" i="9" s="1"/>
  <c r="S202" i="9"/>
  <c r="T202" i="9" s="1"/>
  <c r="O202" i="9"/>
  <c r="N202" i="9"/>
  <c r="Q202" i="9" s="1"/>
  <c r="S201" i="9"/>
  <c r="T201" i="9" s="1"/>
  <c r="O201" i="9"/>
  <c r="Z187" i="9"/>
  <c r="AC186" i="9"/>
  <c r="AD186" i="9" s="1"/>
  <c r="Y186" i="9"/>
  <c r="X186" i="9"/>
  <c r="AA186" i="9" s="1"/>
  <c r="AC185" i="9"/>
  <c r="AD185" i="9" s="1"/>
  <c r="Y185" i="9"/>
  <c r="X185" i="9"/>
  <c r="AA185" i="9" s="1"/>
  <c r="P185" i="9"/>
  <c r="AC184" i="9"/>
  <c r="AD184" i="9" s="1"/>
  <c r="Y184" i="9"/>
  <c r="X184" i="9"/>
  <c r="AA184" i="9" s="1"/>
  <c r="AC183" i="9"/>
  <c r="AD183" i="9" s="1"/>
  <c r="Y183" i="9"/>
  <c r="X183" i="9"/>
  <c r="AA183" i="9" s="1"/>
  <c r="AC182" i="9"/>
  <c r="AD182" i="9" s="1"/>
  <c r="Y182" i="9"/>
  <c r="X182" i="9"/>
  <c r="S182" i="9"/>
  <c r="O182" i="9"/>
  <c r="N182" i="9"/>
  <c r="Q182" i="9" s="1"/>
  <c r="AC181" i="9"/>
  <c r="AD181" i="9" s="1"/>
  <c r="Y181" i="9"/>
  <c r="X181" i="9"/>
  <c r="AA181" i="9" s="1"/>
  <c r="S181" i="9"/>
  <c r="T181" i="9" s="1"/>
  <c r="AC180" i="9"/>
  <c r="Y180" i="9"/>
  <c r="X180" i="9"/>
  <c r="AA180" i="9" s="1"/>
  <c r="S180" i="9"/>
  <c r="T180" i="9" s="1"/>
  <c r="O180" i="9"/>
  <c r="N180" i="9"/>
  <c r="Q180" i="9" s="1"/>
  <c r="AC179" i="9"/>
  <c r="AD179" i="9" s="1"/>
  <c r="Y179" i="9"/>
  <c r="X179" i="9"/>
  <c r="AA179" i="9" s="1"/>
  <c r="S179" i="9"/>
  <c r="T179" i="9" s="1"/>
  <c r="O179" i="9"/>
  <c r="N179" i="9"/>
  <c r="Q179" i="9" s="1"/>
  <c r="AC178" i="9"/>
  <c r="AD178" i="9" s="1"/>
  <c r="Y178" i="9"/>
  <c r="X178" i="9"/>
  <c r="AA178" i="9" s="1"/>
  <c r="S178" i="9"/>
  <c r="T178" i="9" s="1"/>
  <c r="O178" i="9"/>
  <c r="N178" i="9"/>
  <c r="Q178" i="9" s="1"/>
  <c r="S177" i="9"/>
  <c r="T177" i="9" s="1"/>
  <c r="O177" i="9"/>
  <c r="P162" i="9"/>
  <c r="Z160" i="9"/>
  <c r="AC159" i="9"/>
  <c r="AD159" i="9" s="1"/>
  <c r="Y159" i="9"/>
  <c r="X159" i="9"/>
  <c r="AA159" i="9" s="1"/>
  <c r="AC158" i="9"/>
  <c r="AD158" i="9" s="1"/>
  <c r="Y158" i="9"/>
  <c r="X158" i="9"/>
  <c r="AA158" i="9" s="1"/>
  <c r="S158" i="9"/>
  <c r="T158" i="9" s="1"/>
  <c r="O158" i="9"/>
  <c r="N158" i="9"/>
  <c r="Q158" i="9" s="1"/>
  <c r="AC157" i="9"/>
  <c r="AD157" i="9" s="1"/>
  <c r="Y157" i="9"/>
  <c r="X157" i="9"/>
  <c r="AA157" i="9" s="1"/>
  <c r="S157" i="9"/>
  <c r="T157" i="9" s="1"/>
  <c r="O157" i="9"/>
  <c r="N157" i="9"/>
  <c r="Q157" i="9" s="1"/>
  <c r="AC156" i="9"/>
  <c r="AD156" i="9" s="1"/>
  <c r="Y156" i="9"/>
  <c r="X156" i="9"/>
  <c r="AA156" i="9" s="1"/>
  <c r="S156" i="9"/>
  <c r="T156" i="9" s="1"/>
  <c r="AC155" i="9"/>
  <c r="AD155" i="9" s="1"/>
  <c r="Y155" i="9"/>
  <c r="X155" i="9"/>
  <c r="S155" i="9"/>
  <c r="T155" i="9" s="1"/>
  <c r="O155" i="9"/>
  <c r="N155" i="9"/>
  <c r="Q155" i="9" s="1"/>
  <c r="S154" i="9"/>
  <c r="T154" i="9" s="1"/>
  <c r="O154" i="9"/>
  <c r="Z139" i="9"/>
  <c r="P139" i="9"/>
  <c r="AC137" i="9"/>
  <c r="AD137" i="9" s="1"/>
  <c r="Y137" i="9"/>
  <c r="X137" i="9"/>
  <c r="AA137" i="9" s="1"/>
  <c r="S137" i="9"/>
  <c r="T137" i="9" s="1"/>
  <c r="O137" i="9"/>
  <c r="N137" i="9"/>
  <c r="Q137" i="9" s="1"/>
  <c r="AC136" i="9"/>
  <c r="AD136" i="9" s="1"/>
  <c r="Y136" i="9"/>
  <c r="X136" i="9"/>
  <c r="AA136" i="9" s="1"/>
  <c r="S136" i="9"/>
  <c r="T136" i="9" s="1"/>
  <c r="AC135" i="9"/>
  <c r="AD135" i="9" s="1"/>
  <c r="Y135" i="9"/>
  <c r="X135" i="9"/>
  <c r="AA135" i="9" s="1"/>
  <c r="S135" i="9"/>
  <c r="T135" i="9" s="1"/>
  <c r="O135" i="9"/>
  <c r="N135" i="9"/>
  <c r="Q135" i="9" s="1"/>
  <c r="AC134" i="9"/>
  <c r="AD134" i="9" s="1"/>
  <c r="Y134" i="9"/>
  <c r="X134" i="9"/>
  <c r="AA134" i="9" s="1"/>
  <c r="S134" i="9"/>
  <c r="T134" i="9" s="1"/>
  <c r="O134" i="9"/>
  <c r="N134" i="9"/>
  <c r="Q134" i="9" s="1"/>
  <c r="AC133" i="9"/>
  <c r="AD133" i="9" s="1"/>
  <c r="Y133" i="9"/>
  <c r="X133" i="9"/>
  <c r="AA133" i="9" s="1"/>
  <c r="S133" i="9"/>
  <c r="T133" i="9" s="1"/>
  <c r="O133" i="9"/>
  <c r="N133" i="9"/>
  <c r="Q133" i="9" s="1"/>
  <c r="AC132" i="9"/>
  <c r="AD132" i="9" s="1"/>
  <c r="Y132" i="9"/>
  <c r="X132" i="9"/>
  <c r="AA132" i="9" s="1"/>
  <c r="S132" i="9"/>
  <c r="T132" i="9" s="1"/>
  <c r="O132" i="9"/>
  <c r="N132" i="9"/>
  <c r="Q132" i="9" s="1"/>
  <c r="S131" i="9"/>
  <c r="T131" i="9" s="1"/>
  <c r="O131" i="9"/>
  <c r="Z116" i="9"/>
  <c r="P116" i="9"/>
  <c r="AC115" i="9"/>
  <c r="AD115" i="9" s="1"/>
  <c r="Y115" i="9"/>
  <c r="X115" i="9"/>
  <c r="AA115" i="9" s="1"/>
  <c r="AC114" i="9"/>
  <c r="Y114" i="9"/>
  <c r="X114" i="9"/>
  <c r="AA114" i="9" s="1"/>
  <c r="AC113" i="9"/>
  <c r="AD113" i="9" s="1"/>
  <c r="Y113" i="9"/>
  <c r="X113" i="9"/>
  <c r="AA113" i="9" s="1"/>
  <c r="S113" i="9"/>
  <c r="T113" i="9" s="1"/>
  <c r="O113" i="9"/>
  <c r="N113" i="9"/>
  <c r="Q113" i="9" s="1"/>
  <c r="AC112" i="9"/>
  <c r="AD112" i="9" s="1"/>
  <c r="Y112" i="9"/>
  <c r="X112" i="9"/>
  <c r="AA112" i="9" s="1"/>
  <c r="S112" i="9"/>
  <c r="T112" i="9" s="1"/>
  <c r="AC111" i="9"/>
  <c r="AD111" i="9" s="1"/>
  <c r="Y111" i="9"/>
  <c r="X111" i="9"/>
  <c r="AA111" i="9" s="1"/>
  <c r="S111" i="9"/>
  <c r="T111" i="9" s="1"/>
  <c r="O111" i="9"/>
  <c r="N111" i="9"/>
  <c r="Q111" i="9" s="1"/>
  <c r="AC110" i="9"/>
  <c r="AD110" i="9" s="1"/>
  <c r="Y110" i="9"/>
  <c r="X110" i="9"/>
  <c r="AA110" i="9" s="1"/>
  <c r="S110" i="9"/>
  <c r="T110" i="9" s="1"/>
  <c r="O110" i="9"/>
  <c r="N110" i="9"/>
  <c r="Q110" i="9" s="1"/>
  <c r="AC109" i="9"/>
  <c r="AD109" i="9" s="1"/>
  <c r="Y109" i="9"/>
  <c r="X109" i="9"/>
  <c r="AA109" i="9" s="1"/>
  <c r="S109" i="9"/>
  <c r="T109" i="9" s="1"/>
  <c r="O109" i="9"/>
  <c r="N109" i="9"/>
  <c r="Q109" i="9" s="1"/>
  <c r="S108" i="9"/>
  <c r="T108" i="9" s="1"/>
  <c r="O108" i="9"/>
  <c r="P93" i="9"/>
  <c r="Z91" i="9"/>
  <c r="AC90" i="9"/>
  <c r="Y90" i="9"/>
  <c r="X90" i="9"/>
  <c r="AA90" i="9" s="1"/>
  <c r="AC89" i="9"/>
  <c r="AD89" i="9" s="1"/>
  <c r="Y89" i="9"/>
  <c r="X89" i="9"/>
  <c r="AA89" i="9" s="1"/>
  <c r="S89" i="9"/>
  <c r="T89" i="9" s="1"/>
  <c r="O89" i="9"/>
  <c r="N89" i="9"/>
  <c r="Q89" i="9" s="1"/>
  <c r="AC88" i="9"/>
  <c r="AD88" i="9" s="1"/>
  <c r="Y88" i="9"/>
  <c r="X88" i="9"/>
  <c r="AA88" i="9" s="1"/>
  <c r="S88" i="9"/>
  <c r="T88" i="9" s="1"/>
  <c r="AC87" i="9"/>
  <c r="AD87" i="9" s="1"/>
  <c r="Y87" i="9"/>
  <c r="X87" i="9"/>
  <c r="AA87" i="9" s="1"/>
  <c r="S87" i="9"/>
  <c r="T87" i="9" s="1"/>
  <c r="O87" i="9"/>
  <c r="N87" i="9"/>
  <c r="Q87" i="9" s="1"/>
  <c r="AC86" i="9"/>
  <c r="Y86" i="9"/>
  <c r="X86" i="9"/>
  <c r="AA86" i="9" s="1"/>
  <c r="S86" i="9"/>
  <c r="T86" i="9" s="1"/>
  <c r="O86" i="9"/>
  <c r="N86" i="9"/>
  <c r="Q86" i="9" s="1"/>
  <c r="S85" i="9"/>
  <c r="T85" i="9" s="1"/>
  <c r="O85" i="9"/>
  <c r="Z70" i="9"/>
  <c r="P70" i="9"/>
  <c r="AC69" i="9"/>
  <c r="AD69" i="9" s="1"/>
  <c r="Y69" i="9"/>
  <c r="X69" i="9"/>
  <c r="AA69" i="9" s="1"/>
  <c r="AC68" i="9"/>
  <c r="AD68" i="9" s="1"/>
  <c r="Y68" i="9"/>
  <c r="X68" i="9"/>
  <c r="AA68" i="9" s="1"/>
  <c r="AC67" i="9"/>
  <c r="AD67" i="9" s="1"/>
  <c r="Y67" i="9"/>
  <c r="X67" i="9"/>
  <c r="AA67" i="9" s="1"/>
  <c r="S67" i="9"/>
  <c r="T67" i="9" s="1"/>
  <c r="O67" i="9"/>
  <c r="N67" i="9"/>
  <c r="Q67" i="9" s="1"/>
  <c r="AC66" i="9"/>
  <c r="AD66" i="9" s="1"/>
  <c r="Y66" i="9"/>
  <c r="X66" i="9"/>
  <c r="AA66" i="9" s="1"/>
  <c r="S66" i="9"/>
  <c r="T66" i="9" s="1"/>
  <c r="AC65" i="9"/>
  <c r="AD65" i="9" s="1"/>
  <c r="Y65" i="9"/>
  <c r="X65" i="9"/>
  <c r="AA65" i="9" s="1"/>
  <c r="S65" i="9"/>
  <c r="T65" i="9" s="1"/>
  <c r="O65" i="9"/>
  <c r="N65" i="9"/>
  <c r="Q65" i="9" s="1"/>
  <c r="AC64" i="9"/>
  <c r="AD64" i="9" s="1"/>
  <c r="Y64" i="9"/>
  <c r="X64" i="9"/>
  <c r="S64" i="9"/>
  <c r="T64" i="9" s="1"/>
  <c r="O64" i="9"/>
  <c r="N64" i="9"/>
  <c r="Q64" i="9" s="1"/>
  <c r="AC63" i="9"/>
  <c r="AD63" i="9" s="1"/>
  <c r="Y63" i="9"/>
  <c r="X63" i="9"/>
  <c r="AA63" i="9" s="1"/>
  <c r="S63" i="9"/>
  <c r="T63" i="9" s="1"/>
  <c r="O63" i="9"/>
  <c r="N63" i="9"/>
  <c r="Q63" i="9" s="1"/>
  <c r="S62" i="9"/>
  <c r="T62" i="9" s="1"/>
  <c r="O62" i="9"/>
  <c r="BG45" i="9"/>
  <c r="BH45" i="9" s="1"/>
  <c r="BC45" i="9"/>
  <c r="BB45" i="9"/>
  <c r="BE45" i="9" s="1"/>
  <c r="BG44" i="9"/>
  <c r="BH44" i="9" s="1"/>
  <c r="BC44" i="9"/>
  <c r="BB44" i="9"/>
  <c r="BE44" i="9" s="1"/>
  <c r="AW44" i="9"/>
  <c r="AX44" i="9" s="1"/>
  <c r="AS44" i="9"/>
  <c r="AR44" i="9"/>
  <c r="AU44" i="9" s="1"/>
  <c r="AM44" i="9"/>
  <c r="AN44" i="9" s="1"/>
  <c r="AI44" i="9"/>
  <c r="AH44" i="9"/>
  <c r="AK44" i="9" s="1"/>
  <c r="I44" i="9"/>
  <c r="J44" i="9" s="1"/>
  <c r="E44" i="9"/>
  <c r="D44" i="9"/>
  <c r="G44" i="9" s="1"/>
  <c r="BG43" i="9"/>
  <c r="BH43" i="9" s="1"/>
  <c r="BC43" i="9"/>
  <c r="BB43" i="9"/>
  <c r="BE43" i="9" s="1"/>
  <c r="AW43" i="9"/>
  <c r="AX43" i="9" s="1"/>
  <c r="AS43" i="9"/>
  <c r="AR43" i="9"/>
  <c r="AU43" i="9" s="1"/>
  <c r="AM43" i="9"/>
  <c r="AN43" i="9" s="1"/>
  <c r="AI43" i="9"/>
  <c r="AH43" i="9"/>
  <c r="AK43" i="9" s="1"/>
  <c r="AC43" i="9"/>
  <c r="AD43" i="9" s="1"/>
  <c r="Y43" i="9"/>
  <c r="X43" i="9"/>
  <c r="AA43" i="9" s="1"/>
  <c r="S43" i="9"/>
  <c r="T43" i="9" s="1"/>
  <c r="O43" i="9"/>
  <c r="N43" i="9"/>
  <c r="Q43" i="9" s="1"/>
  <c r="I43" i="9"/>
  <c r="J43" i="9" s="1"/>
  <c r="E43" i="9"/>
  <c r="D43" i="9"/>
  <c r="G43" i="9" s="1"/>
  <c r="BG42" i="9"/>
  <c r="BH42" i="9" s="1"/>
  <c r="BC42" i="9"/>
  <c r="BB42" i="9"/>
  <c r="BE42" i="9" s="1"/>
  <c r="AV42" i="9"/>
  <c r="AW42" i="9" s="1"/>
  <c r="AX42" i="9" s="1"/>
  <c r="AS42" i="9"/>
  <c r="AR42" i="9"/>
  <c r="AU42" i="9" s="1"/>
  <c r="AL42" i="9"/>
  <c r="AM42" i="9" s="1"/>
  <c r="AN42" i="9" s="1"/>
  <c r="AI42" i="9"/>
  <c r="AH42" i="9"/>
  <c r="AK42" i="9" s="1"/>
  <c r="AC42" i="9"/>
  <c r="AD42" i="9" s="1"/>
  <c r="Y42" i="9"/>
  <c r="X42" i="9"/>
  <c r="AA42" i="9" s="1"/>
  <c r="S42" i="9"/>
  <c r="T42" i="9" s="1"/>
  <c r="O42" i="9"/>
  <c r="N42" i="9"/>
  <c r="Q42" i="9" s="1"/>
  <c r="I42" i="9"/>
  <c r="J42" i="9" s="1"/>
  <c r="E42" i="9"/>
  <c r="D42" i="9"/>
  <c r="G42" i="9" s="1"/>
  <c r="BG41" i="9"/>
  <c r="BH41" i="9" s="1"/>
  <c r="BC41" i="9"/>
  <c r="BB41" i="9"/>
  <c r="BE41" i="9" s="1"/>
  <c r="AW41" i="9"/>
  <c r="AX41" i="9" s="1"/>
  <c r="AS41" i="9"/>
  <c r="AR41" i="9"/>
  <c r="AU41" i="9" s="1"/>
  <c r="AM41" i="9"/>
  <c r="AN41" i="9" s="1"/>
  <c r="AI41" i="9"/>
  <c r="AH41" i="9"/>
  <c r="AK41" i="9" s="1"/>
  <c r="AC41" i="9"/>
  <c r="AD41" i="9" s="1"/>
  <c r="Y41" i="9"/>
  <c r="X41" i="9"/>
  <c r="AA41" i="9" s="1"/>
  <c r="S41" i="9"/>
  <c r="T41" i="9" s="1"/>
  <c r="O41" i="9"/>
  <c r="N41" i="9"/>
  <c r="Q41" i="9" s="1"/>
  <c r="I41" i="9"/>
  <c r="J41" i="9" s="1"/>
  <c r="E41" i="9"/>
  <c r="D41" i="9"/>
  <c r="G41" i="9" s="1"/>
  <c r="M19" i="9"/>
  <c r="S18" i="9"/>
  <c r="Y5" i="9"/>
  <c r="U23" i="11"/>
  <c r="R23" i="11"/>
  <c r="O23" i="11"/>
  <c r="L23" i="11"/>
  <c r="I23" i="11"/>
  <c r="F23" i="11"/>
  <c r="C23" i="11"/>
  <c r="U20" i="11"/>
  <c r="R20" i="11"/>
  <c r="O20" i="11"/>
  <c r="L20" i="11"/>
  <c r="I20" i="11"/>
  <c r="F20" i="11"/>
  <c r="C20" i="11"/>
  <c r="W19" i="11"/>
  <c r="V19" i="11"/>
  <c r="U19" i="11"/>
  <c r="T19" i="11"/>
  <c r="S19" i="11"/>
  <c r="R19" i="11"/>
  <c r="Q19" i="11"/>
  <c r="P19" i="11"/>
  <c r="O19" i="11"/>
  <c r="N19" i="11"/>
  <c r="M19" i="11"/>
  <c r="L19" i="11"/>
  <c r="K19" i="11"/>
  <c r="J19" i="11"/>
  <c r="I19" i="11"/>
  <c r="H19" i="11"/>
  <c r="G19" i="11"/>
  <c r="F19" i="11"/>
  <c r="E19" i="11"/>
  <c r="D19" i="11"/>
  <c r="C19" i="11"/>
  <c r="M117" i="4" l="1"/>
  <c r="AK2214" i="9"/>
  <c r="AL2214" i="9"/>
  <c r="AM2214" i="9"/>
  <c r="AN2214" i="9"/>
  <c r="AO2214" i="9"/>
  <c r="O207" i="12" s="1"/>
  <c r="P207" i="12" s="1"/>
  <c r="Q207" i="12" s="1"/>
  <c r="R207" i="12" s="1"/>
  <c r="S207" i="12" s="1"/>
  <c r="AP2214" i="9"/>
  <c r="O208" i="12" s="1"/>
  <c r="P208" i="12" s="1"/>
  <c r="Q208" i="12" s="1"/>
  <c r="R208" i="12" s="1"/>
  <c r="S208" i="12" s="1"/>
  <c r="AQ2214" i="9"/>
  <c r="O209" i="12" s="1"/>
  <c r="P209" i="12" s="1"/>
  <c r="Q209" i="12" s="1"/>
  <c r="R209" i="12" s="1"/>
  <c r="S209" i="12" s="1"/>
  <c r="AJ2214" i="9"/>
  <c r="O202" i="12" s="1"/>
  <c r="P202" i="12" s="1"/>
  <c r="Q202" i="12" s="1"/>
  <c r="R202" i="12" s="1"/>
  <c r="S202" i="12" s="1"/>
  <c r="AP2248" i="9"/>
  <c r="AM2248" i="9"/>
  <c r="AQ2248" i="9"/>
  <c r="AR2248" i="9"/>
  <c r="AS2248" i="9"/>
  <c r="AT2248" i="9"/>
  <c r="AJ2248" i="9"/>
  <c r="AN2248" i="9"/>
  <c r="AO2248" i="9"/>
  <c r="AK2248" i="9"/>
  <c r="AL2248" i="9"/>
  <c r="AJ2283" i="9"/>
  <c r="AN2283" i="9"/>
  <c r="AI219" i="12" s="1"/>
  <c r="AJ219" i="12" s="1"/>
  <c r="AK219" i="12" s="1"/>
  <c r="AL219" i="12" s="1"/>
  <c r="AM219" i="12" s="1"/>
  <c r="AO2283" i="9"/>
  <c r="AP2283" i="9"/>
  <c r="AI221" i="12" s="1"/>
  <c r="AJ221" i="12" s="1"/>
  <c r="AK221" i="12" s="1"/>
  <c r="AL221" i="12" s="1"/>
  <c r="AM221" i="12" s="1"/>
  <c r="AL2283" i="9"/>
  <c r="AI217" i="12" s="1"/>
  <c r="AJ217" i="12" s="1"/>
  <c r="AK217" i="12" s="1"/>
  <c r="AL217" i="12" s="1"/>
  <c r="AM217" i="12" s="1"/>
  <c r="AQ2283" i="9"/>
  <c r="AM2283" i="9"/>
  <c r="AK2283" i="9"/>
  <c r="AM2287" i="9"/>
  <c r="AT2287" i="9"/>
  <c r="AI232" i="12" s="1"/>
  <c r="AJ232" i="12" s="1"/>
  <c r="AK232" i="12" s="1"/>
  <c r="AL232" i="12" s="1"/>
  <c r="AM232" i="12" s="1"/>
  <c r="AR2287" i="9"/>
  <c r="AI231" i="12" s="1"/>
  <c r="AJ231" i="12" s="1"/>
  <c r="AK231" i="12" s="1"/>
  <c r="AL231" i="12" s="1"/>
  <c r="AM231" i="12" s="1"/>
  <c r="AS2287" i="9"/>
  <c r="AI233" i="12" s="1"/>
  <c r="AJ233" i="12" s="1"/>
  <c r="AK233" i="12" s="1"/>
  <c r="AL233" i="12" s="1"/>
  <c r="AM233" i="12" s="1"/>
  <c r="AK2287" i="9"/>
  <c r="AI234" i="12" s="1"/>
  <c r="AJ234" i="12" s="1"/>
  <c r="AK234" i="12" s="1"/>
  <c r="AL234" i="12" s="1"/>
  <c r="AM234" i="12" s="1"/>
  <c r="AS2291" i="9"/>
  <c r="AT2291" i="9"/>
  <c r="AS2295" i="9"/>
  <c r="AL2295" i="9"/>
  <c r="AQ2318" i="9"/>
  <c r="AS222" i="12" s="1"/>
  <c r="AT222" i="12" s="1"/>
  <c r="AU222" i="12" s="1"/>
  <c r="AV222" i="12" s="1"/>
  <c r="AW222" i="12" s="1"/>
  <c r="AJ2318" i="9"/>
  <c r="AS215" i="12" s="1"/>
  <c r="AT215" i="12" s="1"/>
  <c r="AU215" i="12" s="1"/>
  <c r="AV215" i="12" s="1"/>
  <c r="AW215" i="12" s="1"/>
  <c r="AK2318" i="9"/>
  <c r="AS216" i="12" s="1"/>
  <c r="AT216" i="12" s="1"/>
  <c r="AU216" i="12" s="1"/>
  <c r="AV216" i="12" s="1"/>
  <c r="AW216" i="12" s="1"/>
  <c r="AN2318" i="9"/>
  <c r="AS219" i="12" s="1"/>
  <c r="AT219" i="12" s="1"/>
  <c r="AU219" i="12" s="1"/>
  <c r="AV219" i="12" s="1"/>
  <c r="AW219" i="12" s="1"/>
  <c r="AM2318" i="9"/>
  <c r="AP2318" i="9"/>
  <c r="AO2318" i="9"/>
  <c r="AL2318" i="9"/>
  <c r="AK2322" i="9"/>
  <c r="AM2322" i="9"/>
  <c r="AS230" i="12" s="1"/>
  <c r="AT230" i="12" s="1"/>
  <c r="AU230" i="12" s="1"/>
  <c r="AV230" i="12" s="1"/>
  <c r="AW230" i="12" s="1"/>
  <c r="AR2322" i="9"/>
  <c r="AS2322" i="9"/>
  <c r="AS233" i="12" s="1"/>
  <c r="AT233" i="12" s="1"/>
  <c r="AU233" i="12" s="1"/>
  <c r="AV233" i="12" s="1"/>
  <c r="AW233" i="12" s="1"/>
  <c r="AT2322" i="9"/>
  <c r="AT2326" i="9"/>
  <c r="AS2326" i="9"/>
  <c r="AL2330" i="9"/>
  <c r="AS2330" i="9"/>
  <c r="AS250" i="12" s="1"/>
  <c r="AT250" i="12" s="1"/>
  <c r="AU250" i="12" s="1"/>
  <c r="AV250" i="12" s="1"/>
  <c r="AW250" i="12" s="1"/>
  <c r="AS2334" i="9"/>
  <c r="AL2334" i="9"/>
  <c r="AS264" i="12"/>
  <c r="AT264" i="12" s="1"/>
  <c r="AU264" i="12" s="1"/>
  <c r="AV264" i="12" s="1"/>
  <c r="AW264" i="12" s="1"/>
  <c r="AL2338" i="9"/>
  <c r="AS2338" i="9"/>
  <c r="AJ2383" i="9"/>
  <c r="AN2383" i="9"/>
  <c r="AK2383" i="9"/>
  <c r="BM203" i="12" s="1"/>
  <c r="BN203" i="12" s="1"/>
  <c r="BO203" i="12" s="1"/>
  <c r="BP203" i="12" s="1"/>
  <c r="BQ203" i="12" s="1"/>
  <c r="AP2383" i="9"/>
  <c r="AQ2383" i="9"/>
  <c r="BM209" i="12" s="1"/>
  <c r="BN209" i="12" s="1"/>
  <c r="BO209" i="12" s="1"/>
  <c r="BP209" i="12" s="1"/>
  <c r="BQ209" i="12" s="1"/>
  <c r="AL2383" i="9"/>
  <c r="BM204" i="12" s="1"/>
  <c r="BN204" i="12" s="1"/>
  <c r="BO204" i="12" s="1"/>
  <c r="BP204" i="12" s="1"/>
  <c r="BQ204" i="12" s="1"/>
  <c r="AO2383" i="9"/>
  <c r="AM2383" i="9"/>
  <c r="AM2387" i="9"/>
  <c r="AO2387" i="9"/>
  <c r="AT2391" i="9"/>
  <c r="AN2391" i="9"/>
  <c r="AK2391" i="9"/>
  <c r="AS2395" i="9"/>
  <c r="AT2395" i="9"/>
  <c r="AS2399" i="9"/>
  <c r="AT2399" i="9"/>
  <c r="AS2403" i="9"/>
  <c r="AL2403" i="9"/>
  <c r="BM260" i="12" s="1"/>
  <c r="BN260" i="12" s="1"/>
  <c r="BO260" i="12" s="1"/>
  <c r="BP260" i="12" s="1"/>
  <c r="BQ260" i="12" s="1"/>
  <c r="AO2440" i="9"/>
  <c r="AR2440" i="9"/>
  <c r="AK2440" i="9"/>
  <c r="AQ2440" i="9"/>
  <c r="AM2440" i="9"/>
  <c r="AP2440" i="9"/>
  <c r="AS2440" i="9"/>
  <c r="AJ2440" i="9"/>
  <c r="AN2440" i="9"/>
  <c r="AT2440" i="9"/>
  <c r="AL2440" i="9"/>
  <c r="AP2445" i="9"/>
  <c r="AL2445" i="9"/>
  <c r="AO2445" i="9"/>
  <c r="O284" i="12" s="1"/>
  <c r="P284" i="12" s="1"/>
  <c r="Q284" i="12" s="1"/>
  <c r="R284" i="12" s="1"/>
  <c r="S284" i="12" s="1"/>
  <c r="AN2445" i="9"/>
  <c r="AK2449" i="9"/>
  <c r="O291" i="12" s="1"/>
  <c r="P291" i="12" s="1"/>
  <c r="Q291" i="12" s="1"/>
  <c r="R291" i="12" s="1"/>
  <c r="S291" i="12" s="1"/>
  <c r="AN2449" i="9"/>
  <c r="O292" i="12" s="1"/>
  <c r="P292" i="12" s="1"/>
  <c r="Q292" i="12" s="1"/>
  <c r="R292" i="12" s="1"/>
  <c r="S292" i="12" s="1"/>
  <c r="AT2453" i="9"/>
  <c r="AS2453" i="9"/>
  <c r="AS2463" i="9"/>
  <c r="AM2463" i="9"/>
  <c r="AR2463" i="9"/>
  <c r="AN2463" i="9"/>
  <c r="AO2463" i="9"/>
  <c r="AP2463" i="9"/>
  <c r="AL2463" i="9"/>
  <c r="AJ2463" i="9"/>
  <c r="AT2463" i="9"/>
  <c r="AQ2463" i="9"/>
  <c r="AK2463" i="9"/>
  <c r="AM2222" i="9"/>
  <c r="AO2222" i="9"/>
  <c r="AN2222" i="9"/>
  <c r="AM2256" i="9"/>
  <c r="AO2256" i="9"/>
  <c r="AM2356" i="9"/>
  <c r="AO2356" i="9"/>
  <c r="Z293" i="12"/>
  <c r="AA293" i="12" s="1"/>
  <c r="AB293" i="12" s="1"/>
  <c r="AC293" i="12" s="1"/>
  <c r="AN2191" i="9"/>
  <c r="AM2191" i="9"/>
  <c r="AS2195" i="9"/>
  <c r="AT2195" i="9"/>
  <c r="AT2199" i="9"/>
  <c r="E252" i="12" s="1"/>
  <c r="F252" i="12" s="1"/>
  <c r="G252" i="12" s="1"/>
  <c r="H252" i="12" s="1"/>
  <c r="I252" i="12" s="1"/>
  <c r="AS2199" i="9"/>
  <c r="E251" i="12" s="1"/>
  <c r="F251" i="12" s="1"/>
  <c r="G251" i="12" s="1"/>
  <c r="H251" i="12" s="1"/>
  <c r="I251" i="12" s="1"/>
  <c r="AS2203" i="9"/>
  <c r="AT2203" i="9"/>
  <c r="AT2219" i="9"/>
  <c r="AK2219" i="9"/>
  <c r="AM2219" i="9"/>
  <c r="AO2219" i="9"/>
  <c r="AR2219" i="9"/>
  <c r="O229" i="12" s="1"/>
  <c r="P229" i="12" s="1"/>
  <c r="Q229" i="12" s="1"/>
  <c r="R229" i="12" s="1"/>
  <c r="S229" i="12" s="1"/>
  <c r="AS2219" i="9"/>
  <c r="O231" i="12" s="1"/>
  <c r="P231" i="12" s="1"/>
  <c r="Q231" i="12" s="1"/>
  <c r="R231" i="12" s="1"/>
  <c r="S231" i="12" s="1"/>
  <c r="AN2219" i="9"/>
  <c r="AS2223" i="9"/>
  <c r="O240" i="12" s="1"/>
  <c r="P240" i="12" s="1"/>
  <c r="Q240" i="12" s="1"/>
  <c r="R240" i="12" s="1"/>
  <c r="S240" i="12" s="1"/>
  <c r="AL2223" i="9"/>
  <c r="AS2227" i="9"/>
  <c r="AL2227" i="9"/>
  <c r="AS2231" i="9"/>
  <c r="AT2231" i="9"/>
  <c r="AR2231" i="9"/>
  <c r="AS2235" i="9"/>
  <c r="O261" i="12" s="1"/>
  <c r="P261" i="12" s="1"/>
  <c r="Q261" i="12" s="1"/>
  <c r="R261" i="12" s="1"/>
  <c r="S261" i="12" s="1"/>
  <c r="AT2235" i="9"/>
  <c r="AJ2249" i="9"/>
  <c r="AK2249" i="9"/>
  <c r="AL2249" i="9"/>
  <c r="AO2249" i="9"/>
  <c r="AM2249" i="9"/>
  <c r="AN2249" i="9"/>
  <c r="Y206" i="12" s="1"/>
  <c r="Z206" i="12" s="1"/>
  <c r="AA206" i="12" s="1"/>
  <c r="AB206" i="12" s="1"/>
  <c r="AC206" i="12" s="1"/>
  <c r="AP2249" i="9"/>
  <c r="Y208" i="12" s="1"/>
  <c r="Z208" i="12" s="1"/>
  <c r="AA208" i="12" s="1"/>
  <c r="AB208" i="12" s="1"/>
  <c r="AC208" i="12" s="1"/>
  <c r="AQ2249" i="9"/>
  <c r="Y209" i="12" s="1"/>
  <c r="Z209" i="12" s="1"/>
  <c r="AA209" i="12" s="1"/>
  <c r="AB209" i="12" s="1"/>
  <c r="AC209" i="12" s="1"/>
  <c r="AN2253" i="9"/>
  <c r="AT2253" i="9"/>
  <c r="AK2253" i="9"/>
  <c r="AT2257" i="9"/>
  <c r="AS2257" i="9"/>
  <c r="AS2261" i="9"/>
  <c r="AT2261" i="9"/>
  <c r="AS2265" i="9"/>
  <c r="Y250" i="12" s="1"/>
  <c r="Z250" i="12" s="1"/>
  <c r="AA250" i="12" s="1"/>
  <c r="AB250" i="12" s="1"/>
  <c r="AC250" i="12" s="1"/>
  <c r="AT2265" i="9"/>
  <c r="AS2269" i="9"/>
  <c r="AT2269" i="9"/>
  <c r="Y259" i="12" s="1"/>
  <c r="Z259" i="12" s="1"/>
  <c r="AA259" i="12" s="1"/>
  <c r="AB259" i="12" s="1"/>
  <c r="AC259" i="12" s="1"/>
  <c r="AQ2348" i="9"/>
  <c r="AN2348" i="9"/>
  <c r="AK2348" i="9"/>
  <c r="AP2348" i="9"/>
  <c r="AR2348" i="9"/>
  <c r="AO2348" i="9"/>
  <c r="AJ2348" i="9"/>
  <c r="AM2348" i="9"/>
  <c r="AT2348" i="9"/>
  <c r="AL2348" i="9"/>
  <c r="AS2348" i="9"/>
  <c r="AM2353" i="9"/>
  <c r="BC223" i="12" s="1"/>
  <c r="BD223" i="12" s="1"/>
  <c r="BE223" i="12" s="1"/>
  <c r="BF223" i="12" s="1"/>
  <c r="BG223" i="12" s="1"/>
  <c r="AN2353" i="9"/>
  <c r="AN2357" i="9"/>
  <c r="AM2357" i="9"/>
  <c r="AS2361" i="9"/>
  <c r="AT2361" i="9"/>
  <c r="BC244" i="12" s="1"/>
  <c r="BD244" i="12" s="1"/>
  <c r="BE244" i="12" s="1"/>
  <c r="BF244" i="12" s="1"/>
  <c r="BG244" i="12" s="1"/>
  <c r="AT2365" i="9"/>
  <c r="BC252" i="12" s="1"/>
  <c r="BD252" i="12" s="1"/>
  <c r="BE252" i="12" s="1"/>
  <c r="BF252" i="12" s="1"/>
  <c r="BG252" i="12" s="1"/>
  <c r="AS2365" i="9"/>
  <c r="BC251" i="12" s="1"/>
  <c r="BD251" i="12" s="1"/>
  <c r="BE251" i="12" s="1"/>
  <c r="BF251" i="12" s="1"/>
  <c r="BG251" i="12" s="1"/>
  <c r="AT2369" i="9"/>
  <c r="BC259" i="12" s="1"/>
  <c r="BD259" i="12" s="1"/>
  <c r="BE259" i="12" s="1"/>
  <c r="BF259" i="12" s="1"/>
  <c r="BG259" i="12" s="1"/>
  <c r="AS2369" i="9"/>
  <c r="BC258" i="12" s="1"/>
  <c r="BD258" i="12" s="1"/>
  <c r="BE258" i="12" s="1"/>
  <c r="BF258" i="12" s="1"/>
  <c r="BG258" i="12" s="1"/>
  <c r="AS2373" i="9"/>
  <c r="AT2373" i="9"/>
  <c r="AK2418" i="9"/>
  <c r="E285" i="12" s="1"/>
  <c r="F285" i="12" s="1"/>
  <c r="G285" i="12" s="1"/>
  <c r="H285" i="12" s="1"/>
  <c r="I285" i="12" s="1"/>
  <c r="AM2418" i="9"/>
  <c r="E286" i="12" s="1"/>
  <c r="F286" i="12" s="1"/>
  <c r="G286" i="12" s="1"/>
  <c r="H286" i="12" s="1"/>
  <c r="I286" i="12" s="1"/>
  <c r="AR2418" i="9"/>
  <c r="AM2422" i="9"/>
  <c r="E293" i="12" s="1"/>
  <c r="F293" i="12" s="1"/>
  <c r="G293" i="12" s="1"/>
  <c r="H293" i="12" s="1"/>
  <c r="I293" i="12" s="1"/>
  <c r="AO2422" i="9"/>
  <c r="E294" i="12" s="1"/>
  <c r="F294" i="12" s="1"/>
  <c r="G294" i="12" s="1"/>
  <c r="H294" i="12" s="1"/>
  <c r="I294" i="12" s="1"/>
  <c r="E308" i="12"/>
  <c r="F308" i="12" s="1"/>
  <c r="G308" i="12" s="1"/>
  <c r="H308" i="12" s="1"/>
  <c r="I308" i="12" s="1"/>
  <c r="AJ2430" i="9"/>
  <c r="AM2441" i="9"/>
  <c r="AO2441" i="9"/>
  <c r="AQ2441" i="9"/>
  <c r="AP2441" i="9"/>
  <c r="AS2441" i="9"/>
  <c r="AR2441" i="9"/>
  <c r="AJ2441" i="9"/>
  <c r="AL2441" i="9"/>
  <c r="AT2441" i="9"/>
  <c r="AN2441" i="9"/>
  <c r="AK2441" i="9"/>
  <c r="AN2464" i="9"/>
  <c r="AO2464" i="9"/>
  <c r="Y277" i="12" s="1"/>
  <c r="Z277" i="12" s="1"/>
  <c r="AA277" i="12" s="1"/>
  <c r="AB277" i="12" s="1"/>
  <c r="AC277" i="12" s="1"/>
  <c r="AL2464" i="9"/>
  <c r="Y275" i="12" s="1"/>
  <c r="Z275" i="12" s="1"/>
  <c r="AA275" i="12" s="1"/>
  <c r="AB275" i="12" s="1"/>
  <c r="AC275" i="12" s="1"/>
  <c r="AP2464" i="9"/>
  <c r="Z285" i="12"/>
  <c r="AA285" i="12" s="1"/>
  <c r="AB285" i="12" s="1"/>
  <c r="AC285" i="12" s="1"/>
  <c r="AT2472" i="9"/>
  <c r="AS2472" i="9"/>
  <c r="Z302" i="12"/>
  <c r="AA302" i="12" s="1"/>
  <c r="AB302" i="12" s="1"/>
  <c r="AC302" i="12" s="1"/>
  <c r="AO2186" i="9"/>
  <c r="AP2186" i="9"/>
  <c r="AM2186" i="9"/>
  <c r="E219" i="12" s="1"/>
  <c r="F219" i="12" s="1"/>
  <c r="G219" i="12" s="1"/>
  <c r="H219" i="12" s="1"/>
  <c r="I219" i="12" s="1"/>
  <c r="AQ2186" i="9"/>
  <c r="AK2186" i="9"/>
  <c r="AN2186" i="9"/>
  <c r="AL2186" i="9"/>
  <c r="AJ2186" i="9"/>
  <c r="E215" i="12" s="1"/>
  <c r="F215" i="12" s="1"/>
  <c r="G215" i="12" s="1"/>
  <c r="H215" i="12" s="1"/>
  <c r="I215" i="12" s="1"/>
  <c r="AS2226" i="9"/>
  <c r="AT2226" i="9"/>
  <c r="AS2268" i="9"/>
  <c r="AL2268" i="9"/>
  <c r="Y256" i="12" s="1"/>
  <c r="Z256" i="12" s="1"/>
  <c r="AA256" i="12" s="1"/>
  <c r="AB256" i="12" s="1"/>
  <c r="AC256" i="12" s="1"/>
  <c r="AQ2382" i="9"/>
  <c r="AN2382" i="9"/>
  <c r="AJ2382" i="9"/>
  <c r="AR2382" i="9"/>
  <c r="AK2382" i="9"/>
  <c r="AS2382" i="9"/>
  <c r="AL2382" i="9"/>
  <c r="AP2382" i="9"/>
  <c r="AO2382" i="9"/>
  <c r="AT2382" i="9"/>
  <c r="AM2382" i="9"/>
  <c r="AS2425" i="9"/>
  <c r="E299" i="12" s="1"/>
  <c r="F299" i="12" s="1"/>
  <c r="G299" i="12" s="1"/>
  <c r="H299" i="12" s="1"/>
  <c r="I299" i="12" s="1"/>
  <c r="AT2425" i="9"/>
  <c r="AM2183" i="9"/>
  <c r="AK2183" i="9"/>
  <c r="AR2183" i="9"/>
  <c r="AS2183" i="9"/>
  <c r="AT2183" i="9"/>
  <c r="AN2183" i="9"/>
  <c r="AJ2183" i="9"/>
  <c r="AL2183" i="9"/>
  <c r="AO2183" i="9"/>
  <c r="AP2183" i="9"/>
  <c r="AQ2183" i="9"/>
  <c r="AK2279" i="9"/>
  <c r="AS2279" i="9"/>
  <c r="AR2279" i="9"/>
  <c r="AM2279" i="9"/>
  <c r="AN2279" i="9"/>
  <c r="AL2279" i="9"/>
  <c r="AJ2279" i="9"/>
  <c r="AT2279" i="9"/>
  <c r="AQ2279" i="9"/>
  <c r="AP2279" i="9"/>
  <c r="AO2279" i="9"/>
  <c r="AM2284" i="9"/>
  <c r="AI223" i="12" s="1"/>
  <c r="AJ223" i="12" s="1"/>
  <c r="AK223" i="12" s="1"/>
  <c r="AL223" i="12" s="1"/>
  <c r="AM223" i="12" s="1"/>
  <c r="AN2284" i="9"/>
  <c r="AM2288" i="9"/>
  <c r="AN2288" i="9"/>
  <c r="AM2292" i="9"/>
  <c r="AI243" i="12" s="1"/>
  <c r="AJ243" i="12" s="1"/>
  <c r="AK243" i="12" s="1"/>
  <c r="AL243" i="12" s="1"/>
  <c r="AM243" i="12" s="1"/>
  <c r="AO2292" i="9"/>
  <c r="AI244" i="12" s="1"/>
  <c r="AJ244" i="12" s="1"/>
  <c r="AK244" i="12" s="1"/>
  <c r="AL244" i="12" s="1"/>
  <c r="AM244" i="12" s="1"/>
  <c r="AT2296" i="9"/>
  <c r="AS2296" i="9"/>
  <c r="AI251" i="12" s="1"/>
  <c r="AJ251" i="12" s="1"/>
  <c r="AK251" i="12" s="1"/>
  <c r="AL251" i="12" s="1"/>
  <c r="AM251" i="12" s="1"/>
  <c r="AS2300" i="9"/>
  <c r="AI259" i="12" s="1"/>
  <c r="AJ259" i="12" s="1"/>
  <c r="AK259" i="12" s="1"/>
  <c r="AL259" i="12" s="1"/>
  <c r="AM259" i="12" s="1"/>
  <c r="AT2300" i="9"/>
  <c r="AL2304" i="9"/>
  <c r="AS2304" i="9"/>
  <c r="AI266" i="12" s="1"/>
  <c r="AJ266" i="12" s="1"/>
  <c r="AK266" i="12" s="1"/>
  <c r="AL266" i="12" s="1"/>
  <c r="AM266" i="12" s="1"/>
  <c r="AL2314" i="9"/>
  <c r="AK2314" i="9"/>
  <c r="AR2314" i="9"/>
  <c r="AM2314" i="9"/>
  <c r="AJ2314" i="9"/>
  <c r="AQ2314" i="9"/>
  <c r="AT2314" i="9"/>
  <c r="AP2314" i="9"/>
  <c r="AO2314" i="9"/>
  <c r="AN2314" i="9"/>
  <c r="AS2314" i="9"/>
  <c r="AN2319" i="9"/>
  <c r="AS224" i="12" s="1"/>
  <c r="AT224" i="12" s="1"/>
  <c r="AU224" i="12" s="1"/>
  <c r="AV224" i="12" s="1"/>
  <c r="AW224" i="12" s="1"/>
  <c r="AM2319" i="9"/>
  <c r="AO2323" i="9"/>
  <c r="AM2323" i="9"/>
  <c r="AT2327" i="9"/>
  <c r="AS2327" i="9"/>
  <c r="AS243" i="12" s="1"/>
  <c r="AT243" i="12" s="1"/>
  <c r="AU243" i="12" s="1"/>
  <c r="AV243" i="12" s="1"/>
  <c r="AW243" i="12" s="1"/>
  <c r="AS2331" i="9"/>
  <c r="AS251" i="12" s="1"/>
  <c r="AT251" i="12" s="1"/>
  <c r="AU251" i="12" s="1"/>
  <c r="AV251" i="12" s="1"/>
  <c r="AW251" i="12" s="1"/>
  <c r="AL2331" i="9"/>
  <c r="AT2335" i="9"/>
  <c r="AS259" i="12" s="1"/>
  <c r="AT259" i="12" s="1"/>
  <c r="AU259" i="12" s="1"/>
  <c r="AV259" i="12" s="1"/>
  <c r="AW259" i="12" s="1"/>
  <c r="AS2335" i="9"/>
  <c r="AS258" i="12" s="1"/>
  <c r="AT258" i="12" s="1"/>
  <c r="AU258" i="12" s="1"/>
  <c r="AV258" i="12" s="1"/>
  <c r="AW258" i="12" s="1"/>
  <c r="AS2339" i="9"/>
  <c r="AT2339" i="9"/>
  <c r="AS2349" i="9"/>
  <c r="AO2349" i="9"/>
  <c r="AT2349" i="9"/>
  <c r="AP2349" i="9"/>
  <c r="AQ2349" i="9"/>
  <c r="AJ2349" i="9"/>
  <c r="AR2349" i="9"/>
  <c r="AM2349" i="9"/>
  <c r="AN2349" i="9"/>
  <c r="AK2349" i="9"/>
  <c r="AL2349" i="9"/>
  <c r="AS2388" i="9"/>
  <c r="AM2388" i="9"/>
  <c r="BM227" i="12" s="1"/>
  <c r="BN227" i="12" s="1"/>
  <c r="BO227" i="12" s="1"/>
  <c r="BP227" i="12" s="1"/>
  <c r="BQ227" i="12" s="1"/>
  <c r="AS2392" i="9"/>
  <c r="BM240" i="12" s="1"/>
  <c r="BN240" i="12" s="1"/>
  <c r="BO240" i="12" s="1"/>
  <c r="BP240" i="12" s="1"/>
  <c r="BQ240" i="12" s="1"/>
  <c r="AT2392" i="9"/>
  <c r="AS2396" i="9"/>
  <c r="AT2396" i="9"/>
  <c r="AS2400" i="9"/>
  <c r="BM254" i="12" s="1"/>
  <c r="BN254" i="12" s="1"/>
  <c r="BO254" i="12" s="1"/>
  <c r="BP254" i="12" s="1"/>
  <c r="BQ254" i="12" s="1"/>
  <c r="AT2400" i="9"/>
  <c r="BM255" i="12" s="1"/>
  <c r="BN255" i="12" s="1"/>
  <c r="BO255" i="12" s="1"/>
  <c r="BP255" i="12" s="1"/>
  <c r="BQ255" i="12" s="1"/>
  <c r="AS2404" i="9"/>
  <c r="AT2404" i="9"/>
  <c r="AQ2414" i="9"/>
  <c r="AT2414" i="9"/>
  <c r="AO2414" i="9"/>
  <c r="AK2414" i="9"/>
  <c r="AM2414" i="9"/>
  <c r="AL2414" i="9"/>
  <c r="AS2414" i="9"/>
  <c r="AN2414" i="9"/>
  <c r="AP2414" i="9"/>
  <c r="AJ2414" i="9"/>
  <c r="AR2414" i="9"/>
  <c r="AT2442" i="9"/>
  <c r="AS2442" i="9"/>
  <c r="O274" i="12" s="1"/>
  <c r="P274" i="12" s="1"/>
  <c r="Q274" i="12" s="1"/>
  <c r="R274" i="12" s="1"/>
  <c r="S274" i="12" s="1"/>
  <c r="P286" i="12"/>
  <c r="Q286" i="12" s="1"/>
  <c r="R286" i="12" s="1"/>
  <c r="S286" i="12" s="1"/>
  <c r="AS2450" i="9"/>
  <c r="O294" i="12" s="1"/>
  <c r="P294" i="12" s="1"/>
  <c r="Q294" i="12" s="1"/>
  <c r="R294" i="12" s="1"/>
  <c r="S294" i="12" s="1"/>
  <c r="AL2450" i="9"/>
  <c r="AM2194" i="9"/>
  <c r="AO2194" i="9"/>
  <c r="E242" i="12" s="1"/>
  <c r="F242" i="12" s="1"/>
  <c r="G242" i="12" s="1"/>
  <c r="H242" i="12" s="1"/>
  <c r="I242" i="12" s="1"/>
  <c r="AN2213" i="9"/>
  <c r="AK2213" i="9"/>
  <c r="AS2213" i="9"/>
  <c r="AO2213" i="9"/>
  <c r="AL2213" i="9"/>
  <c r="AT2213" i="9"/>
  <c r="AM2213" i="9"/>
  <c r="AP2213" i="9"/>
  <c r="AQ2213" i="9"/>
  <c r="AJ2213" i="9"/>
  <c r="AR2213" i="9"/>
  <c r="AL2234" i="9"/>
  <c r="O259" i="12" s="1"/>
  <c r="P259" i="12" s="1"/>
  <c r="Q259" i="12" s="1"/>
  <c r="R259" i="12" s="1"/>
  <c r="S259" i="12" s="1"/>
  <c r="AS2234" i="9"/>
  <c r="AS2260" i="9"/>
  <c r="Y243" i="12" s="1"/>
  <c r="Z243" i="12" s="1"/>
  <c r="AA243" i="12" s="1"/>
  <c r="AB243" i="12" s="1"/>
  <c r="AC243" i="12" s="1"/>
  <c r="AL2260" i="9"/>
  <c r="AM2360" i="9"/>
  <c r="BC241" i="12" s="1"/>
  <c r="BD241" i="12" s="1"/>
  <c r="BE241" i="12" s="1"/>
  <c r="BF241" i="12" s="1"/>
  <c r="BG241" i="12" s="1"/>
  <c r="AO2360" i="9"/>
  <c r="BC242" i="12" s="1"/>
  <c r="BD242" i="12" s="1"/>
  <c r="BE242" i="12" s="1"/>
  <c r="BF242" i="12" s="1"/>
  <c r="BG242" i="12" s="1"/>
  <c r="AS2429" i="9"/>
  <c r="E307" i="12" s="1"/>
  <c r="F307" i="12" s="1"/>
  <c r="G307" i="12" s="1"/>
  <c r="H307" i="12" s="1"/>
  <c r="I307" i="12" s="1"/>
  <c r="AL2429" i="9"/>
  <c r="E306" i="12" s="1"/>
  <c r="F306" i="12" s="1"/>
  <c r="G306" i="12" s="1"/>
  <c r="H306" i="12" s="1"/>
  <c r="I306" i="12" s="1"/>
  <c r="AJ2462" i="9"/>
  <c r="AN2462" i="9"/>
  <c r="AM2462" i="9"/>
  <c r="AL2462" i="9"/>
  <c r="AT2462" i="9"/>
  <c r="AO2462" i="9"/>
  <c r="AR2462" i="9"/>
  <c r="AK2462" i="9"/>
  <c r="AP2462" i="9"/>
  <c r="AQ2462" i="9"/>
  <c r="AS2462" i="9"/>
  <c r="AT2475" i="9"/>
  <c r="AS2475" i="9"/>
  <c r="Y300" i="12" s="1"/>
  <c r="Z300" i="12" s="1"/>
  <c r="AA300" i="12" s="1"/>
  <c r="AB300" i="12" s="1"/>
  <c r="AC300" i="12" s="1"/>
  <c r="AJ2184" i="9"/>
  <c r="AO2184" i="9"/>
  <c r="E207" i="12" s="1"/>
  <c r="F207" i="12" s="1"/>
  <c r="G207" i="12" s="1"/>
  <c r="H207" i="12" s="1"/>
  <c r="I207" i="12" s="1"/>
  <c r="AP2184" i="9"/>
  <c r="E208" i="12" s="1"/>
  <c r="F208" i="12" s="1"/>
  <c r="G208" i="12" s="1"/>
  <c r="H208" i="12" s="1"/>
  <c r="I208" i="12" s="1"/>
  <c r="AQ2184" i="9"/>
  <c r="E209" i="12" s="1"/>
  <c r="F209" i="12" s="1"/>
  <c r="G209" i="12" s="1"/>
  <c r="H209" i="12" s="1"/>
  <c r="I209" i="12" s="1"/>
  <c r="AK2184" i="9"/>
  <c r="AL2184" i="9"/>
  <c r="AM2184" i="9"/>
  <c r="AN2184" i="9"/>
  <c r="E206" i="12" s="1"/>
  <c r="F206" i="12" s="1"/>
  <c r="G206" i="12" s="1"/>
  <c r="H206" i="12" s="1"/>
  <c r="I206" i="12" s="1"/>
  <c r="AO2188" i="9"/>
  <c r="AM2188" i="9"/>
  <c r="E225" i="12" s="1"/>
  <c r="F225" i="12" s="1"/>
  <c r="G225" i="12" s="1"/>
  <c r="H225" i="12" s="1"/>
  <c r="I225" i="12" s="1"/>
  <c r="AS2192" i="9"/>
  <c r="E237" i="12" s="1"/>
  <c r="F237" i="12" s="1"/>
  <c r="G237" i="12" s="1"/>
  <c r="H237" i="12" s="1"/>
  <c r="I237" i="12" s="1"/>
  <c r="AT2192" i="9"/>
  <c r="E236" i="12" s="1"/>
  <c r="F236" i="12" s="1"/>
  <c r="G236" i="12" s="1"/>
  <c r="H236" i="12" s="1"/>
  <c r="I236" i="12" s="1"/>
  <c r="AM2192" i="9"/>
  <c r="AR2192" i="9"/>
  <c r="AK2192" i="9"/>
  <c r="AS2196" i="9"/>
  <c r="E246" i="12" s="1"/>
  <c r="F246" i="12" s="1"/>
  <c r="G246" i="12" s="1"/>
  <c r="H246" i="12" s="1"/>
  <c r="I246" i="12" s="1"/>
  <c r="AL2196" i="9"/>
  <c r="AS2200" i="9"/>
  <c r="E253" i="12" s="1"/>
  <c r="F253" i="12" s="1"/>
  <c r="G253" i="12" s="1"/>
  <c r="H253" i="12" s="1"/>
  <c r="I253" i="12" s="1"/>
  <c r="AM2220" i="9"/>
  <c r="O233" i="12" s="1"/>
  <c r="P233" i="12" s="1"/>
  <c r="Q233" i="12" s="1"/>
  <c r="R233" i="12" s="1"/>
  <c r="S233" i="12" s="1"/>
  <c r="AN2220" i="9"/>
  <c r="AO2220" i="9"/>
  <c r="AS2224" i="9"/>
  <c r="AT2224" i="9"/>
  <c r="O242" i="12" s="1"/>
  <c r="P242" i="12" s="1"/>
  <c r="Q242" i="12" s="1"/>
  <c r="R242" i="12" s="1"/>
  <c r="S242" i="12" s="1"/>
  <c r="AL2228" i="9"/>
  <c r="O248" i="12" s="1"/>
  <c r="P248" i="12" s="1"/>
  <c r="Q248" i="12" s="1"/>
  <c r="R248" i="12" s="1"/>
  <c r="S248" i="12" s="1"/>
  <c r="AS2228" i="9"/>
  <c r="O249" i="12" s="1"/>
  <c r="P249" i="12" s="1"/>
  <c r="Q249" i="12" s="1"/>
  <c r="R249" i="12" s="1"/>
  <c r="S249" i="12" s="1"/>
  <c r="AS2232" i="9"/>
  <c r="O256" i="12" s="1"/>
  <c r="P256" i="12" s="1"/>
  <c r="Q256" i="12" s="1"/>
  <c r="R256" i="12" s="1"/>
  <c r="S256" i="12" s="1"/>
  <c r="AT2232" i="9"/>
  <c r="O257" i="12" s="1"/>
  <c r="P257" i="12" s="1"/>
  <c r="Q257" i="12" s="1"/>
  <c r="R257" i="12" s="1"/>
  <c r="S257" i="12" s="1"/>
  <c r="AS2236" i="9"/>
  <c r="O263" i="12" s="1"/>
  <c r="P263" i="12" s="1"/>
  <c r="Q263" i="12" s="1"/>
  <c r="R263" i="12" s="1"/>
  <c r="S263" i="12" s="1"/>
  <c r="AT2236" i="9"/>
  <c r="AM2254" i="9"/>
  <c r="AN2254" i="9"/>
  <c r="Y229" i="12" s="1"/>
  <c r="Z229" i="12" s="1"/>
  <c r="AA229" i="12" s="1"/>
  <c r="AB229" i="12" s="1"/>
  <c r="AC229" i="12" s="1"/>
  <c r="AM2258" i="9"/>
  <c r="Y239" i="12" s="1"/>
  <c r="Z239" i="12" s="1"/>
  <c r="AA239" i="12" s="1"/>
  <c r="AB239" i="12" s="1"/>
  <c r="AC239" i="12" s="1"/>
  <c r="AO2258" i="9"/>
  <c r="AS2262" i="9"/>
  <c r="Y245" i="12" s="1"/>
  <c r="Z245" i="12" s="1"/>
  <c r="AA245" i="12" s="1"/>
  <c r="AB245" i="12" s="1"/>
  <c r="AC245" i="12" s="1"/>
  <c r="AL2262" i="9"/>
  <c r="Y244" i="12" s="1"/>
  <c r="Z244" i="12" s="1"/>
  <c r="AA244" i="12" s="1"/>
  <c r="AB244" i="12" s="1"/>
  <c r="AC244" i="12" s="1"/>
  <c r="AS2266" i="9"/>
  <c r="Y252" i="12" s="1"/>
  <c r="Z252" i="12" s="1"/>
  <c r="AA252" i="12" s="1"/>
  <c r="AB252" i="12" s="1"/>
  <c r="AC252" i="12" s="1"/>
  <c r="AT2266" i="9"/>
  <c r="AS2270" i="9"/>
  <c r="AT2270" i="9"/>
  <c r="Y261" i="12" s="1"/>
  <c r="Z261" i="12" s="1"/>
  <c r="AA261" i="12" s="1"/>
  <c r="AB261" i="12" s="1"/>
  <c r="AC261" i="12" s="1"/>
  <c r="AN2280" i="9"/>
  <c r="AK2280" i="9"/>
  <c r="AP2280" i="9"/>
  <c r="AJ2280" i="9"/>
  <c r="AQ2280" i="9"/>
  <c r="AT2280" i="9"/>
  <c r="AR2280" i="9"/>
  <c r="AO2280" i="9"/>
  <c r="AM2280" i="9"/>
  <c r="AL2280" i="9"/>
  <c r="AS2280" i="9"/>
  <c r="AT2315" i="9"/>
  <c r="AN2315" i="9"/>
  <c r="AO2315" i="9"/>
  <c r="AJ2315" i="9"/>
  <c r="AP2315" i="9"/>
  <c r="AR2315" i="9"/>
  <c r="AM2315" i="9"/>
  <c r="AK2315" i="9"/>
  <c r="AQ2315" i="9"/>
  <c r="AS2315" i="9"/>
  <c r="AL2315" i="9"/>
  <c r="AJ2350" i="9"/>
  <c r="AO2350" i="9"/>
  <c r="BC207" i="12" s="1"/>
  <c r="BD207" i="12" s="1"/>
  <c r="BE207" i="12" s="1"/>
  <c r="BF207" i="12" s="1"/>
  <c r="BG207" i="12" s="1"/>
  <c r="AK2350" i="9"/>
  <c r="BC203" i="12" s="1"/>
  <c r="BD203" i="12" s="1"/>
  <c r="BE203" i="12" s="1"/>
  <c r="BF203" i="12" s="1"/>
  <c r="BG203" i="12" s="1"/>
  <c r="AL2350" i="9"/>
  <c r="AM2350" i="9"/>
  <c r="AN2350" i="9"/>
  <c r="BC206" i="12" s="1"/>
  <c r="BD206" i="12" s="1"/>
  <c r="BE206" i="12" s="1"/>
  <c r="BF206" i="12" s="1"/>
  <c r="BG206" i="12" s="1"/>
  <c r="AP2350" i="9"/>
  <c r="AQ2350" i="9"/>
  <c r="AR2354" i="9"/>
  <c r="AK2354" i="9"/>
  <c r="BC229" i="12" s="1"/>
  <c r="BD229" i="12" s="1"/>
  <c r="BE229" i="12" s="1"/>
  <c r="BF229" i="12" s="1"/>
  <c r="BG229" i="12" s="1"/>
  <c r="AS2354" i="9"/>
  <c r="BC228" i="12" s="1"/>
  <c r="BD228" i="12" s="1"/>
  <c r="BE228" i="12" s="1"/>
  <c r="BF228" i="12" s="1"/>
  <c r="BG228" i="12" s="1"/>
  <c r="AM2354" i="9"/>
  <c r="AT2354" i="9"/>
  <c r="AN2358" i="9"/>
  <c r="BC238" i="12" s="1"/>
  <c r="BD238" i="12" s="1"/>
  <c r="BE238" i="12" s="1"/>
  <c r="BF238" i="12" s="1"/>
  <c r="BG238" i="12" s="1"/>
  <c r="AM2358" i="9"/>
  <c r="BC237" i="12" s="1"/>
  <c r="BD237" i="12" s="1"/>
  <c r="BE237" i="12" s="1"/>
  <c r="BF237" i="12" s="1"/>
  <c r="BG237" i="12" s="1"/>
  <c r="AT2362" i="9"/>
  <c r="AS2362" i="9"/>
  <c r="AS2366" i="9"/>
  <c r="BC253" i="12" s="1"/>
  <c r="BD253" i="12" s="1"/>
  <c r="BE253" i="12" s="1"/>
  <c r="BF253" i="12" s="1"/>
  <c r="BG253" i="12" s="1"/>
  <c r="AT2366" i="9"/>
  <c r="BC254" i="12" s="1"/>
  <c r="BD254" i="12" s="1"/>
  <c r="BE254" i="12" s="1"/>
  <c r="BF254" i="12" s="1"/>
  <c r="BG254" i="12" s="1"/>
  <c r="AT2419" i="9"/>
  <c r="AS2419" i="9"/>
  <c r="E288" i="12" s="1"/>
  <c r="F288" i="12" s="1"/>
  <c r="G288" i="12" s="1"/>
  <c r="H288" i="12" s="1"/>
  <c r="I288" i="12" s="1"/>
  <c r="AO2423" i="9"/>
  <c r="E296" i="12" s="1"/>
  <c r="F296" i="12" s="1"/>
  <c r="G296" i="12" s="1"/>
  <c r="H296" i="12" s="1"/>
  <c r="I296" i="12" s="1"/>
  <c r="AM2423" i="9"/>
  <c r="E295" i="12" s="1"/>
  <c r="F295" i="12" s="1"/>
  <c r="G295" i="12" s="1"/>
  <c r="H295" i="12" s="1"/>
  <c r="I295" i="12" s="1"/>
  <c r="AS2427" i="9"/>
  <c r="AT2427" i="9"/>
  <c r="AL2431" i="9"/>
  <c r="E309" i="12" s="1"/>
  <c r="F309" i="12" s="1"/>
  <c r="G309" i="12" s="1"/>
  <c r="H309" i="12" s="1"/>
  <c r="I309" i="12" s="1"/>
  <c r="AS2431" i="9"/>
  <c r="E310" i="12" s="1"/>
  <c r="F310" i="12" s="1"/>
  <c r="G310" i="12" s="1"/>
  <c r="H310" i="12" s="1"/>
  <c r="I310" i="12" s="1"/>
  <c r="AK2465" i="9"/>
  <c r="Y279" i="12" s="1"/>
  <c r="Z279" i="12" s="1"/>
  <c r="AA279" i="12" s="1"/>
  <c r="AB279" i="12" s="1"/>
  <c r="AC279" i="12" s="1"/>
  <c r="AM2465" i="9"/>
  <c r="Y280" i="12" s="1"/>
  <c r="Z280" i="12" s="1"/>
  <c r="AA280" i="12" s="1"/>
  <c r="AB280" i="12" s="1"/>
  <c r="AC280" i="12" s="1"/>
  <c r="AR2465" i="9"/>
  <c r="Y281" i="12" s="1"/>
  <c r="Z281" i="12" s="1"/>
  <c r="AA281" i="12" s="1"/>
  <c r="AB281" i="12" s="1"/>
  <c r="AC281" i="12" s="1"/>
  <c r="AT2473" i="9"/>
  <c r="Y297" i="12" s="1"/>
  <c r="Z297" i="12" s="1"/>
  <c r="AA297" i="12" s="1"/>
  <c r="AB297" i="12" s="1"/>
  <c r="AC297" i="12" s="1"/>
  <c r="AS2473" i="9"/>
  <c r="AS2477" i="9"/>
  <c r="AT2477" i="9"/>
  <c r="Y304" i="12" s="1"/>
  <c r="Z304" i="12" s="1"/>
  <c r="AA304" i="12" s="1"/>
  <c r="AB304" i="12" s="1"/>
  <c r="AC304" i="12" s="1"/>
  <c r="AS2202" i="9"/>
  <c r="E255" i="12" s="1"/>
  <c r="F255" i="12" s="1"/>
  <c r="G255" i="12" s="1"/>
  <c r="H255" i="12" s="1"/>
  <c r="I255" i="12" s="1"/>
  <c r="AT2202" i="9"/>
  <c r="AM2252" i="9"/>
  <c r="Y223" i="12" s="1"/>
  <c r="Z223" i="12" s="1"/>
  <c r="AA223" i="12" s="1"/>
  <c r="AB223" i="12" s="1"/>
  <c r="AC223" i="12" s="1"/>
  <c r="AN2252" i="9"/>
  <c r="Y224" i="12" s="1"/>
  <c r="Z224" i="12" s="1"/>
  <c r="AA224" i="12" s="1"/>
  <c r="AB224" i="12" s="1"/>
  <c r="AC224" i="12" s="1"/>
  <c r="AM2281" i="9"/>
  <c r="AQ2281" i="9"/>
  <c r="AJ2281" i="9"/>
  <c r="AN2281" i="9"/>
  <c r="AI206" i="12" s="1"/>
  <c r="AJ206" i="12" s="1"/>
  <c r="AK206" i="12" s="1"/>
  <c r="AL206" i="12" s="1"/>
  <c r="AM206" i="12" s="1"/>
  <c r="AK2281" i="9"/>
  <c r="AI203" i="12" s="1"/>
  <c r="AJ203" i="12" s="1"/>
  <c r="AK203" i="12" s="1"/>
  <c r="AL203" i="12" s="1"/>
  <c r="AM203" i="12" s="1"/>
  <c r="AP2281" i="9"/>
  <c r="AI208" i="12" s="1"/>
  <c r="AJ208" i="12" s="1"/>
  <c r="AK208" i="12" s="1"/>
  <c r="AL208" i="12" s="1"/>
  <c r="AM208" i="12" s="1"/>
  <c r="AL2281" i="9"/>
  <c r="AI204" i="12" s="1"/>
  <c r="AJ204" i="12" s="1"/>
  <c r="AK204" i="12" s="1"/>
  <c r="AL204" i="12" s="1"/>
  <c r="AM204" i="12" s="1"/>
  <c r="AO2281" i="9"/>
  <c r="AI207" i="12" s="1"/>
  <c r="AJ207" i="12" s="1"/>
  <c r="AK207" i="12" s="1"/>
  <c r="AL207" i="12" s="1"/>
  <c r="AM207" i="12" s="1"/>
  <c r="AT2285" i="9"/>
  <c r="AI226" i="12" s="1"/>
  <c r="AJ226" i="12" s="1"/>
  <c r="AK226" i="12" s="1"/>
  <c r="AL226" i="12" s="1"/>
  <c r="AM226" i="12" s="1"/>
  <c r="AK2285" i="9"/>
  <c r="AN2285" i="9"/>
  <c r="AM2289" i="9"/>
  <c r="AI237" i="12" s="1"/>
  <c r="AJ237" i="12" s="1"/>
  <c r="AK237" i="12" s="1"/>
  <c r="AL237" i="12" s="1"/>
  <c r="AM237" i="12" s="1"/>
  <c r="AN2289" i="9"/>
  <c r="AI238" i="12" s="1"/>
  <c r="AJ238" i="12" s="1"/>
  <c r="AK238" i="12" s="1"/>
  <c r="AL238" i="12" s="1"/>
  <c r="AM238" i="12" s="1"/>
  <c r="AS2293" i="9"/>
  <c r="AI245" i="12" s="1"/>
  <c r="AJ245" i="12" s="1"/>
  <c r="AK245" i="12" s="1"/>
  <c r="AL245" i="12" s="1"/>
  <c r="AM245" i="12" s="1"/>
  <c r="AL2293" i="9"/>
  <c r="AT2293" i="9"/>
  <c r="AI246" i="12" s="1"/>
  <c r="AJ246" i="12" s="1"/>
  <c r="AK246" i="12" s="1"/>
  <c r="AL246" i="12" s="1"/>
  <c r="AM246" i="12" s="1"/>
  <c r="AT2297" i="9"/>
  <c r="AI254" i="12" s="1"/>
  <c r="AJ254" i="12" s="1"/>
  <c r="AK254" i="12" s="1"/>
  <c r="AL254" i="12" s="1"/>
  <c r="AM254" i="12" s="1"/>
  <c r="AS2297" i="9"/>
  <c r="AL2301" i="9"/>
  <c r="AS2301" i="9"/>
  <c r="AI262" i="12" s="1"/>
  <c r="AJ262" i="12" s="1"/>
  <c r="AK262" i="12" s="1"/>
  <c r="AL262" i="12" s="1"/>
  <c r="AM262" i="12" s="1"/>
  <c r="AT2305" i="9"/>
  <c r="AI268" i="12" s="1"/>
  <c r="AJ268" i="12" s="1"/>
  <c r="AK268" i="12" s="1"/>
  <c r="AL268" i="12" s="1"/>
  <c r="AM268" i="12" s="1"/>
  <c r="AS2305" i="9"/>
  <c r="AK2320" i="9"/>
  <c r="AS225" i="12" s="1"/>
  <c r="AT225" i="12" s="1"/>
  <c r="AU225" i="12" s="1"/>
  <c r="AV225" i="12" s="1"/>
  <c r="AW225" i="12" s="1"/>
  <c r="AT2320" i="9"/>
  <c r="AS226" i="12" s="1"/>
  <c r="AT226" i="12" s="1"/>
  <c r="AU226" i="12" s="1"/>
  <c r="AV226" i="12" s="1"/>
  <c r="AW226" i="12" s="1"/>
  <c r="AN2320" i="9"/>
  <c r="AS227" i="12" s="1"/>
  <c r="AT227" i="12" s="1"/>
  <c r="AU227" i="12" s="1"/>
  <c r="AV227" i="12" s="1"/>
  <c r="AW227" i="12" s="1"/>
  <c r="AL2324" i="9"/>
  <c r="AS2324" i="9"/>
  <c r="AT2324" i="9"/>
  <c r="AT2328" i="9"/>
  <c r="AS246" i="12" s="1"/>
  <c r="AT246" i="12" s="1"/>
  <c r="AU246" i="12" s="1"/>
  <c r="AV246" i="12" s="1"/>
  <c r="AW246" i="12" s="1"/>
  <c r="AS2328" i="9"/>
  <c r="AS245" i="12" s="1"/>
  <c r="AT245" i="12" s="1"/>
  <c r="AU245" i="12" s="1"/>
  <c r="AV245" i="12" s="1"/>
  <c r="AW245" i="12" s="1"/>
  <c r="AS2332" i="9"/>
  <c r="AT2332" i="9"/>
  <c r="AS253" i="12" s="1"/>
  <c r="AT253" i="12" s="1"/>
  <c r="AU253" i="12" s="1"/>
  <c r="AV253" i="12" s="1"/>
  <c r="AW253" i="12" s="1"/>
  <c r="AS2336" i="9"/>
  <c r="AS260" i="12" s="1"/>
  <c r="AT260" i="12" s="1"/>
  <c r="AU260" i="12" s="1"/>
  <c r="AV260" i="12" s="1"/>
  <c r="AW260" i="12" s="1"/>
  <c r="AT2336" i="9"/>
  <c r="AS2340" i="9"/>
  <c r="AT2340" i="9"/>
  <c r="AS268" i="12" s="1"/>
  <c r="AT268" i="12" s="1"/>
  <c r="AU268" i="12" s="1"/>
  <c r="AV268" i="12" s="1"/>
  <c r="AW268" i="12" s="1"/>
  <c r="AO2385" i="9"/>
  <c r="BM220" i="12" s="1"/>
  <c r="BN220" i="12" s="1"/>
  <c r="BO220" i="12" s="1"/>
  <c r="BP220" i="12" s="1"/>
  <c r="BQ220" i="12" s="1"/>
  <c r="AK2385" i="9"/>
  <c r="BM216" i="12" s="1"/>
  <c r="BN216" i="12" s="1"/>
  <c r="BO216" i="12" s="1"/>
  <c r="BP216" i="12" s="1"/>
  <c r="BQ216" i="12" s="1"/>
  <c r="AQ2385" i="9"/>
  <c r="BM222" i="12" s="1"/>
  <c r="BN222" i="12" s="1"/>
  <c r="BO222" i="12" s="1"/>
  <c r="BP222" i="12" s="1"/>
  <c r="BQ222" i="12" s="1"/>
  <c r="AL2385" i="9"/>
  <c r="BM217" i="12" s="1"/>
  <c r="BN217" i="12" s="1"/>
  <c r="BO217" i="12" s="1"/>
  <c r="BP217" i="12" s="1"/>
  <c r="BQ217" i="12" s="1"/>
  <c r="AM2385" i="9"/>
  <c r="BM218" i="12" s="1"/>
  <c r="BN218" i="12" s="1"/>
  <c r="BO218" i="12" s="1"/>
  <c r="BP218" i="12" s="1"/>
  <c r="BQ218" i="12" s="1"/>
  <c r="AP2385" i="9"/>
  <c r="AN2385" i="9"/>
  <c r="AJ2385" i="9"/>
  <c r="BM215" i="12" s="1"/>
  <c r="BN215" i="12" s="1"/>
  <c r="BO215" i="12" s="1"/>
  <c r="BP215" i="12" s="1"/>
  <c r="BQ215" i="12" s="1"/>
  <c r="AK2389" i="9"/>
  <c r="BM233" i="12" s="1"/>
  <c r="BN233" i="12" s="1"/>
  <c r="BO233" i="12" s="1"/>
  <c r="BP233" i="12" s="1"/>
  <c r="BQ233" i="12" s="1"/>
  <c r="AM2389" i="9"/>
  <c r="BM229" i="12" s="1"/>
  <c r="BN229" i="12" s="1"/>
  <c r="BO229" i="12" s="1"/>
  <c r="BP229" i="12" s="1"/>
  <c r="BQ229" i="12" s="1"/>
  <c r="AR2389" i="9"/>
  <c r="BM230" i="12" s="1"/>
  <c r="BN230" i="12" s="1"/>
  <c r="BO230" i="12" s="1"/>
  <c r="BP230" i="12" s="1"/>
  <c r="BQ230" i="12" s="1"/>
  <c r="AS2389" i="9"/>
  <c r="BM232" i="12" s="1"/>
  <c r="BN232" i="12" s="1"/>
  <c r="BO232" i="12" s="1"/>
  <c r="BP232" i="12" s="1"/>
  <c r="BQ232" i="12" s="1"/>
  <c r="AT2389" i="9"/>
  <c r="BM231" i="12" s="1"/>
  <c r="BN231" i="12" s="1"/>
  <c r="BO231" i="12" s="1"/>
  <c r="BP231" i="12" s="1"/>
  <c r="BQ231" i="12" s="1"/>
  <c r="AO2393" i="9"/>
  <c r="AM2393" i="9"/>
  <c r="AS2397" i="9"/>
  <c r="BM250" i="12" s="1"/>
  <c r="BN250" i="12" s="1"/>
  <c r="BO250" i="12" s="1"/>
  <c r="BP250" i="12" s="1"/>
  <c r="BQ250" i="12" s="1"/>
  <c r="AL2397" i="9"/>
  <c r="AS2401" i="9"/>
  <c r="AT2401" i="9"/>
  <c r="BM257" i="12" s="1"/>
  <c r="BN257" i="12" s="1"/>
  <c r="BO257" i="12" s="1"/>
  <c r="BP257" i="12" s="1"/>
  <c r="BQ257" i="12" s="1"/>
  <c r="AT2405" i="9"/>
  <c r="AS2405" i="9"/>
  <c r="AT2447" i="9"/>
  <c r="O288" i="12" s="1"/>
  <c r="P288" i="12" s="1"/>
  <c r="Q288" i="12" s="1"/>
  <c r="R288" i="12" s="1"/>
  <c r="S288" i="12" s="1"/>
  <c r="AS2447" i="9"/>
  <c r="O287" i="12" s="1"/>
  <c r="P287" i="12" s="1"/>
  <c r="Q287" i="12" s="1"/>
  <c r="R287" i="12" s="1"/>
  <c r="S287" i="12" s="1"/>
  <c r="AR2451" i="9"/>
  <c r="O297" i="12" s="1"/>
  <c r="P297" i="12" s="1"/>
  <c r="Q297" i="12" s="1"/>
  <c r="R297" i="12" s="1"/>
  <c r="S297" i="12" s="1"/>
  <c r="AM2451" i="9"/>
  <c r="O296" i="12" s="1"/>
  <c r="P296" i="12" s="1"/>
  <c r="Q296" i="12" s="1"/>
  <c r="R296" i="12" s="1"/>
  <c r="S296" i="12" s="1"/>
  <c r="AK2451" i="9"/>
  <c r="O295" i="12" s="1"/>
  <c r="P295" i="12" s="1"/>
  <c r="Q295" i="12" s="1"/>
  <c r="R295" i="12" s="1"/>
  <c r="S295" i="12" s="1"/>
  <c r="AS2455" i="9"/>
  <c r="O303" i="12" s="1"/>
  <c r="P303" i="12" s="1"/>
  <c r="Q303" i="12" s="1"/>
  <c r="R303" i="12" s="1"/>
  <c r="S303" i="12" s="1"/>
  <c r="AS2198" i="9"/>
  <c r="AT2198" i="9"/>
  <c r="AK2218" i="9"/>
  <c r="O225" i="12" s="1"/>
  <c r="P225" i="12" s="1"/>
  <c r="Q225" i="12" s="1"/>
  <c r="R225" i="12" s="1"/>
  <c r="S225" i="12" s="1"/>
  <c r="AT2218" i="9"/>
  <c r="AM2218" i="9"/>
  <c r="AN2218" i="9"/>
  <c r="O227" i="12" s="1"/>
  <c r="P227" i="12" s="1"/>
  <c r="Q227" i="12" s="1"/>
  <c r="R227" i="12" s="1"/>
  <c r="S227" i="12" s="1"/>
  <c r="AO2218" i="9"/>
  <c r="AR2247" i="9"/>
  <c r="AK2247" i="9"/>
  <c r="AQ2247" i="9"/>
  <c r="AP2247" i="9"/>
  <c r="AL2247" i="9"/>
  <c r="AT2247" i="9"/>
  <c r="AN2247" i="9"/>
  <c r="AM2247" i="9"/>
  <c r="AS2247" i="9"/>
  <c r="AO2247" i="9"/>
  <c r="AJ2247" i="9"/>
  <c r="AT2264" i="9"/>
  <c r="Y249" i="12" s="1"/>
  <c r="Z249" i="12" s="1"/>
  <c r="AA249" i="12" s="1"/>
  <c r="AB249" i="12" s="1"/>
  <c r="AC249" i="12" s="1"/>
  <c r="AS2264" i="9"/>
  <c r="AK2352" i="9"/>
  <c r="BC216" i="12" s="1"/>
  <c r="BD216" i="12" s="1"/>
  <c r="BE216" i="12" s="1"/>
  <c r="BF216" i="12" s="1"/>
  <c r="BG216" i="12" s="1"/>
  <c r="AN2352" i="9"/>
  <c r="BC219" i="12" s="1"/>
  <c r="BD219" i="12" s="1"/>
  <c r="BE219" i="12" s="1"/>
  <c r="BF219" i="12" s="1"/>
  <c r="BG219" i="12" s="1"/>
  <c r="AJ2352" i="9"/>
  <c r="BC215" i="12" s="1"/>
  <c r="BD215" i="12" s="1"/>
  <c r="BE215" i="12" s="1"/>
  <c r="BF215" i="12" s="1"/>
  <c r="BG215" i="12" s="1"/>
  <c r="AL2352" i="9"/>
  <c r="BC217" i="12" s="1"/>
  <c r="BD217" i="12" s="1"/>
  <c r="BE217" i="12" s="1"/>
  <c r="BF217" i="12" s="1"/>
  <c r="BG217" i="12" s="1"/>
  <c r="AO2352" i="9"/>
  <c r="BC220" i="12" s="1"/>
  <c r="BD220" i="12" s="1"/>
  <c r="BE220" i="12" s="1"/>
  <c r="BF220" i="12" s="1"/>
  <c r="BG220" i="12" s="1"/>
  <c r="AP2352" i="9"/>
  <c r="AM2352" i="9"/>
  <c r="AQ2352" i="9"/>
  <c r="AL2372" i="9"/>
  <c r="BC264" i="12" s="1"/>
  <c r="BD264" i="12" s="1"/>
  <c r="BE264" i="12" s="1"/>
  <c r="BF264" i="12" s="1"/>
  <c r="BG264" i="12" s="1"/>
  <c r="AS2372" i="9"/>
  <c r="BC265" i="12" s="1"/>
  <c r="BD265" i="12" s="1"/>
  <c r="BE265" i="12" s="1"/>
  <c r="BF265" i="12" s="1"/>
  <c r="BG265" i="12" s="1"/>
  <c r="AT2467" i="9"/>
  <c r="AS2467" i="9"/>
  <c r="Y283" i="12" s="1"/>
  <c r="Z283" i="12" s="1"/>
  <c r="AA283" i="12" s="1"/>
  <c r="AB283" i="12" s="1"/>
  <c r="AC283" i="12" s="1"/>
  <c r="AK2189" i="9"/>
  <c r="E227" i="12" s="1"/>
  <c r="F227" i="12" s="1"/>
  <c r="G227" i="12" s="1"/>
  <c r="H227" i="12" s="1"/>
  <c r="I227" i="12" s="1"/>
  <c r="AT2189" i="9"/>
  <c r="AN2189" i="9"/>
  <c r="E229" i="12" s="1"/>
  <c r="F229" i="12" s="1"/>
  <c r="G229" i="12" s="1"/>
  <c r="H229" i="12" s="1"/>
  <c r="I229" i="12" s="1"/>
  <c r="AS2193" i="9"/>
  <c r="E239" i="12" s="1"/>
  <c r="F239" i="12" s="1"/>
  <c r="G239" i="12" s="1"/>
  <c r="H239" i="12" s="1"/>
  <c r="I239" i="12" s="1"/>
  <c r="AT2193" i="9"/>
  <c r="AS2197" i="9"/>
  <c r="E248" i="12" s="1"/>
  <c r="F248" i="12" s="1"/>
  <c r="G248" i="12" s="1"/>
  <c r="H248" i="12" s="1"/>
  <c r="I248" i="12" s="1"/>
  <c r="AL2197" i="9"/>
  <c r="E247" i="12" s="1"/>
  <c r="F247" i="12" s="1"/>
  <c r="G247" i="12" s="1"/>
  <c r="H247" i="12" s="1"/>
  <c r="I247" i="12" s="1"/>
  <c r="AS2201" i="9"/>
  <c r="E254" i="12" s="1"/>
  <c r="F254" i="12" s="1"/>
  <c r="G254" i="12" s="1"/>
  <c r="H254" i="12" s="1"/>
  <c r="I254" i="12" s="1"/>
  <c r="AM2217" i="9"/>
  <c r="AN2217" i="9"/>
  <c r="O224" i="12" s="1"/>
  <c r="P224" i="12" s="1"/>
  <c r="Q224" i="12" s="1"/>
  <c r="R224" i="12" s="1"/>
  <c r="S224" i="12" s="1"/>
  <c r="AO2217" i="9"/>
  <c r="AM2221" i="9"/>
  <c r="AN2221" i="9"/>
  <c r="AO2221" i="9"/>
  <c r="AS2221" i="9"/>
  <c r="AT2221" i="9"/>
  <c r="O236" i="12" s="1"/>
  <c r="P236" i="12" s="1"/>
  <c r="Q236" i="12" s="1"/>
  <c r="R236" i="12" s="1"/>
  <c r="S236" i="12" s="1"/>
  <c r="AS2225" i="9"/>
  <c r="O243" i="12" s="1"/>
  <c r="P243" i="12" s="1"/>
  <c r="Q243" i="12" s="1"/>
  <c r="R243" i="12" s="1"/>
  <c r="S243" i="12" s="1"/>
  <c r="AT2225" i="9"/>
  <c r="O244" i="12" s="1"/>
  <c r="P244" i="12" s="1"/>
  <c r="Q244" i="12" s="1"/>
  <c r="R244" i="12" s="1"/>
  <c r="S244" i="12" s="1"/>
  <c r="AS2229" i="9"/>
  <c r="AT2229" i="9"/>
  <c r="O251" i="12" s="1"/>
  <c r="P251" i="12" s="1"/>
  <c r="Q251" i="12" s="1"/>
  <c r="R251" i="12" s="1"/>
  <c r="S251" i="12" s="1"/>
  <c r="AS2233" i="9"/>
  <c r="AL2233" i="9"/>
  <c r="AJ2251" i="9"/>
  <c r="Y215" i="12" s="1"/>
  <c r="Z215" i="12" s="1"/>
  <c r="AA215" i="12" s="1"/>
  <c r="AB215" i="12" s="1"/>
  <c r="AC215" i="12" s="1"/>
  <c r="AK2251" i="9"/>
  <c r="Y216" i="12" s="1"/>
  <c r="Z216" i="12" s="1"/>
  <c r="AA216" i="12" s="1"/>
  <c r="AB216" i="12" s="1"/>
  <c r="AC216" i="12" s="1"/>
  <c r="AL2251" i="9"/>
  <c r="AM2251" i="9"/>
  <c r="AN2251" i="9"/>
  <c r="Y219" i="12" s="1"/>
  <c r="Z219" i="12" s="1"/>
  <c r="AA219" i="12" s="1"/>
  <c r="AB219" i="12" s="1"/>
  <c r="AC219" i="12" s="1"/>
  <c r="AO2251" i="9"/>
  <c r="Y220" i="12" s="1"/>
  <c r="Z220" i="12" s="1"/>
  <c r="AA220" i="12" s="1"/>
  <c r="AB220" i="12" s="1"/>
  <c r="AC220" i="12" s="1"/>
  <c r="AP2251" i="9"/>
  <c r="AQ2251" i="9"/>
  <c r="Y222" i="12" s="1"/>
  <c r="Z222" i="12" s="1"/>
  <c r="AA222" i="12" s="1"/>
  <c r="AB222" i="12" s="1"/>
  <c r="AC222" i="12" s="1"/>
  <c r="AR2255" i="9"/>
  <c r="AK2255" i="9"/>
  <c r="AS2255" i="9"/>
  <c r="AT2255" i="9"/>
  <c r="Y232" i="12" s="1"/>
  <c r="Z232" i="12" s="1"/>
  <c r="AA232" i="12" s="1"/>
  <c r="AB232" i="12" s="1"/>
  <c r="AC232" i="12" s="1"/>
  <c r="AM2255" i="9"/>
  <c r="Y230" i="12" s="1"/>
  <c r="Z230" i="12" s="1"/>
  <c r="AA230" i="12" s="1"/>
  <c r="AB230" i="12" s="1"/>
  <c r="AC230" i="12" s="1"/>
  <c r="AT2259" i="9"/>
  <c r="Y242" i="12" s="1"/>
  <c r="Z242" i="12" s="1"/>
  <c r="AA242" i="12" s="1"/>
  <c r="AB242" i="12" s="1"/>
  <c r="AC242" i="12" s="1"/>
  <c r="AS2259" i="9"/>
  <c r="Y241" i="12" s="1"/>
  <c r="Z241" i="12" s="1"/>
  <c r="AA241" i="12" s="1"/>
  <c r="AB241" i="12" s="1"/>
  <c r="AC241" i="12" s="1"/>
  <c r="AL2263" i="9"/>
  <c r="Y246" i="12" s="1"/>
  <c r="Z246" i="12" s="1"/>
  <c r="AA246" i="12" s="1"/>
  <c r="AB246" i="12" s="1"/>
  <c r="AC246" i="12" s="1"/>
  <c r="AS2263" i="9"/>
  <c r="Y247" i="12" s="1"/>
  <c r="Z247" i="12" s="1"/>
  <c r="AA247" i="12" s="1"/>
  <c r="AB247" i="12" s="1"/>
  <c r="AC247" i="12" s="1"/>
  <c r="AT2267" i="9"/>
  <c r="Y255" i="12" s="1"/>
  <c r="Z255" i="12" s="1"/>
  <c r="AA255" i="12" s="1"/>
  <c r="AB255" i="12" s="1"/>
  <c r="AC255" i="12" s="1"/>
  <c r="AS2267" i="9"/>
  <c r="AS2271" i="9"/>
  <c r="Y262" i="12" s="1"/>
  <c r="Z262" i="12" s="1"/>
  <c r="AA262" i="12" s="1"/>
  <c r="AB262" i="12" s="1"/>
  <c r="AC262" i="12" s="1"/>
  <c r="AL2271" i="9"/>
  <c r="AT2355" i="9"/>
  <c r="BC232" i="12" s="1"/>
  <c r="BD232" i="12" s="1"/>
  <c r="BE232" i="12" s="1"/>
  <c r="BF232" i="12" s="1"/>
  <c r="BG232" i="12" s="1"/>
  <c r="AK2355" i="9"/>
  <c r="BC230" i="12" s="1"/>
  <c r="BD230" i="12" s="1"/>
  <c r="BE230" i="12" s="1"/>
  <c r="BF230" i="12" s="1"/>
  <c r="BG230" i="12" s="1"/>
  <c r="AN2355" i="9"/>
  <c r="AS2359" i="9"/>
  <c r="AT2359" i="9"/>
  <c r="AS2363" i="9"/>
  <c r="BC248" i="12" s="1"/>
  <c r="BD248" i="12" s="1"/>
  <c r="BE248" i="12" s="1"/>
  <c r="BF248" i="12" s="1"/>
  <c r="BG248" i="12" s="1"/>
  <c r="AL2363" i="9"/>
  <c r="AS2367" i="9"/>
  <c r="BC255" i="12" s="1"/>
  <c r="BD255" i="12" s="1"/>
  <c r="BE255" i="12" s="1"/>
  <c r="BF255" i="12" s="1"/>
  <c r="BG255" i="12" s="1"/>
  <c r="AL2367" i="9"/>
  <c r="AL2371" i="9"/>
  <c r="BC262" i="12" s="1"/>
  <c r="BD262" i="12" s="1"/>
  <c r="BE262" i="12" s="1"/>
  <c r="BF262" i="12" s="1"/>
  <c r="BG262" i="12" s="1"/>
  <c r="AS2371" i="9"/>
  <c r="BC263" i="12" s="1"/>
  <c r="BD263" i="12" s="1"/>
  <c r="BE263" i="12" s="1"/>
  <c r="BF263" i="12" s="1"/>
  <c r="BG263" i="12" s="1"/>
  <c r="AL2416" i="9"/>
  <c r="E278" i="12" s="1"/>
  <c r="F278" i="12" s="1"/>
  <c r="G278" i="12" s="1"/>
  <c r="H278" i="12" s="1"/>
  <c r="I278" i="12" s="1"/>
  <c r="AO2416" i="9"/>
  <c r="E280" i="12" s="1"/>
  <c r="F280" i="12" s="1"/>
  <c r="G280" i="12" s="1"/>
  <c r="H280" i="12" s="1"/>
  <c r="I280" i="12" s="1"/>
  <c r="AP2416" i="9"/>
  <c r="E281" i="12" s="1"/>
  <c r="F281" i="12" s="1"/>
  <c r="G281" i="12" s="1"/>
  <c r="H281" i="12" s="1"/>
  <c r="I281" i="12" s="1"/>
  <c r="AN2416" i="9"/>
  <c r="AS2420" i="9"/>
  <c r="AT2420" i="9"/>
  <c r="AS2424" i="9"/>
  <c r="AT2424" i="9"/>
  <c r="E298" i="12" s="1"/>
  <c r="F298" i="12" s="1"/>
  <c r="G298" i="12" s="1"/>
  <c r="H298" i="12" s="1"/>
  <c r="I298" i="12" s="1"/>
  <c r="AL2432" i="9"/>
  <c r="E311" i="12" s="1"/>
  <c r="F311" i="12" s="1"/>
  <c r="G311" i="12" s="1"/>
  <c r="H311" i="12" s="1"/>
  <c r="I311" i="12" s="1"/>
  <c r="AT2466" i="9"/>
  <c r="Y282" i="12" s="1"/>
  <c r="Z282" i="12" s="1"/>
  <c r="AA282" i="12" s="1"/>
  <c r="AB282" i="12" s="1"/>
  <c r="AC282" i="12" s="1"/>
  <c r="AP2470" i="9"/>
  <c r="Y292" i="12" s="1"/>
  <c r="Z292" i="12" s="1"/>
  <c r="AA292" i="12" s="1"/>
  <c r="AB292" i="12" s="1"/>
  <c r="AC292" i="12" s="1"/>
  <c r="AO2470" i="9"/>
  <c r="Y291" i="12" s="1"/>
  <c r="Z291" i="12" s="1"/>
  <c r="AA291" i="12" s="1"/>
  <c r="AB291" i="12" s="1"/>
  <c r="AC291" i="12" s="1"/>
  <c r="AL2470" i="9"/>
  <c r="Y289" i="12" s="1"/>
  <c r="Z289" i="12" s="1"/>
  <c r="AA289" i="12" s="1"/>
  <c r="AB289" i="12" s="1"/>
  <c r="AC289" i="12" s="1"/>
  <c r="AN2470" i="9"/>
  <c r="Y290" i="12" s="1"/>
  <c r="Z290" i="12" s="1"/>
  <c r="AA290" i="12" s="1"/>
  <c r="AB290" i="12" s="1"/>
  <c r="AC290" i="12" s="1"/>
  <c r="AT2474" i="9"/>
  <c r="Y299" i="12" s="1"/>
  <c r="Z299" i="12" s="1"/>
  <c r="AA299" i="12" s="1"/>
  <c r="AB299" i="12" s="1"/>
  <c r="AC299" i="12" s="1"/>
  <c r="AS2474" i="9"/>
  <c r="Y298" i="12" s="1"/>
  <c r="Z298" i="12" s="1"/>
  <c r="AA298" i="12" s="1"/>
  <c r="AB298" i="12" s="1"/>
  <c r="AC298" i="12" s="1"/>
  <c r="AS2478" i="9"/>
  <c r="Y305" i="12" s="1"/>
  <c r="Z305" i="12" s="1"/>
  <c r="AA305" i="12" s="1"/>
  <c r="AB305" i="12" s="1"/>
  <c r="AC305" i="12" s="1"/>
  <c r="AT2478" i="9"/>
  <c r="AM2190" i="9"/>
  <c r="AN2190" i="9"/>
  <c r="E231" i="12" s="1"/>
  <c r="F231" i="12" s="1"/>
  <c r="G231" i="12" s="1"/>
  <c r="H231" i="12" s="1"/>
  <c r="I231" i="12" s="1"/>
  <c r="AS2230" i="9"/>
  <c r="AT2230" i="9"/>
  <c r="O253" i="12" s="1"/>
  <c r="P253" i="12" s="1"/>
  <c r="Q253" i="12" s="1"/>
  <c r="R253" i="12" s="1"/>
  <c r="S253" i="12" s="1"/>
  <c r="AT2364" i="9"/>
  <c r="BC250" i="12" s="1"/>
  <c r="BD250" i="12" s="1"/>
  <c r="BE250" i="12" s="1"/>
  <c r="BF250" i="12" s="1"/>
  <c r="BG250" i="12" s="1"/>
  <c r="AS2364" i="9"/>
  <c r="BC249" i="12" s="1"/>
  <c r="BD249" i="12" s="1"/>
  <c r="BE249" i="12" s="1"/>
  <c r="BF249" i="12" s="1"/>
  <c r="BG249" i="12" s="1"/>
  <c r="AS2286" i="9"/>
  <c r="AI229" i="12" s="1"/>
  <c r="AJ229" i="12" s="1"/>
  <c r="AK229" i="12" s="1"/>
  <c r="AL229" i="12" s="1"/>
  <c r="AM229" i="12" s="1"/>
  <c r="AM2286" i="9"/>
  <c r="AM2290" i="9"/>
  <c r="AO2290" i="9"/>
  <c r="AI240" i="12" s="1"/>
  <c r="AJ240" i="12" s="1"/>
  <c r="AK240" i="12" s="1"/>
  <c r="AL240" i="12" s="1"/>
  <c r="AM240" i="12" s="1"/>
  <c r="AS2294" i="9"/>
  <c r="AL2294" i="9"/>
  <c r="AI247" i="12" s="1"/>
  <c r="AJ247" i="12" s="1"/>
  <c r="AK247" i="12" s="1"/>
  <c r="AL247" i="12" s="1"/>
  <c r="AM247" i="12" s="1"/>
  <c r="AS2298" i="9"/>
  <c r="AT2298" i="9"/>
  <c r="AI256" i="12" s="1"/>
  <c r="AJ256" i="12" s="1"/>
  <c r="AK256" i="12" s="1"/>
  <c r="AL256" i="12" s="1"/>
  <c r="AM256" i="12" s="1"/>
  <c r="AI263" i="12"/>
  <c r="AJ263" i="12" s="1"/>
  <c r="AK263" i="12" s="1"/>
  <c r="AL263" i="12" s="1"/>
  <c r="AM263" i="12" s="1"/>
  <c r="AL2302" i="9"/>
  <c r="AS2302" i="9"/>
  <c r="AS2306" i="9"/>
  <c r="AI269" i="12" s="1"/>
  <c r="AJ269" i="12" s="1"/>
  <c r="AK269" i="12" s="1"/>
  <c r="AL269" i="12" s="1"/>
  <c r="AM269" i="12" s="1"/>
  <c r="AT2306" i="9"/>
  <c r="AI270" i="12" s="1"/>
  <c r="AJ270" i="12" s="1"/>
  <c r="AK270" i="12" s="1"/>
  <c r="AL270" i="12" s="1"/>
  <c r="AM270" i="12" s="1"/>
  <c r="AS2321" i="9"/>
  <c r="AS229" i="12" s="1"/>
  <c r="AT229" i="12" s="1"/>
  <c r="AU229" i="12" s="1"/>
  <c r="AV229" i="12" s="1"/>
  <c r="AW229" i="12" s="1"/>
  <c r="AM2321" i="9"/>
  <c r="AM2325" i="9"/>
  <c r="AS239" i="12" s="1"/>
  <c r="AT239" i="12" s="1"/>
  <c r="AU239" i="12" s="1"/>
  <c r="AV239" i="12" s="1"/>
  <c r="AW239" i="12" s="1"/>
  <c r="AO2325" i="9"/>
  <c r="AS240" i="12" s="1"/>
  <c r="AT240" i="12" s="1"/>
  <c r="AU240" i="12" s="1"/>
  <c r="AV240" i="12" s="1"/>
  <c r="AW240" i="12" s="1"/>
  <c r="AS2329" i="9"/>
  <c r="AT2329" i="9"/>
  <c r="AS2333" i="9"/>
  <c r="AS255" i="12" s="1"/>
  <c r="AT255" i="12" s="1"/>
  <c r="AU255" i="12" s="1"/>
  <c r="AV255" i="12" s="1"/>
  <c r="AW255" i="12" s="1"/>
  <c r="AL2333" i="9"/>
  <c r="AS254" i="12" s="1"/>
  <c r="AT254" i="12" s="1"/>
  <c r="AU254" i="12" s="1"/>
  <c r="AV254" i="12" s="1"/>
  <c r="AW254" i="12" s="1"/>
  <c r="AT2337" i="9"/>
  <c r="AS2337" i="9"/>
  <c r="AK2381" i="9"/>
  <c r="AT2381" i="9"/>
  <c r="AM2381" i="9"/>
  <c r="AR2381" i="9"/>
  <c r="AS2381" i="9"/>
  <c r="AJ2381" i="9"/>
  <c r="AL2381" i="9"/>
  <c r="AO2381" i="9"/>
  <c r="AN2381" i="9"/>
  <c r="AQ2381" i="9"/>
  <c r="AP2381" i="9"/>
  <c r="AM2386" i="9"/>
  <c r="AN2386" i="9"/>
  <c r="BM224" i="12" s="1"/>
  <c r="BN224" i="12" s="1"/>
  <c r="BO224" i="12" s="1"/>
  <c r="BP224" i="12" s="1"/>
  <c r="BQ224" i="12" s="1"/>
  <c r="AK2390" i="9"/>
  <c r="BM234" i="12" s="1"/>
  <c r="BN234" i="12" s="1"/>
  <c r="BO234" i="12" s="1"/>
  <c r="BP234" i="12" s="1"/>
  <c r="BQ234" i="12" s="1"/>
  <c r="AT2390" i="9"/>
  <c r="BM236" i="12" s="1"/>
  <c r="BN236" i="12" s="1"/>
  <c r="BO236" i="12" s="1"/>
  <c r="BP236" i="12" s="1"/>
  <c r="BQ236" i="12" s="1"/>
  <c r="AN2390" i="9"/>
  <c r="AS2394" i="9"/>
  <c r="BM244" i="12" s="1"/>
  <c r="BN244" i="12" s="1"/>
  <c r="BO244" i="12" s="1"/>
  <c r="BP244" i="12" s="1"/>
  <c r="BQ244" i="12" s="1"/>
  <c r="AT2394" i="9"/>
  <c r="BM245" i="12" s="1"/>
  <c r="BN245" i="12" s="1"/>
  <c r="BO245" i="12" s="1"/>
  <c r="BP245" i="12" s="1"/>
  <c r="BQ245" i="12" s="1"/>
  <c r="AS2398" i="9"/>
  <c r="BM251" i="12" s="1"/>
  <c r="BN251" i="12" s="1"/>
  <c r="BO251" i="12" s="1"/>
  <c r="BP251" i="12" s="1"/>
  <c r="BQ251" i="12" s="1"/>
  <c r="AL2398" i="9"/>
  <c r="AS2402" i="9"/>
  <c r="BM259" i="12" s="1"/>
  <c r="BN259" i="12" s="1"/>
  <c r="BO259" i="12" s="1"/>
  <c r="BP259" i="12" s="1"/>
  <c r="BQ259" i="12" s="1"/>
  <c r="AL2402" i="9"/>
  <c r="BM258" i="12" s="1"/>
  <c r="BN258" i="12" s="1"/>
  <c r="BO258" i="12" s="1"/>
  <c r="BP258" i="12" s="1"/>
  <c r="BQ258" i="12" s="1"/>
  <c r="AL2444" i="9"/>
  <c r="AN2444" i="9"/>
  <c r="O279" i="12" s="1"/>
  <c r="P279" i="12" s="1"/>
  <c r="Q279" i="12" s="1"/>
  <c r="R279" i="12" s="1"/>
  <c r="S279" i="12" s="1"/>
  <c r="AO2444" i="9"/>
  <c r="O280" i="12" s="1"/>
  <c r="P280" i="12" s="1"/>
  <c r="Q280" i="12" s="1"/>
  <c r="R280" i="12" s="1"/>
  <c r="S280" i="12" s="1"/>
  <c r="AP2444" i="9"/>
  <c r="O281" i="12" s="1"/>
  <c r="P281" i="12" s="1"/>
  <c r="Q281" i="12" s="1"/>
  <c r="R281" i="12" s="1"/>
  <c r="S281" i="12" s="1"/>
  <c r="AS2448" i="9"/>
  <c r="AT2448" i="9"/>
  <c r="AS2452" i="9"/>
  <c r="O298" i="12" s="1"/>
  <c r="P298" i="12" s="1"/>
  <c r="Q298" i="12" s="1"/>
  <c r="R298" i="12" s="1"/>
  <c r="S298" i="12" s="1"/>
  <c r="AT2452" i="9"/>
  <c r="O299" i="12" s="1"/>
  <c r="P299" i="12" s="1"/>
  <c r="Q299" i="12" s="1"/>
  <c r="R299" i="12" s="1"/>
  <c r="S299" i="12" s="1"/>
  <c r="AT2185" i="9"/>
  <c r="E212" i="12" s="1"/>
  <c r="F212" i="12" s="1"/>
  <c r="G212" i="12" s="1"/>
  <c r="H212" i="12" s="1"/>
  <c r="I212" i="12" s="1"/>
  <c r="AP2185" i="9"/>
  <c r="E213" i="12" s="1"/>
  <c r="F213" i="12" s="1"/>
  <c r="G213" i="12" s="1"/>
  <c r="H213" i="12" s="1"/>
  <c r="I213" i="12" s="1"/>
  <c r="AM2185" i="9"/>
  <c r="E210" i="12" s="1"/>
  <c r="F210" i="12" s="1"/>
  <c r="G210" i="12" s="1"/>
  <c r="H210" i="12" s="1"/>
  <c r="I210" i="12" s="1"/>
  <c r="AN2185" i="9"/>
  <c r="E211" i="12" s="1"/>
  <c r="F211" i="12" s="1"/>
  <c r="G211" i="12" s="1"/>
  <c r="H211" i="12" s="1"/>
  <c r="I211" i="12" s="1"/>
  <c r="AO2185" i="9"/>
  <c r="E214" i="12" s="1"/>
  <c r="F214" i="12" s="1"/>
  <c r="G214" i="12" s="1"/>
  <c r="H214" i="12" s="1"/>
  <c r="I214" i="12" s="1"/>
  <c r="AN2417" i="9"/>
  <c r="E282" i="12" s="1"/>
  <c r="F282" i="12" s="1"/>
  <c r="G282" i="12" s="1"/>
  <c r="H282" i="12" s="1"/>
  <c r="I282" i="12" s="1"/>
  <c r="AP2417" i="9"/>
  <c r="E284" i="12" s="1"/>
  <c r="F284" i="12" s="1"/>
  <c r="G284" i="12" s="1"/>
  <c r="H284" i="12" s="1"/>
  <c r="I284" i="12" s="1"/>
  <c r="AO2417" i="9"/>
  <c r="AT2384" i="9"/>
  <c r="BM212" i="12" s="1"/>
  <c r="BN212" i="12" s="1"/>
  <c r="BO212" i="12" s="1"/>
  <c r="BP212" i="12" s="1"/>
  <c r="BQ212" i="12" s="1"/>
  <c r="AM2384" i="9"/>
  <c r="BM210" i="12" s="1"/>
  <c r="BN210" i="12" s="1"/>
  <c r="BO210" i="12" s="1"/>
  <c r="BP210" i="12" s="1"/>
  <c r="BQ210" i="12" s="1"/>
  <c r="AN2384" i="9"/>
  <c r="BM211" i="12" s="1"/>
  <c r="BN211" i="12" s="1"/>
  <c r="BO211" i="12" s="1"/>
  <c r="BP211" i="12" s="1"/>
  <c r="BQ211" i="12" s="1"/>
  <c r="AO2384" i="9"/>
  <c r="BM214" i="12" s="1"/>
  <c r="BN214" i="12" s="1"/>
  <c r="BO214" i="12" s="1"/>
  <c r="BP214" i="12" s="1"/>
  <c r="BQ214" i="12" s="1"/>
  <c r="AP2384" i="9"/>
  <c r="BM213" i="12" s="1"/>
  <c r="BN213" i="12" s="1"/>
  <c r="BO213" i="12" s="1"/>
  <c r="BP213" i="12" s="1"/>
  <c r="BQ213" i="12" s="1"/>
  <c r="AT2282" i="9"/>
  <c r="AI212" i="12" s="1"/>
  <c r="AJ212" i="12" s="1"/>
  <c r="AK212" i="12" s="1"/>
  <c r="AL212" i="12" s="1"/>
  <c r="AM212" i="12" s="1"/>
  <c r="AM2282" i="9"/>
  <c r="AI210" i="12" s="1"/>
  <c r="AJ210" i="12" s="1"/>
  <c r="AK210" i="12" s="1"/>
  <c r="AL210" i="12" s="1"/>
  <c r="AM210" i="12" s="1"/>
  <c r="AO2282" i="9"/>
  <c r="AI214" i="12" s="1"/>
  <c r="AJ214" i="12" s="1"/>
  <c r="AK214" i="12" s="1"/>
  <c r="AL214" i="12" s="1"/>
  <c r="AM214" i="12" s="1"/>
  <c r="AP2282" i="9"/>
  <c r="AI213" i="12" s="1"/>
  <c r="AJ213" i="12" s="1"/>
  <c r="AK213" i="12" s="1"/>
  <c r="AL213" i="12" s="1"/>
  <c r="AM213" i="12" s="1"/>
  <c r="AN2282" i="9"/>
  <c r="AI211" i="12" s="1"/>
  <c r="AJ211" i="12" s="1"/>
  <c r="AK211" i="12" s="1"/>
  <c r="AL211" i="12" s="1"/>
  <c r="AM211" i="12" s="1"/>
  <c r="AT2215" i="9"/>
  <c r="O212" i="12" s="1"/>
  <c r="P212" i="12" s="1"/>
  <c r="Q212" i="12" s="1"/>
  <c r="R212" i="12" s="1"/>
  <c r="S212" i="12" s="1"/>
  <c r="AM2215" i="9"/>
  <c r="O210" i="12" s="1"/>
  <c r="P210" i="12" s="1"/>
  <c r="Q210" i="12" s="1"/>
  <c r="R210" i="12" s="1"/>
  <c r="S210" i="12" s="1"/>
  <c r="AO2215" i="9"/>
  <c r="O214" i="12" s="1"/>
  <c r="P214" i="12" s="1"/>
  <c r="Q214" i="12" s="1"/>
  <c r="R214" i="12" s="1"/>
  <c r="S214" i="12" s="1"/>
  <c r="AN2215" i="9"/>
  <c r="O211" i="12" s="1"/>
  <c r="P211" i="12" s="1"/>
  <c r="Q211" i="12" s="1"/>
  <c r="R211" i="12" s="1"/>
  <c r="S211" i="12" s="1"/>
  <c r="AP2215" i="9"/>
  <c r="O213" i="12" s="1"/>
  <c r="P213" i="12" s="1"/>
  <c r="Q213" i="12" s="1"/>
  <c r="R213" i="12" s="1"/>
  <c r="S213" i="12" s="1"/>
  <c r="AO2469" i="9"/>
  <c r="AP2469" i="9"/>
  <c r="Y288" i="12" s="1"/>
  <c r="Z288" i="12" s="1"/>
  <c r="AA288" i="12" s="1"/>
  <c r="AB288" i="12" s="1"/>
  <c r="AC288" i="12" s="1"/>
  <c r="AN2469" i="9"/>
  <c r="Y286" i="12" s="1"/>
  <c r="Z286" i="12" s="1"/>
  <c r="AA286" i="12" s="1"/>
  <c r="AB286" i="12" s="1"/>
  <c r="AC286" i="12" s="1"/>
  <c r="AM2351" i="9"/>
  <c r="BC210" i="12" s="1"/>
  <c r="BD210" i="12" s="1"/>
  <c r="BE210" i="12" s="1"/>
  <c r="BF210" i="12" s="1"/>
  <c r="BG210" i="12" s="1"/>
  <c r="AT2351" i="9"/>
  <c r="BC212" i="12" s="1"/>
  <c r="BD212" i="12" s="1"/>
  <c r="BE212" i="12" s="1"/>
  <c r="BF212" i="12" s="1"/>
  <c r="BG212" i="12" s="1"/>
  <c r="AP2351" i="9"/>
  <c r="BC213" i="12" s="1"/>
  <c r="BD213" i="12" s="1"/>
  <c r="BE213" i="12" s="1"/>
  <c r="BF213" i="12" s="1"/>
  <c r="BG213" i="12" s="1"/>
  <c r="AN2351" i="9"/>
  <c r="BC211" i="12" s="1"/>
  <c r="BD211" i="12" s="1"/>
  <c r="BE211" i="12" s="1"/>
  <c r="BF211" i="12" s="1"/>
  <c r="BG211" i="12" s="1"/>
  <c r="AO2351" i="9"/>
  <c r="AM2317" i="9"/>
  <c r="AS210" i="12" s="1"/>
  <c r="AT210" i="12" s="1"/>
  <c r="AU210" i="12" s="1"/>
  <c r="AV210" i="12" s="1"/>
  <c r="AW210" i="12" s="1"/>
  <c r="AP2317" i="9"/>
  <c r="AS213" i="12" s="1"/>
  <c r="AT213" i="12" s="1"/>
  <c r="AU213" i="12" s="1"/>
  <c r="AV213" i="12" s="1"/>
  <c r="AW213" i="12" s="1"/>
  <c r="AT2317" i="9"/>
  <c r="AS212" i="12" s="1"/>
  <c r="AT212" i="12" s="1"/>
  <c r="AU212" i="12" s="1"/>
  <c r="AV212" i="12" s="1"/>
  <c r="AW212" i="12" s="1"/>
  <c r="AN2317" i="9"/>
  <c r="AS211" i="12" s="1"/>
  <c r="AT211" i="12" s="1"/>
  <c r="AU211" i="12" s="1"/>
  <c r="AV211" i="12" s="1"/>
  <c r="AW211" i="12" s="1"/>
  <c r="AO2317" i="9"/>
  <c r="AS214" i="12" s="1"/>
  <c r="AT214" i="12" s="1"/>
  <c r="AU214" i="12" s="1"/>
  <c r="AV214" i="12" s="1"/>
  <c r="AW214" i="12" s="1"/>
  <c r="E79" i="14"/>
  <c r="L11" i="14" s="1"/>
  <c r="M11" i="14" s="1"/>
  <c r="F79" i="14"/>
  <c r="AT2370" i="9"/>
  <c r="AS2370" i="9"/>
  <c r="BC260" i="12" s="1"/>
  <c r="BD260" i="12" s="1"/>
  <c r="BE260" i="12" s="1"/>
  <c r="BF260" i="12" s="1"/>
  <c r="BG260" i="12" s="1"/>
  <c r="AJ2428" i="9"/>
  <c r="E305" i="12" s="1"/>
  <c r="F305" i="12" s="1"/>
  <c r="G305" i="12" s="1"/>
  <c r="H305" i="12" s="1"/>
  <c r="I305" i="12" s="1"/>
  <c r="U3312" i="9"/>
  <c r="U3220" i="9"/>
  <c r="AS2368" i="9"/>
  <c r="BC256" i="12" s="1"/>
  <c r="BD256" i="12" s="1"/>
  <c r="BE256" i="12" s="1"/>
  <c r="BF256" i="12" s="1"/>
  <c r="BG256" i="12" s="1"/>
  <c r="AT2368" i="9"/>
  <c r="BC257" i="12" s="1"/>
  <c r="BD257" i="12" s="1"/>
  <c r="BE257" i="12" s="1"/>
  <c r="BF257" i="12" s="1"/>
  <c r="BG257" i="12" s="1"/>
  <c r="AT2299" i="9"/>
  <c r="AI258" i="12" s="1"/>
  <c r="AJ258" i="12" s="1"/>
  <c r="AK258" i="12" s="1"/>
  <c r="AL258" i="12" s="1"/>
  <c r="AM258" i="12" s="1"/>
  <c r="AS2299" i="9"/>
  <c r="AI257" i="12" s="1"/>
  <c r="AJ257" i="12" s="1"/>
  <c r="AK257" i="12" s="1"/>
  <c r="AL257" i="12" s="1"/>
  <c r="AM257" i="12" s="1"/>
  <c r="AS2303" i="9"/>
  <c r="AI264" i="12" s="1"/>
  <c r="AJ264" i="12" s="1"/>
  <c r="AK264" i="12" s="1"/>
  <c r="AL264" i="12" s="1"/>
  <c r="AM264" i="12" s="1"/>
  <c r="AT2303" i="9"/>
  <c r="AI265" i="12" s="1"/>
  <c r="AJ265" i="12" s="1"/>
  <c r="AK265" i="12" s="1"/>
  <c r="AL265" i="12" s="1"/>
  <c r="AM265" i="12" s="1"/>
  <c r="AS2426" i="9"/>
  <c r="E301" i="12" s="1"/>
  <c r="F301" i="12" s="1"/>
  <c r="G301" i="12" s="1"/>
  <c r="H301" i="12" s="1"/>
  <c r="I301" i="12" s="1"/>
  <c r="AT2426" i="9"/>
  <c r="E302" i="12" s="1"/>
  <c r="F302" i="12" s="1"/>
  <c r="G302" i="12" s="1"/>
  <c r="H302" i="12" s="1"/>
  <c r="I302" i="12" s="1"/>
  <c r="BC222" i="12"/>
  <c r="BD222" i="12" s="1"/>
  <c r="BE222" i="12" s="1"/>
  <c r="BF222" i="12" s="1"/>
  <c r="BG222" i="12" s="1"/>
  <c r="BC218" i="12"/>
  <c r="BD218" i="12" s="1"/>
  <c r="BE218" i="12" s="1"/>
  <c r="BF218" i="12" s="1"/>
  <c r="BG218" i="12" s="1"/>
  <c r="BC221" i="12"/>
  <c r="BD221" i="12" s="1"/>
  <c r="BE221" i="12" s="1"/>
  <c r="BF221" i="12" s="1"/>
  <c r="BG221" i="12" s="1"/>
  <c r="BM202" i="12"/>
  <c r="BN202" i="12" s="1"/>
  <c r="BO202" i="12" s="1"/>
  <c r="BP202" i="12" s="1"/>
  <c r="BQ202" i="12" s="1"/>
  <c r="BM208" i="12"/>
  <c r="BN208" i="12" s="1"/>
  <c r="BO208" i="12" s="1"/>
  <c r="BP208" i="12" s="1"/>
  <c r="BQ208" i="12" s="1"/>
  <c r="BM206" i="12"/>
  <c r="BN206" i="12" s="1"/>
  <c r="BO206" i="12" s="1"/>
  <c r="BP206" i="12" s="1"/>
  <c r="BQ206" i="12" s="1"/>
  <c r="BM205" i="12"/>
  <c r="BN205" i="12" s="1"/>
  <c r="BO205" i="12" s="1"/>
  <c r="BP205" i="12" s="1"/>
  <c r="BQ205" i="12" s="1"/>
  <c r="BM207" i="12"/>
  <c r="BN207" i="12" s="1"/>
  <c r="BO207" i="12" s="1"/>
  <c r="BP207" i="12" s="1"/>
  <c r="BQ207" i="12" s="1"/>
  <c r="BM239" i="12"/>
  <c r="BN239" i="12" s="1"/>
  <c r="BO239" i="12" s="1"/>
  <c r="BP239" i="12" s="1"/>
  <c r="BQ239" i="12" s="1"/>
  <c r="BM238" i="12"/>
  <c r="BN238" i="12" s="1"/>
  <c r="BO238" i="12" s="1"/>
  <c r="BP238" i="12" s="1"/>
  <c r="BQ238" i="12" s="1"/>
  <c r="BM237" i="12"/>
  <c r="BN237" i="12" s="1"/>
  <c r="BO237" i="12" s="1"/>
  <c r="BP237" i="12" s="1"/>
  <c r="BQ237" i="12" s="1"/>
  <c r="BM261" i="12"/>
  <c r="BN261" i="12" s="1"/>
  <c r="BO261" i="12" s="1"/>
  <c r="BP261" i="12" s="1"/>
  <c r="BQ261" i="12" s="1"/>
  <c r="O300" i="12"/>
  <c r="P300" i="12" s="1"/>
  <c r="Q300" i="12" s="1"/>
  <c r="R300" i="12" s="1"/>
  <c r="S300" i="12" s="1"/>
  <c r="O301" i="12"/>
  <c r="P301" i="12" s="1"/>
  <c r="Q301" i="12" s="1"/>
  <c r="R301" i="12" s="1"/>
  <c r="S301" i="12" s="1"/>
  <c r="E244" i="12"/>
  <c r="F244" i="12" s="1"/>
  <c r="G244" i="12" s="1"/>
  <c r="H244" i="12" s="1"/>
  <c r="I244" i="12" s="1"/>
  <c r="E243" i="12"/>
  <c r="F243" i="12" s="1"/>
  <c r="G243" i="12" s="1"/>
  <c r="H243" i="12" s="1"/>
  <c r="I243" i="12" s="1"/>
  <c r="E257" i="12"/>
  <c r="F257" i="12" s="1"/>
  <c r="G257" i="12" s="1"/>
  <c r="H257" i="12" s="1"/>
  <c r="I257" i="12" s="1"/>
  <c r="E258" i="12"/>
  <c r="F258" i="12" s="1"/>
  <c r="G258" i="12" s="1"/>
  <c r="H258" i="12" s="1"/>
  <c r="I258" i="12" s="1"/>
  <c r="Y207" i="12"/>
  <c r="Z207" i="12" s="1"/>
  <c r="AA207" i="12" s="1"/>
  <c r="AB207" i="12" s="1"/>
  <c r="AC207" i="12" s="1"/>
  <c r="Y202" i="12"/>
  <c r="Z202" i="12" s="1"/>
  <c r="AA202" i="12" s="1"/>
  <c r="AB202" i="12" s="1"/>
  <c r="AC202" i="12" s="1"/>
  <c r="Y204" i="12"/>
  <c r="Z204" i="12" s="1"/>
  <c r="AA204" i="12" s="1"/>
  <c r="AB204" i="12" s="1"/>
  <c r="AC204" i="12" s="1"/>
  <c r="Y205" i="12"/>
  <c r="Z205" i="12" s="1"/>
  <c r="AA205" i="12" s="1"/>
  <c r="AB205" i="12" s="1"/>
  <c r="AC205" i="12" s="1"/>
  <c r="Y203" i="12"/>
  <c r="Z203" i="12" s="1"/>
  <c r="AA203" i="12" s="1"/>
  <c r="AB203" i="12" s="1"/>
  <c r="AC203" i="12" s="1"/>
  <c r="BC243" i="12"/>
  <c r="BD243" i="12" s="1"/>
  <c r="BE243" i="12" s="1"/>
  <c r="BF243" i="12" s="1"/>
  <c r="BG243" i="12" s="1"/>
  <c r="Y278" i="12"/>
  <c r="Z278" i="12" s="1"/>
  <c r="AA278" i="12" s="1"/>
  <c r="AB278" i="12" s="1"/>
  <c r="AC278" i="12" s="1"/>
  <c r="Y276" i="12"/>
  <c r="Z276" i="12" s="1"/>
  <c r="AA276" i="12" s="1"/>
  <c r="AB276" i="12" s="1"/>
  <c r="AC276" i="12" s="1"/>
  <c r="AI224" i="12"/>
  <c r="AJ224" i="12" s="1"/>
  <c r="AK224" i="12" s="1"/>
  <c r="AL224" i="12" s="1"/>
  <c r="AM224" i="12" s="1"/>
  <c r="AI260" i="12"/>
  <c r="AJ260" i="12" s="1"/>
  <c r="AK260" i="12" s="1"/>
  <c r="AL260" i="12" s="1"/>
  <c r="AM260" i="12" s="1"/>
  <c r="BM228" i="12"/>
  <c r="BN228" i="12" s="1"/>
  <c r="BO228" i="12" s="1"/>
  <c r="BP228" i="12" s="1"/>
  <c r="BQ228" i="12" s="1"/>
  <c r="BM263" i="12"/>
  <c r="BN263" i="12" s="1"/>
  <c r="BO263" i="12" s="1"/>
  <c r="BP263" i="12" s="1"/>
  <c r="BQ263" i="12" s="1"/>
  <c r="BM262" i="12"/>
  <c r="BN262" i="12" s="1"/>
  <c r="BO262" i="12" s="1"/>
  <c r="BP262" i="12" s="1"/>
  <c r="BQ262" i="12" s="1"/>
  <c r="E203" i="12"/>
  <c r="F203" i="12" s="1"/>
  <c r="G203" i="12" s="1"/>
  <c r="H203" i="12" s="1"/>
  <c r="I203" i="12" s="1"/>
  <c r="E204" i="12"/>
  <c r="F204" i="12" s="1"/>
  <c r="G204" i="12" s="1"/>
  <c r="H204" i="12" s="1"/>
  <c r="I204" i="12" s="1"/>
  <c r="E202" i="12"/>
  <c r="F202" i="12" s="1"/>
  <c r="G202" i="12" s="1"/>
  <c r="H202" i="12" s="1"/>
  <c r="I202" i="12" s="1"/>
  <c r="E205" i="12"/>
  <c r="F205" i="12" s="1"/>
  <c r="G205" i="12" s="1"/>
  <c r="H205" i="12" s="1"/>
  <c r="I205" i="12" s="1"/>
  <c r="E226" i="12"/>
  <c r="F226" i="12" s="1"/>
  <c r="G226" i="12" s="1"/>
  <c r="H226" i="12" s="1"/>
  <c r="I226" i="12" s="1"/>
  <c r="E234" i="12"/>
  <c r="F234" i="12" s="1"/>
  <c r="G234" i="12" s="1"/>
  <c r="H234" i="12" s="1"/>
  <c r="I234" i="12" s="1"/>
  <c r="E238" i="12"/>
  <c r="F238" i="12" s="1"/>
  <c r="G238" i="12" s="1"/>
  <c r="H238" i="12" s="1"/>
  <c r="I238" i="12" s="1"/>
  <c r="E235" i="12"/>
  <c r="F235" i="12" s="1"/>
  <c r="G235" i="12" s="1"/>
  <c r="H235" i="12" s="1"/>
  <c r="I235" i="12" s="1"/>
  <c r="E245" i="12"/>
  <c r="F245" i="12" s="1"/>
  <c r="G245" i="12" s="1"/>
  <c r="H245" i="12" s="1"/>
  <c r="I245" i="12" s="1"/>
  <c r="Y228" i="12"/>
  <c r="Z228" i="12" s="1"/>
  <c r="AA228" i="12" s="1"/>
  <c r="AB228" i="12" s="1"/>
  <c r="AC228" i="12" s="1"/>
  <c r="Y240" i="12"/>
  <c r="Z240" i="12" s="1"/>
  <c r="AA240" i="12" s="1"/>
  <c r="AB240" i="12" s="1"/>
  <c r="AC240" i="12" s="1"/>
  <c r="Y253" i="12"/>
  <c r="Z253" i="12" s="1"/>
  <c r="AA253" i="12" s="1"/>
  <c r="AB253" i="12" s="1"/>
  <c r="AC253" i="12" s="1"/>
  <c r="Y260" i="12"/>
  <c r="Z260" i="12" s="1"/>
  <c r="AA260" i="12" s="1"/>
  <c r="AB260" i="12" s="1"/>
  <c r="AC260" i="12" s="1"/>
  <c r="BC202" i="12"/>
  <c r="BD202" i="12" s="1"/>
  <c r="BE202" i="12" s="1"/>
  <c r="BF202" i="12" s="1"/>
  <c r="BG202" i="12" s="1"/>
  <c r="BC205" i="12"/>
  <c r="BD205" i="12" s="1"/>
  <c r="BE205" i="12" s="1"/>
  <c r="BF205" i="12" s="1"/>
  <c r="BG205" i="12" s="1"/>
  <c r="BC204" i="12"/>
  <c r="BD204" i="12" s="1"/>
  <c r="BE204" i="12" s="1"/>
  <c r="BF204" i="12" s="1"/>
  <c r="BG204" i="12" s="1"/>
  <c r="BC209" i="12"/>
  <c r="BD209" i="12" s="1"/>
  <c r="BE209" i="12" s="1"/>
  <c r="BF209" i="12" s="1"/>
  <c r="BG209" i="12" s="1"/>
  <c r="BC208" i="12"/>
  <c r="BD208" i="12" s="1"/>
  <c r="BE208" i="12" s="1"/>
  <c r="BF208" i="12" s="1"/>
  <c r="BG208" i="12" s="1"/>
  <c r="BC225" i="12"/>
  <c r="BD225" i="12" s="1"/>
  <c r="BE225" i="12" s="1"/>
  <c r="BF225" i="12" s="1"/>
  <c r="BG225" i="12" s="1"/>
  <c r="BC227" i="12"/>
  <c r="BD227" i="12" s="1"/>
  <c r="BE227" i="12" s="1"/>
  <c r="BF227" i="12" s="1"/>
  <c r="BG227" i="12" s="1"/>
  <c r="BC226" i="12"/>
  <c r="BD226" i="12" s="1"/>
  <c r="BE226" i="12" s="1"/>
  <c r="BF226" i="12" s="1"/>
  <c r="BG226" i="12" s="1"/>
  <c r="BC246" i="12"/>
  <c r="BD246" i="12" s="1"/>
  <c r="BE246" i="12" s="1"/>
  <c r="BF246" i="12" s="1"/>
  <c r="BG246" i="12" s="1"/>
  <c r="BC245" i="12"/>
  <c r="BD245" i="12" s="1"/>
  <c r="BE245" i="12" s="1"/>
  <c r="BF245" i="12" s="1"/>
  <c r="BG245" i="12" s="1"/>
  <c r="BC261" i="12"/>
  <c r="BD261" i="12" s="1"/>
  <c r="BE261" i="12" s="1"/>
  <c r="BF261" i="12" s="1"/>
  <c r="BG261" i="12" s="1"/>
  <c r="E289" i="12"/>
  <c r="F289" i="12" s="1"/>
  <c r="G289" i="12" s="1"/>
  <c r="H289" i="12" s="1"/>
  <c r="I289" i="12" s="1"/>
  <c r="E304" i="12"/>
  <c r="F304" i="12" s="1"/>
  <c r="G304" i="12" s="1"/>
  <c r="H304" i="12" s="1"/>
  <c r="I304" i="12" s="1"/>
  <c r="E303" i="12"/>
  <c r="F303" i="12" s="1"/>
  <c r="G303" i="12" s="1"/>
  <c r="H303" i="12" s="1"/>
  <c r="I303" i="12" s="1"/>
  <c r="Y287" i="12"/>
  <c r="Z287" i="12" s="1"/>
  <c r="AA287" i="12" s="1"/>
  <c r="AB287" i="12" s="1"/>
  <c r="AC287" i="12" s="1"/>
  <c r="E230" i="12"/>
  <c r="F230" i="12" s="1"/>
  <c r="G230" i="12" s="1"/>
  <c r="H230" i="12" s="1"/>
  <c r="I230" i="12" s="1"/>
  <c r="E250" i="12"/>
  <c r="F250" i="12" s="1"/>
  <c r="G250" i="12" s="1"/>
  <c r="H250" i="12" s="1"/>
  <c r="I250" i="12" s="1"/>
  <c r="E249" i="12"/>
  <c r="F249" i="12" s="1"/>
  <c r="G249" i="12" s="1"/>
  <c r="H249" i="12" s="1"/>
  <c r="I249" i="12" s="1"/>
  <c r="Y236" i="12"/>
  <c r="Z236" i="12" s="1"/>
  <c r="AA236" i="12" s="1"/>
  <c r="AB236" i="12" s="1"/>
  <c r="AC236" i="12" s="1"/>
  <c r="Y235" i="12"/>
  <c r="Z235" i="12" s="1"/>
  <c r="AA235" i="12" s="1"/>
  <c r="AB235" i="12" s="1"/>
  <c r="AC235" i="12" s="1"/>
  <c r="F292" i="12"/>
  <c r="G292" i="12" s="1"/>
  <c r="H292" i="12" s="1"/>
  <c r="I292" i="12" s="1"/>
  <c r="Y284" i="12"/>
  <c r="Z284" i="12" s="1"/>
  <c r="AA284" i="12" s="1"/>
  <c r="AB284" i="12" s="1"/>
  <c r="AC284" i="12" s="1"/>
  <c r="AI230" i="12"/>
  <c r="AJ230" i="12" s="1"/>
  <c r="AK230" i="12" s="1"/>
  <c r="AL230" i="12" s="1"/>
  <c r="AM230" i="12" s="1"/>
  <c r="AS241" i="12"/>
  <c r="AT241" i="12" s="1"/>
  <c r="AU241" i="12" s="1"/>
  <c r="AV241" i="12" s="1"/>
  <c r="AW241" i="12" s="1"/>
  <c r="AS242" i="12"/>
  <c r="AT242" i="12" s="1"/>
  <c r="AU242" i="12" s="1"/>
  <c r="AV242" i="12" s="1"/>
  <c r="AW242" i="12" s="1"/>
  <c r="E233" i="12"/>
  <c r="F233" i="12" s="1"/>
  <c r="G233" i="12" s="1"/>
  <c r="H233" i="12" s="1"/>
  <c r="I233" i="12" s="1"/>
  <c r="E232" i="12"/>
  <c r="F232" i="12" s="1"/>
  <c r="G232" i="12" s="1"/>
  <c r="H232" i="12" s="1"/>
  <c r="I232" i="12" s="1"/>
  <c r="Y227" i="12"/>
  <c r="Z227" i="12" s="1"/>
  <c r="AA227" i="12" s="1"/>
  <c r="AB227" i="12" s="1"/>
  <c r="AC227" i="12" s="1"/>
  <c r="Y225" i="12"/>
  <c r="Z225" i="12" s="1"/>
  <c r="AA225" i="12" s="1"/>
  <c r="AB225" i="12" s="1"/>
  <c r="AC225" i="12" s="1"/>
  <c r="Y226" i="12"/>
  <c r="Z226" i="12" s="1"/>
  <c r="AA226" i="12" s="1"/>
  <c r="AB226" i="12" s="1"/>
  <c r="AC226" i="12" s="1"/>
  <c r="BC224" i="12"/>
  <c r="BD224" i="12" s="1"/>
  <c r="BE224" i="12" s="1"/>
  <c r="BF224" i="12" s="1"/>
  <c r="BG224" i="12" s="1"/>
  <c r="AS236" i="12"/>
  <c r="AT236" i="12" s="1"/>
  <c r="AU236" i="12" s="1"/>
  <c r="AV236" i="12" s="1"/>
  <c r="AW236" i="12" s="1"/>
  <c r="AS235" i="12"/>
  <c r="AT235" i="12" s="1"/>
  <c r="AU235" i="12" s="1"/>
  <c r="AV235" i="12" s="1"/>
  <c r="AW235" i="12" s="1"/>
  <c r="BM241" i="12"/>
  <c r="BN241" i="12" s="1"/>
  <c r="BO241" i="12" s="1"/>
  <c r="BP241" i="12" s="1"/>
  <c r="BQ241" i="12" s="1"/>
  <c r="P302" i="12"/>
  <c r="Q302" i="12" s="1"/>
  <c r="R302" i="12" s="1"/>
  <c r="S302" i="12" s="1"/>
  <c r="AI202" i="12"/>
  <c r="AJ202" i="12" s="1"/>
  <c r="AK202" i="12" s="1"/>
  <c r="AL202" i="12" s="1"/>
  <c r="AM202" i="12" s="1"/>
  <c r="AI205" i="12"/>
  <c r="AJ205" i="12" s="1"/>
  <c r="AK205" i="12" s="1"/>
  <c r="AL205" i="12" s="1"/>
  <c r="AM205" i="12" s="1"/>
  <c r="AI209" i="12"/>
  <c r="AJ209" i="12" s="1"/>
  <c r="AK209" i="12" s="1"/>
  <c r="AL209" i="12" s="1"/>
  <c r="AM209" i="12" s="1"/>
  <c r="AI225" i="12"/>
  <c r="AJ225" i="12" s="1"/>
  <c r="AK225" i="12" s="1"/>
  <c r="AL225" i="12" s="1"/>
  <c r="AM225" i="12" s="1"/>
  <c r="AI227" i="12"/>
  <c r="AJ227" i="12" s="1"/>
  <c r="AK227" i="12" s="1"/>
  <c r="AL227" i="12" s="1"/>
  <c r="AM227" i="12" s="1"/>
  <c r="AI253" i="12"/>
  <c r="AJ253" i="12" s="1"/>
  <c r="AK253" i="12" s="1"/>
  <c r="AL253" i="12" s="1"/>
  <c r="AM253" i="12" s="1"/>
  <c r="AI261" i="12"/>
  <c r="AJ261" i="12" s="1"/>
  <c r="AK261" i="12" s="1"/>
  <c r="AL261" i="12" s="1"/>
  <c r="AM261" i="12" s="1"/>
  <c r="AI267" i="12"/>
  <c r="AJ267" i="12" s="1"/>
  <c r="AK267" i="12" s="1"/>
  <c r="AL267" i="12" s="1"/>
  <c r="AM267" i="12" s="1"/>
  <c r="AS238" i="12"/>
  <c r="AT238" i="12" s="1"/>
  <c r="AU238" i="12" s="1"/>
  <c r="AV238" i="12" s="1"/>
  <c r="AW238" i="12" s="1"/>
  <c r="AS237" i="12"/>
  <c r="AT237" i="12" s="1"/>
  <c r="AU237" i="12" s="1"/>
  <c r="AV237" i="12" s="1"/>
  <c r="AW237" i="12" s="1"/>
  <c r="AS252" i="12"/>
  <c r="AT252" i="12" s="1"/>
  <c r="AU252" i="12" s="1"/>
  <c r="AV252" i="12" s="1"/>
  <c r="AW252" i="12" s="1"/>
  <c r="AS261" i="12"/>
  <c r="AT261" i="12" s="1"/>
  <c r="AU261" i="12" s="1"/>
  <c r="AV261" i="12" s="1"/>
  <c r="AW261" i="12" s="1"/>
  <c r="AS267" i="12"/>
  <c r="AT267" i="12" s="1"/>
  <c r="AU267" i="12" s="1"/>
  <c r="AV267" i="12" s="1"/>
  <c r="AW267" i="12" s="1"/>
  <c r="BM221" i="12"/>
  <c r="BN221" i="12" s="1"/>
  <c r="BO221" i="12" s="1"/>
  <c r="BP221" i="12" s="1"/>
  <c r="BQ221" i="12" s="1"/>
  <c r="BM219" i="12"/>
  <c r="BN219" i="12" s="1"/>
  <c r="BO219" i="12" s="1"/>
  <c r="BP219" i="12" s="1"/>
  <c r="BQ219" i="12" s="1"/>
  <c r="BM242" i="12"/>
  <c r="BN242" i="12" s="1"/>
  <c r="BO242" i="12" s="1"/>
  <c r="BP242" i="12" s="1"/>
  <c r="BQ242" i="12" s="1"/>
  <c r="BM243" i="12"/>
  <c r="BN243" i="12" s="1"/>
  <c r="BO243" i="12" s="1"/>
  <c r="BP243" i="12" s="1"/>
  <c r="BQ243" i="12" s="1"/>
  <c r="BM256" i="12"/>
  <c r="BN256" i="12" s="1"/>
  <c r="BO256" i="12" s="1"/>
  <c r="BP256" i="12" s="1"/>
  <c r="BQ256" i="12" s="1"/>
  <c r="BM265" i="12"/>
  <c r="BN265" i="12" s="1"/>
  <c r="BO265" i="12" s="1"/>
  <c r="BP265" i="12" s="1"/>
  <c r="BQ265" i="12" s="1"/>
  <c r="BM264" i="12"/>
  <c r="BN264" i="12" s="1"/>
  <c r="BO264" i="12" s="1"/>
  <c r="BP264" i="12" s="1"/>
  <c r="BQ264" i="12" s="1"/>
  <c r="E256" i="12"/>
  <c r="F256" i="12" s="1"/>
  <c r="G256" i="12" s="1"/>
  <c r="H256" i="12" s="1"/>
  <c r="I256" i="12" s="1"/>
  <c r="Y248" i="12"/>
  <c r="Z248" i="12" s="1"/>
  <c r="AA248" i="12" s="1"/>
  <c r="AB248" i="12" s="1"/>
  <c r="AC248" i="12" s="1"/>
  <c r="E300" i="12"/>
  <c r="F300" i="12" s="1"/>
  <c r="G300" i="12" s="1"/>
  <c r="H300" i="12" s="1"/>
  <c r="I300" i="12" s="1"/>
  <c r="AI241" i="12"/>
  <c r="AJ241" i="12" s="1"/>
  <c r="AK241" i="12" s="1"/>
  <c r="AL241" i="12" s="1"/>
  <c r="AM241" i="12" s="1"/>
  <c r="AI242" i="12"/>
  <c r="AJ242" i="12" s="1"/>
  <c r="AK242" i="12" s="1"/>
  <c r="AL242" i="12" s="1"/>
  <c r="AM242" i="12" s="1"/>
  <c r="AI249" i="12"/>
  <c r="AJ249" i="12" s="1"/>
  <c r="AK249" i="12" s="1"/>
  <c r="AL249" i="12" s="1"/>
  <c r="AM249" i="12" s="1"/>
  <c r="AI250" i="12"/>
  <c r="AJ250" i="12" s="1"/>
  <c r="AK250" i="12" s="1"/>
  <c r="AL250" i="12" s="1"/>
  <c r="AM250" i="12" s="1"/>
  <c r="AS231" i="12"/>
  <c r="AT231" i="12" s="1"/>
  <c r="AU231" i="12" s="1"/>
  <c r="AV231" i="12" s="1"/>
  <c r="AW231" i="12" s="1"/>
  <c r="AS234" i="12"/>
  <c r="AT234" i="12" s="1"/>
  <c r="AU234" i="12" s="1"/>
  <c r="AV234" i="12" s="1"/>
  <c r="AW234" i="12" s="1"/>
  <c r="AS232" i="12"/>
  <c r="AT232" i="12" s="1"/>
  <c r="AU232" i="12" s="1"/>
  <c r="AV232" i="12" s="1"/>
  <c r="AW232" i="12" s="1"/>
  <c r="AS249" i="12"/>
  <c r="AT249" i="12" s="1"/>
  <c r="AU249" i="12" s="1"/>
  <c r="AV249" i="12" s="1"/>
  <c r="AW249" i="12" s="1"/>
  <c r="BM225" i="12"/>
  <c r="BN225" i="12" s="1"/>
  <c r="BO225" i="12" s="1"/>
  <c r="BP225" i="12" s="1"/>
  <c r="BQ225" i="12" s="1"/>
  <c r="BM226" i="12"/>
  <c r="BN226" i="12" s="1"/>
  <c r="BO226" i="12" s="1"/>
  <c r="BP226" i="12" s="1"/>
  <c r="BQ226" i="12" s="1"/>
  <c r="BM253" i="12"/>
  <c r="BN253" i="12" s="1"/>
  <c r="BO253" i="12" s="1"/>
  <c r="BP253" i="12" s="1"/>
  <c r="BQ253" i="12" s="1"/>
  <c r="BM252" i="12"/>
  <c r="BN252" i="12" s="1"/>
  <c r="BO252" i="12" s="1"/>
  <c r="BP252" i="12" s="1"/>
  <c r="BQ252" i="12" s="1"/>
  <c r="Q2187" i="9"/>
  <c r="U2187" i="9" s="1"/>
  <c r="N2207" i="9"/>
  <c r="Y237" i="12"/>
  <c r="Z237" i="12" s="1"/>
  <c r="AA237" i="12" s="1"/>
  <c r="AB237" i="12" s="1"/>
  <c r="AC237" i="12" s="1"/>
  <c r="Y238" i="12"/>
  <c r="Z238" i="12" s="1"/>
  <c r="AA238" i="12" s="1"/>
  <c r="AB238" i="12" s="1"/>
  <c r="AC238" i="12" s="1"/>
  <c r="Y258" i="12"/>
  <c r="Z258" i="12" s="1"/>
  <c r="AA258" i="12" s="1"/>
  <c r="AB258" i="12" s="1"/>
  <c r="AC258" i="12" s="1"/>
  <c r="BC236" i="12"/>
  <c r="BD236" i="12" s="1"/>
  <c r="BE236" i="12" s="1"/>
  <c r="BF236" i="12" s="1"/>
  <c r="BG236" i="12" s="1"/>
  <c r="BC235" i="12"/>
  <c r="BD235" i="12" s="1"/>
  <c r="BE235" i="12" s="1"/>
  <c r="BF235" i="12" s="1"/>
  <c r="BG235" i="12" s="1"/>
  <c r="BC266" i="12"/>
  <c r="BD266" i="12" s="1"/>
  <c r="BE266" i="12" s="1"/>
  <c r="BF266" i="12" s="1"/>
  <c r="BG266" i="12" s="1"/>
  <c r="BC267" i="12"/>
  <c r="BD267" i="12" s="1"/>
  <c r="BE267" i="12" s="1"/>
  <c r="BF267" i="12" s="1"/>
  <c r="BG267" i="12" s="1"/>
  <c r="E287" i="12"/>
  <c r="F287" i="12" s="1"/>
  <c r="G287" i="12" s="1"/>
  <c r="H287" i="12" s="1"/>
  <c r="I287" i="12" s="1"/>
  <c r="Y294" i="12"/>
  <c r="Z294" i="12" s="1"/>
  <c r="AA294" i="12" s="1"/>
  <c r="AB294" i="12" s="1"/>
  <c r="AC294" i="12" s="1"/>
  <c r="Y295" i="12"/>
  <c r="Z295" i="12" s="1"/>
  <c r="AA295" i="12" s="1"/>
  <c r="AB295" i="12" s="1"/>
  <c r="AC295" i="12" s="1"/>
  <c r="AS266" i="12"/>
  <c r="AT266" i="12" s="1"/>
  <c r="AU266" i="12" s="1"/>
  <c r="AV266" i="12" s="1"/>
  <c r="AW266" i="12" s="1"/>
  <c r="AS265" i="12"/>
  <c r="AT265" i="12" s="1"/>
  <c r="AU265" i="12" s="1"/>
  <c r="AV265" i="12" s="1"/>
  <c r="AW265" i="12" s="1"/>
  <c r="BM249" i="12"/>
  <c r="BN249" i="12" s="1"/>
  <c r="BO249" i="12" s="1"/>
  <c r="BP249" i="12" s="1"/>
  <c r="BQ249" i="12" s="1"/>
  <c r="BM248" i="12"/>
  <c r="BN248" i="12" s="1"/>
  <c r="BO248" i="12" s="1"/>
  <c r="BP248" i="12" s="1"/>
  <c r="BQ248" i="12" s="1"/>
  <c r="O275" i="12"/>
  <c r="P275" i="12" s="1"/>
  <c r="Q275" i="12" s="1"/>
  <c r="R275" i="12" s="1"/>
  <c r="S275" i="12" s="1"/>
  <c r="E228" i="12"/>
  <c r="F228" i="12" s="1"/>
  <c r="G228" i="12" s="1"/>
  <c r="H228" i="12" s="1"/>
  <c r="I228" i="12" s="1"/>
  <c r="E240" i="12"/>
  <c r="F240" i="12" s="1"/>
  <c r="G240" i="12" s="1"/>
  <c r="H240" i="12" s="1"/>
  <c r="I240" i="12" s="1"/>
  <c r="Y218" i="12"/>
  <c r="Z218" i="12" s="1"/>
  <c r="AA218" i="12" s="1"/>
  <c r="AB218" i="12" s="1"/>
  <c r="AC218" i="12" s="1"/>
  <c r="Y217" i="12"/>
  <c r="Z217" i="12" s="1"/>
  <c r="AA217" i="12" s="1"/>
  <c r="AB217" i="12" s="1"/>
  <c r="AC217" i="12" s="1"/>
  <c r="Y221" i="12"/>
  <c r="Z221" i="12" s="1"/>
  <c r="AA221" i="12" s="1"/>
  <c r="AB221" i="12" s="1"/>
  <c r="AC221" i="12" s="1"/>
  <c r="Y233" i="12"/>
  <c r="Z233" i="12" s="1"/>
  <c r="AA233" i="12" s="1"/>
  <c r="AB233" i="12" s="1"/>
  <c r="AC233" i="12" s="1"/>
  <c r="Y231" i="12"/>
  <c r="Z231" i="12" s="1"/>
  <c r="AA231" i="12" s="1"/>
  <c r="AB231" i="12" s="1"/>
  <c r="AC231" i="12" s="1"/>
  <c r="Y234" i="12"/>
  <c r="Z234" i="12" s="1"/>
  <c r="AA234" i="12" s="1"/>
  <c r="AB234" i="12" s="1"/>
  <c r="AC234" i="12" s="1"/>
  <c r="Y254" i="12"/>
  <c r="Z254" i="12" s="1"/>
  <c r="AA254" i="12" s="1"/>
  <c r="AB254" i="12" s="1"/>
  <c r="AC254" i="12" s="1"/>
  <c r="BC214" i="12"/>
  <c r="BD214" i="12" s="1"/>
  <c r="BE214" i="12" s="1"/>
  <c r="BF214" i="12" s="1"/>
  <c r="BG214" i="12" s="1"/>
  <c r="BC231" i="12"/>
  <c r="BD231" i="12" s="1"/>
  <c r="BE231" i="12" s="1"/>
  <c r="BF231" i="12" s="1"/>
  <c r="BG231" i="12" s="1"/>
  <c r="BC239" i="12"/>
  <c r="BD239" i="12" s="1"/>
  <c r="BE239" i="12" s="1"/>
  <c r="BF239" i="12" s="1"/>
  <c r="BG239" i="12" s="1"/>
  <c r="BC240" i="12"/>
  <c r="BD240" i="12" s="1"/>
  <c r="BE240" i="12" s="1"/>
  <c r="BF240" i="12" s="1"/>
  <c r="BG240" i="12" s="1"/>
  <c r="BC247" i="12"/>
  <c r="BD247" i="12" s="1"/>
  <c r="BE247" i="12" s="1"/>
  <c r="BF247" i="12" s="1"/>
  <c r="BG247" i="12" s="1"/>
  <c r="E290" i="12"/>
  <c r="F290" i="12" s="1"/>
  <c r="G290" i="12" s="1"/>
  <c r="H290" i="12" s="1"/>
  <c r="I290" i="12" s="1"/>
  <c r="E291" i="12"/>
  <c r="F291" i="12" s="1"/>
  <c r="G291" i="12" s="1"/>
  <c r="H291" i="12" s="1"/>
  <c r="I291" i="12" s="1"/>
  <c r="E297" i="12"/>
  <c r="F297" i="12" s="1"/>
  <c r="G297" i="12" s="1"/>
  <c r="H297" i="12" s="1"/>
  <c r="I297" i="12" s="1"/>
  <c r="E312" i="12"/>
  <c r="F312" i="12" s="1"/>
  <c r="G312" i="12" s="1"/>
  <c r="H312" i="12" s="1"/>
  <c r="I312" i="12" s="1"/>
  <c r="E216" i="12"/>
  <c r="F216" i="12" s="1"/>
  <c r="G216" i="12" s="1"/>
  <c r="H216" i="12" s="1"/>
  <c r="I216" i="12" s="1"/>
  <c r="E222" i="12"/>
  <c r="F222" i="12" s="1"/>
  <c r="G222" i="12" s="1"/>
  <c r="H222" i="12" s="1"/>
  <c r="I222" i="12" s="1"/>
  <c r="E220" i="12"/>
  <c r="F220" i="12" s="1"/>
  <c r="G220" i="12" s="1"/>
  <c r="H220" i="12" s="1"/>
  <c r="I220" i="12" s="1"/>
  <c r="E221" i="12"/>
  <c r="F221" i="12" s="1"/>
  <c r="G221" i="12" s="1"/>
  <c r="H221" i="12" s="1"/>
  <c r="I221" i="12" s="1"/>
  <c r="E241" i="12"/>
  <c r="F241" i="12" s="1"/>
  <c r="G241" i="12" s="1"/>
  <c r="H241" i="12" s="1"/>
  <c r="I241" i="12" s="1"/>
  <c r="Y257" i="12"/>
  <c r="Z257" i="12" s="1"/>
  <c r="AA257" i="12" s="1"/>
  <c r="AB257" i="12" s="1"/>
  <c r="AC257" i="12" s="1"/>
  <c r="BC234" i="12"/>
  <c r="BD234" i="12" s="1"/>
  <c r="BE234" i="12" s="1"/>
  <c r="BF234" i="12" s="1"/>
  <c r="BG234" i="12" s="1"/>
  <c r="BC233" i="12"/>
  <c r="BD233" i="12" s="1"/>
  <c r="BE233" i="12" s="1"/>
  <c r="BF233" i="12" s="1"/>
  <c r="BG233" i="12" s="1"/>
  <c r="E283" i="12"/>
  <c r="F283" i="12" s="1"/>
  <c r="G283" i="12" s="1"/>
  <c r="H283" i="12" s="1"/>
  <c r="I283" i="12" s="1"/>
  <c r="AI220" i="12"/>
  <c r="AJ220" i="12" s="1"/>
  <c r="AK220" i="12" s="1"/>
  <c r="AL220" i="12" s="1"/>
  <c r="AM220" i="12" s="1"/>
  <c r="AI222" i="12"/>
  <c r="AJ222" i="12" s="1"/>
  <c r="AK222" i="12" s="1"/>
  <c r="AL222" i="12" s="1"/>
  <c r="AM222" i="12" s="1"/>
  <c r="AI218" i="12"/>
  <c r="AJ218" i="12" s="1"/>
  <c r="AK218" i="12" s="1"/>
  <c r="AL218" i="12" s="1"/>
  <c r="AM218" i="12" s="1"/>
  <c r="AI215" i="12"/>
  <c r="AJ215" i="12" s="1"/>
  <c r="AK215" i="12" s="1"/>
  <c r="AL215" i="12" s="1"/>
  <c r="AM215" i="12" s="1"/>
  <c r="AI216" i="12"/>
  <c r="AJ216" i="12" s="1"/>
  <c r="AK216" i="12" s="1"/>
  <c r="AL216" i="12" s="1"/>
  <c r="AM216" i="12" s="1"/>
  <c r="AS221" i="12"/>
  <c r="AT221" i="12" s="1"/>
  <c r="AU221" i="12" s="1"/>
  <c r="AV221" i="12" s="1"/>
  <c r="AW221" i="12" s="1"/>
  <c r="AS218" i="12"/>
  <c r="AT218" i="12" s="1"/>
  <c r="AU218" i="12" s="1"/>
  <c r="AV218" i="12" s="1"/>
  <c r="AW218" i="12" s="1"/>
  <c r="AS217" i="12"/>
  <c r="AT217" i="12" s="1"/>
  <c r="AU217" i="12" s="1"/>
  <c r="AV217" i="12" s="1"/>
  <c r="AW217" i="12" s="1"/>
  <c r="AS220" i="12"/>
  <c r="AT220" i="12" s="1"/>
  <c r="AU220" i="12" s="1"/>
  <c r="AV220" i="12" s="1"/>
  <c r="AW220" i="12" s="1"/>
  <c r="AS257" i="12"/>
  <c r="AT257" i="12" s="1"/>
  <c r="AU257" i="12" s="1"/>
  <c r="AV257" i="12" s="1"/>
  <c r="AW257" i="12" s="1"/>
  <c r="AS256" i="12"/>
  <c r="AT256" i="12" s="1"/>
  <c r="AU256" i="12" s="1"/>
  <c r="AV256" i="12" s="1"/>
  <c r="AW256" i="12" s="1"/>
  <c r="BM246" i="12"/>
  <c r="BN246" i="12" s="1"/>
  <c r="BO246" i="12" s="1"/>
  <c r="BP246" i="12" s="1"/>
  <c r="BQ246" i="12" s="1"/>
  <c r="BM247" i="12"/>
  <c r="BN247" i="12" s="1"/>
  <c r="BO247" i="12" s="1"/>
  <c r="BP247" i="12" s="1"/>
  <c r="BQ247" i="12" s="1"/>
  <c r="O282" i="12"/>
  <c r="P282" i="12" s="1"/>
  <c r="Q282" i="12" s="1"/>
  <c r="R282" i="12" s="1"/>
  <c r="S282" i="12" s="1"/>
  <c r="O285" i="12"/>
  <c r="P285" i="12" s="1"/>
  <c r="Q285" i="12" s="1"/>
  <c r="R285" i="12" s="1"/>
  <c r="S285" i="12" s="1"/>
  <c r="O283" i="12"/>
  <c r="P283" i="12" s="1"/>
  <c r="Q283" i="12" s="1"/>
  <c r="R283" i="12" s="1"/>
  <c r="S283" i="12" s="1"/>
  <c r="Y251" i="12"/>
  <c r="Z251" i="12" s="1"/>
  <c r="AA251" i="12" s="1"/>
  <c r="AB251" i="12" s="1"/>
  <c r="AC251" i="12" s="1"/>
  <c r="AI235" i="12"/>
  <c r="AJ235" i="12" s="1"/>
  <c r="AK235" i="12" s="1"/>
  <c r="AL235" i="12" s="1"/>
  <c r="AM235" i="12" s="1"/>
  <c r="AI236" i="12"/>
  <c r="AJ236" i="12" s="1"/>
  <c r="AK236" i="12" s="1"/>
  <c r="AL236" i="12" s="1"/>
  <c r="AM236" i="12" s="1"/>
  <c r="AI252" i="12"/>
  <c r="AJ252" i="12" s="1"/>
  <c r="AK252" i="12" s="1"/>
  <c r="AL252" i="12" s="1"/>
  <c r="AM252" i="12" s="1"/>
  <c r="AS223" i="12"/>
  <c r="AT223" i="12" s="1"/>
  <c r="AU223" i="12" s="1"/>
  <c r="AV223" i="12" s="1"/>
  <c r="AW223" i="12" s="1"/>
  <c r="AS244" i="12"/>
  <c r="AT244" i="12" s="1"/>
  <c r="AU244" i="12" s="1"/>
  <c r="AV244" i="12" s="1"/>
  <c r="AW244" i="12" s="1"/>
  <c r="O293" i="12"/>
  <c r="P293" i="12" s="1"/>
  <c r="Q293" i="12" s="1"/>
  <c r="R293" i="12" s="1"/>
  <c r="S293" i="12" s="1"/>
  <c r="AI228" i="12"/>
  <c r="AJ228" i="12" s="1"/>
  <c r="AK228" i="12" s="1"/>
  <c r="AL228" i="12" s="1"/>
  <c r="AM228" i="12" s="1"/>
  <c r="AI239" i="12"/>
  <c r="AJ239" i="12" s="1"/>
  <c r="AK239" i="12" s="1"/>
  <c r="AL239" i="12" s="1"/>
  <c r="AM239" i="12" s="1"/>
  <c r="AI248" i="12"/>
  <c r="AJ248" i="12" s="1"/>
  <c r="AK248" i="12" s="1"/>
  <c r="AL248" i="12" s="1"/>
  <c r="AM248" i="12" s="1"/>
  <c r="AI255" i="12"/>
  <c r="AJ255" i="12" s="1"/>
  <c r="AK255" i="12" s="1"/>
  <c r="AL255" i="12" s="1"/>
  <c r="AM255" i="12" s="1"/>
  <c r="AS228" i="12"/>
  <c r="AT228" i="12" s="1"/>
  <c r="AU228" i="12" s="1"/>
  <c r="AV228" i="12" s="1"/>
  <c r="AW228" i="12" s="1"/>
  <c r="AS248" i="12"/>
  <c r="AT248" i="12" s="1"/>
  <c r="AU248" i="12" s="1"/>
  <c r="AV248" i="12" s="1"/>
  <c r="AW248" i="12" s="1"/>
  <c r="AS247" i="12"/>
  <c r="AT247" i="12" s="1"/>
  <c r="AU247" i="12" s="1"/>
  <c r="AV247" i="12" s="1"/>
  <c r="AW247" i="12" s="1"/>
  <c r="AS263" i="12"/>
  <c r="AT263" i="12" s="1"/>
  <c r="AU263" i="12" s="1"/>
  <c r="AV263" i="12" s="1"/>
  <c r="AW263" i="12" s="1"/>
  <c r="AS262" i="12"/>
  <c r="AT262" i="12" s="1"/>
  <c r="AU262" i="12" s="1"/>
  <c r="AV262" i="12" s="1"/>
  <c r="AW262" i="12" s="1"/>
  <c r="BM223" i="12"/>
  <c r="BN223" i="12" s="1"/>
  <c r="BO223" i="12" s="1"/>
  <c r="BP223" i="12" s="1"/>
  <c r="BQ223" i="12" s="1"/>
  <c r="BM235" i="12"/>
  <c r="BN235" i="12" s="1"/>
  <c r="BO235" i="12" s="1"/>
  <c r="BP235" i="12" s="1"/>
  <c r="BQ235" i="12" s="1"/>
  <c r="O278" i="12"/>
  <c r="P278" i="12" s="1"/>
  <c r="Q278" i="12" s="1"/>
  <c r="R278" i="12" s="1"/>
  <c r="S278" i="12" s="1"/>
  <c r="O290" i="12"/>
  <c r="P290" i="12" s="1"/>
  <c r="Q290" i="12" s="1"/>
  <c r="R290" i="12" s="1"/>
  <c r="S290" i="12" s="1"/>
  <c r="O289" i="12"/>
  <c r="P289" i="12" s="1"/>
  <c r="Q289" i="12" s="1"/>
  <c r="R289" i="12" s="1"/>
  <c r="S289" i="12" s="1"/>
  <c r="Y296" i="12"/>
  <c r="Z296" i="12" s="1"/>
  <c r="AA296" i="12" s="1"/>
  <c r="AB296" i="12" s="1"/>
  <c r="AC296" i="12" s="1"/>
  <c r="Y303" i="12"/>
  <c r="Z303" i="12" s="1"/>
  <c r="AA303" i="12" s="1"/>
  <c r="AB303" i="12" s="1"/>
  <c r="AC303" i="12" s="1"/>
  <c r="Y301" i="12"/>
  <c r="Z301" i="12" s="1"/>
  <c r="AA301" i="12" s="1"/>
  <c r="AB301" i="12" s="1"/>
  <c r="AC301" i="12" s="1"/>
  <c r="Y306" i="12"/>
  <c r="Z306" i="12" s="1"/>
  <c r="AA306" i="12" s="1"/>
  <c r="AB306" i="12" s="1"/>
  <c r="AC306" i="12" s="1"/>
  <c r="O247" i="12"/>
  <c r="P247" i="12" s="1"/>
  <c r="Q247" i="12" s="1"/>
  <c r="R247" i="12" s="1"/>
  <c r="S247" i="12" s="1"/>
  <c r="O255" i="12"/>
  <c r="P255" i="12" s="1"/>
  <c r="Q255" i="12" s="1"/>
  <c r="R255" i="12" s="1"/>
  <c r="S255" i="12" s="1"/>
  <c r="O254" i="12"/>
  <c r="P254" i="12" s="1"/>
  <c r="Q254" i="12" s="1"/>
  <c r="R254" i="12" s="1"/>
  <c r="S254" i="12" s="1"/>
  <c r="O262" i="12"/>
  <c r="P262" i="12" s="1"/>
  <c r="Q262" i="12" s="1"/>
  <c r="R262" i="12" s="1"/>
  <c r="S262" i="12" s="1"/>
  <c r="O264" i="12"/>
  <c r="P264" i="12" s="1"/>
  <c r="Q264" i="12" s="1"/>
  <c r="R264" i="12" s="1"/>
  <c r="S264" i="12" s="1"/>
  <c r="O250" i="12"/>
  <c r="P250" i="12" s="1"/>
  <c r="Q250" i="12" s="1"/>
  <c r="R250" i="12" s="1"/>
  <c r="S250" i="12" s="1"/>
  <c r="O258" i="12"/>
  <c r="P258" i="12" s="1"/>
  <c r="Q258" i="12" s="1"/>
  <c r="R258" i="12" s="1"/>
  <c r="S258" i="12" s="1"/>
  <c r="O245" i="12"/>
  <c r="P245" i="12" s="1"/>
  <c r="Q245" i="12" s="1"/>
  <c r="R245" i="12" s="1"/>
  <c r="S245" i="12" s="1"/>
  <c r="O246" i="12"/>
  <c r="P246" i="12" s="1"/>
  <c r="Q246" i="12" s="1"/>
  <c r="R246" i="12" s="1"/>
  <c r="S246" i="12" s="1"/>
  <c r="O252" i="12"/>
  <c r="P252" i="12" s="1"/>
  <c r="Q252" i="12" s="1"/>
  <c r="R252" i="12" s="1"/>
  <c r="S252" i="12" s="1"/>
  <c r="O260" i="12"/>
  <c r="P260" i="12" s="1"/>
  <c r="Q260" i="12" s="1"/>
  <c r="R260" i="12" s="1"/>
  <c r="S260" i="12" s="1"/>
  <c r="O237" i="12"/>
  <c r="P237" i="12" s="1"/>
  <c r="Q237" i="12" s="1"/>
  <c r="R237" i="12" s="1"/>
  <c r="S237" i="12" s="1"/>
  <c r="O238" i="12"/>
  <c r="P238" i="12" s="1"/>
  <c r="Q238" i="12" s="1"/>
  <c r="R238" i="12" s="1"/>
  <c r="S238" i="12" s="1"/>
  <c r="O206" i="12"/>
  <c r="P206" i="12" s="1"/>
  <c r="Q206" i="12" s="1"/>
  <c r="R206" i="12" s="1"/>
  <c r="S206" i="12" s="1"/>
  <c r="O203" i="12"/>
  <c r="P203" i="12" s="1"/>
  <c r="Q203" i="12" s="1"/>
  <c r="R203" i="12" s="1"/>
  <c r="S203" i="12" s="1"/>
  <c r="O230" i="12"/>
  <c r="P230" i="12" s="1"/>
  <c r="Q230" i="12" s="1"/>
  <c r="R230" i="12" s="1"/>
  <c r="S230" i="12" s="1"/>
  <c r="O228" i="12"/>
  <c r="P228" i="12" s="1"/>
  <c r="Q228" i="12" s="1"/>
  <c r="R228" i="12" s="1"/>
  <c r="S228" i="12" s="1"/>
  <c r="O232" i="12"/>
  <c r="P232" i="12" s="1"/>
  <c r="Q232" i="12" s="1"/>
  <c r="R232" i="12" s="1"/>
  <c r="S232" i="12" s="1"/>
  <c r="O239" i="12"/>
  <c r="P239" i="12" s="1"/>
  <c r="Q239" i="12" s="1"/>
  <c r="R239" i="12" s="1"/>
  <c r="S239" i="12" s="1"/>
  <c r="O226" i="12"/>
  <c r="P226" i="12" s="1"/>
  <c r="Q226" i="12" s="1"/>
  <c r="R226" i="12" s="1"/>
  <c r="S226" i="12" s="1"/>
  <c r="O234" i="12"/>
  <c r="P234" i="12" s="1"/>
  <c r="Q234" i="12" s="1"/>
  <c r="R234" i="12" s="1"/>
  <c r="S234" i="12" s="1"/>
  <c r="O241" i="12"/>
  <c r="P241" i="12" s="1"/>
  <c r="Q241" i="12" s="1"/>
  <c r="R241" i="12" s="1"/>
  <c r="S241" i="12" s="1"/>
  <c r="O223" i="12"/>
  <c r="P223" i="12" s="1"/>
  <c r="Q223" i="12" s="1"/>
  <c r="R223" i="12" s="1"/>
  <c r="S223" i="12" s="1"/>
  <c r="O235" i="12"/>
  <c r="P235" i="12" s="1"/>
  <c r="Q235" i="12" s="1"/>
  <c r="R235" i="12" s="1"/>
  <c r="S235" i="12" s="1"/>
  <c r="X2729" i="9"/>
  <c r="N2729" i="9"/>
  <c r="Q2729" i="9" s="1"/>
  <c r="U2729" i="9" s="1"/>
  <c r="AI23" i="15"/>
  <c r="AI22" i="15"/>
  <c r="AI18" i="15"/>
  <c r="AJ18" i="15" s="1"/>
  <c r="AK18" i="15" s="1"/>
  <c r="AI41" i="15"/>
  <c r="AI40" i="15"/>
  <c r="BD15" i="15"/>
  <c r="BE15" i="15" s="1"/>
  <c r="BF15" i="15" s="1"/>
  <c r="BD16" i="15"/>
  <c r="BE16" i="15" s="1"/>
  <c r="BF16" i="15" s="1"/>
  <c r="BD14" i="15"/>
  <c r="BE14" i="15" s="1"/>
  <c r="BF14" i="15" s="1"/>
  <c r="N40" i="15"/>
  <c r="O40" i="15" s="1"/>
  <c r="P40" i="15" s="1"/>
  <c r="O39" i="15"/>
  <c r="P39" i="15" s="1"/>
  <c r="BN14" i="15"/>
  <c r="BO14" i="15" s="1"/>
  <c r="BP14" i="15" s="1"/>
  <c r="BN16" i="15"/>
  <c r="BO16" i="15" s="1"/>
  <c r="BP16" i="15" s="1"/>
  <c r="BN15" i="15"/>
  <c r="BO15" i="15" s="1"/>
  <c r="BP15" i="15" s="1"/>
  <c r="BN18" i="15"/>
  <c r="BO18" i="15" s="1"/>
  <c r="BP18" i="15" s="1"/>
  <c r="BN17" i="15"/>
  <c r="BO17" i="15" s="1"/>
  <c r="BP17" i="15" s="1"/>
  <c r="BN41" i="15"/>
  <c r="BO41" i="15" s="1"/>
  <c r="BP41" i="15" s="1"/>
  <c r="BN40" i="15"/>
  <c r="BO40" i="15" s="1"/>
  <c r="BP40" i="15" s="1"/>
  <c r="BD19" i="15"/>
  <c r="BE19" i="15" s="1"/>
  <c r="BF19" i="15" s="1"/>
  <c r="BD17" i="15"/>
  <c r="BE17" i="15" s="1"/>
  <c r="BF17" i="15" s="1"/>
  <c r="BD18" i="15"/>
  <c r="BD40" i="15"/>
  <c r="BE40" i="15" s="1"/>
  <c r="BF40" i="15" s="1"/>
  <c r="BD41" i="15"/>
  <c r="BE41" i="15" s="1"/>
  <c r="BF41" i="15" s="1"/>
  <c r="Y18" i="15"/>
  <c r="Z18" i="15" s="1"/>
  <c r="AA18" i="15" s="1"/>
  <c r="Y16" i="15"/>
  <c r="Z16" i="15" s="1"/>
  <c r="AA16" i="15" s="1"/>
  <c r="Y15" i="15"/>
  <c r="Z15" i="15" s="1"/>
  <c r="AA15" i="15" s="1"/>
  <c r="Z17" i="15"/>
  <c r="AA17" i="15" s="1"/>
  <c r="Y14" i="15"/>
  <c r="Z14" i="15" s="1"/>
  <c r="AA14" i="15" s="1"/>
  <c r="Y19" i="15"/>
  <c r="Z19" i="15" s="1"/>
  <c r="AA19" i="15" s="1"/>
  <c r="Z22" i="15"/>
  <c r="AA22" i="15" s="1"/>
  <c r="Z21" i="15"/>
  <c r="AA21" i="15" s="1"/>
  <c r="Y23" i="15"/>
  <c r="Z23" i="15" s="1"/>
  <c r="AA23" i="15" s="1"/>
  <c r="Y41" i="15"/>
  <c r="Z41" i="15" s="1"/>
  <c r="AA41" i="15" s="1"/>
  <c r="Y20" i="15"/>
  <c r="Y39" i="15"/>
  <c r="Z39" i="15" s="1"/>
  <c r="AA39" i="15" s="1"/>
  <c r="Y40" i="15"/>
  <c r="Z40" i="15" s="1"/>
  <c r="AA40" i="15" s="1"/>
  <c r="AI14" i="15"/>
  <c r="AJ14" i="15" s="1"/>
  <c r="AK14" i="15" s="1"/>
  <c r="AI21" i="15"/>
  <c r="AJ21" i="15" s="1"/>
  <c r="AK21" i="15" s="1"/>
  <c r="AI17" i="15"/>
  <c r="AJ17" i="15" s="1"/>
  <c r="AK17" i="15" s="1"/>
  <c r="AI20" i="15"/>
  <c r="AJ20" i="15" s="1"/>
  <c r="AK20" i="15" s="1"/>
  <c r="AI15" i="15"/>
  <c r="AJ15" i="15" s="1"/>
  <c r="AK15" i="15" s="1"/>
  <c r="AI16" i="15"/>
  <c r="AI19" i="15"/>
  <c r="O17" i="15"/>
  <c r="P17" i="15" s="1"/>
  <c r="O14" i="15"/>
  <c r="P14" i="15" s="1"/>
  <c r="O16" i="15"/>
  <c r="P16" i="15" s="1"/>
  <c r="O15" i="15"/>
  <c r="P15" i="15" s="1"/>
  <c r="F18" i="6"/>
  <c r="O22" i="6"/>
  <c r="X22" i="6"/>
  <c r="M78" i="4"/>
  <c r="BO39" i="15"/>
  <c r="BP39" i="15" s="1"/>
  <c r="Z20" i="15"/>
  <c r="AA20" i="15" s="1"/>
  <c r="AK39" i="15"/>
  <c r="BF39" i="15"/>
  <c r="AE281" i="9"/>
  <c r="U446" i="9"/>
  <c r="U563" i="9"/>
  <c r="U657" i="9"/>
  <c r="U759" i="9"/>
  <c r="U1037" i="9"/>
  <c r="AY43" i="9"/>
  <c r="U734" i="9"/>
  <c r="AE830" i="9"/>
  <c r="U1161" i="9"/>
  <c r="AE283" i="9"/>
  <c r="U229" i="9"/>
  <c r="AE447" i="9"/>
  <c r="U468" i="9"/>
  <c r="U324" i="9"/>
  <c r="AE535" i="9"/>
  <c r="U542" i="9"/>
  <c r="AE43" i="9"/>
  <c r="U658" i="9"/>
  <c r="U663" i="9"/>
  <c r="AE184" i="9"/>
  <c r="AE515" i="9"/>
  <c r="AE1087" i="9"/>
  <c r="AE253" i="9"/>
  <c r="AE304" i="9"/>
  <c r="AE513" i="9"/>
  <c r="U589" i="9"/>
  <c r="U680" i="9"/>
  <c r="AE898" i="9"/>
  <c r="U1190" i="9"/>
  <c r="U1208" i="9"/>
  <c r="U1300" i="9"/>
  <c r="U1303" i="9"/>
  <c r="K44" i="9"/>
  <c r="AE159" i="9"/>
  <c r="U1142" i="9"/>
  <c r="U1165" i="9"/>
  <c r="AE1210" i="9"/>
  <c r="U1231" i="9"/>
  <c r="AE1279" i="9"/>
  <c r="BI41" i="9"/>
  <c r="BI44" i="9"/>
  <c r="U155" i="9"/>
  <c r="U394" i="9"/>
  <c r="AE1090" i="9"/>
  <c r="U1183" i="9"/>
  <c r="U534" i="9"/>
  <c r="U562" i="9"/>
  <c r="AE610" i="9"/>
  <c r="AE635" i="9"/>
  <c r="U707" i="9"/>
  <c r="AE709" i="9"/>
  <c r="U1163" i="9"/>
  <c r="AE1257" i="9"/>
  <c r="K42" i="9"/>
  <c r="AE89" i="9"/>
  <c r="AE114" i="9"/>
  <c r="U132" i="9"/>
  <c r="U349" i="9"/>
  <c r="U1039" i="9"/>
  <c r="AE1040" i="9"/>
  <c r="U1278" i="9"/>
  <c r="U277" i="9"/>
  <c r="AE467" i="9"/>
  <c r="U536" i="9"/>
  <c r="U588" i="9"/>
  <c r="U710" i="9"/>
  <c r="AE925" i="9"/>
  <c r="AE945" i="9"/>
  <c r="U989" i="9"/>
  <c r="U1185" i="9"/>
  <c r="AY41" i="9"/>
  <c r="U561" i="9"/>
  <c r="U780" i="9"/>
  <c r="AE921" i="9"/>
  <c r="AE1063" i="9"/>
  <c r="AE1211" i="9"/>
  <c r="AE1213" i="9"/>
  <c r="U1230" i="9"/>
  <c r="U1234" i="9"/>
  <c r="U465" i="9"/>
  <c r="U682" i="9"/>
  <c r="U756" i="9"/>
  <c r="U761" i="9"/>
  <c r="AE970" i="9"/>
  <c r="U1062" i="9"/>
  <c r="U1111" i="9"/>
  <c r="U2689" i="9"/>
  <c r="U42" i="9"/>
  <c r="U632" i="9"/>
  <c r="AE638" i="9"/>
  <c r="U662" i="9"/>
  <c r="U779" i="9"/>
  <c r="U809" i="9"/>
  <c r="AE853" i="9"/>
  <c r="U877" i="9"/>
  <c r="U966" i="9"/>
  <c r="AO1232" i="9"/>
  <c r="AE1234" i="9"/>
  <c r="AE1253" i="9"/>
  <c r="AE373" i="9"/>
  <c r="AE685" i="9"/>
  <c r="U753" i="9"/>
  <c r="U782" i="9"/>
  <c r="U1209" i="9"/>
  <c r="U1299" i="9"/>
  <c r="AE1327" i="9"/>
  <c r="AO41" i="9"/>
  <c r="AY44" i="9"/>
  <c r="U110" i="9"/>
  <c r="T277" i="9"/>
  <c r="AE325" i="9"/>
  <c r="U851" i="9"/>
  <c r="U1133" i="9"/>
  <c r="U109" i="9"/>
  <c r="U347" i="9"/>
  <c r="U373" i="9"/>
  <c r="U540" i="9"/>
  <c r="U636" i="9"/>
  <c r="U830" i="9"/>
  <c r="U899" i="9"/>
  <c r="U1061" i="9"/>
  <c r="U1066" i="9"/>
  <c r="U1113" i="9"/>
  <c r="U1281" i="9"/>
  <c r="AE1306" i="9"/>
  <c r="U253" i="9"/>
  <c r="AE1018" i="9"/>
  <c r="U1116" i="9"/>
  <c r="U1136" i="9"/>
  <c r="AO1209" i="9"/>
  <c r="AE1304" i="9"/>
  <c r="T347" i="9"/>
  <c r="U810" i="9"/>
  <c r="AE180" i="9"/>
  <c r="AD180" i="9"/>
  <c r="X187" i="9"/>
  <c r="AE230" i="9"/>
  <c r="U421" i="9"/>
  <c r="U443" i="9"/>
  <c r="U466" i="9"/>
  <c r="AE688" i="9"/>
  <c r="AH1237" i="9"/>
  <c r="U2988" i="9"/>
  <c r="U3149" i="9"/>
  <c r="U182" i="9"/>
  <c r="K43" i="9"/>
  <c r="U275" i="9"/>
  <c r="U301" i="9"/>
  <c r="U307" i="9"/>
  <c r="U371" i="9"/>
  <c r="U488" i="9"/>
  <c r="AE512" i="9"/>
  <c r="U637" i="9"/>
  <c r="AE993" i="9"/>
  <c r="U1014" i="9"/>
  <c r="U2874" i="9"/>
  <c r="AE88" i="9"/>
  <c r="AE42" i="9"/>
  <c r="AE133" i="9"/>
  <c r="U179" i="9"/>
  <c r="AE181" i="9"/>
  <c r="AE202" i="9"/>
  <c r="AE229" i="9"/>
  <c r="X284" i="9"/>
  <c r="AE303" i="9"/>
  <c r="U325" i="9"/>
  <c r="AE443" i="9"/>
  <c r="AE466" i="9"/>
  <c r="U491" i="9"/>
  <c r="AD512" i="9"/>
  <c r="AE633" i="9"/>
  <c r="AE687" i="9"/>
  <c r="U735" i="9"/>
  <c r="U875" i="9"/>
  <c r="Q2713" i="9"/>
  <c r="U2705" i="9"/>
  <c r="U2713" i="9" s="1"/>
  <c r="U2782" i="9"/>
  <c r="U3080" i="9"/>
  <c r="R3082" i="9" s="1"/>
  <c r="R3087" i="9" s="1"/>
  <c r="R3088" i="9" s="1"/>
  <c r="R3089" i="9" s="1"/>
  <c r="T3082" i="9" s="1"/>
  <c r="X115" i="15" s="1"/>
  <c r="U180" i="9"/>
  <c r="AA258" i="9"/>
  <c r="AE302" i="9"/>
  <c r="U370" i="9"/>
  <c r="U733" i="9"/>
  <c r="U3126" i="9"/>
  <c r="BI45" i="9"/>
  <c r="AE157" i="9"/>
  <c r="U178" i="9"/>
  <c r="X308" i="9"/>
  <c r="U423" i="9"/>
  <c r="AE612" i="9"/>
  <c r="AE613" i="9"/>
  <c r="AE639" i="9"/>
  <c r="U778" i="9"/>
  <c r="U1012" i="9"/>
  <c r="AO42" i="9"/>
  <c r="AE90" i="9"/>
  <c r="X692" i="9"/>
  <c r="U760" i="9"/>
  <c r="U831" i="9"/>
  <c r="U990" i="9"/>
  <c r="U1160" i="9"/>
  <c r="U2643" i="9"/>
  <c r="U2851" i="9"/>
  <c r="AE1093" i="9"/>
  <c r="AE1185" i="9"/>
  <c r="U1210" i="9"/>
  <c r="AE1278" i="9"/>
  <c r="AE1282" i="9"/>
  <c r="AE1303" i="9"/>
  <c r="U1332" i="9"/>
  <c r="X2116" i="9"/>
  <c r="Q2797" i="9"/>
  <c r="U2797" i="9" s="1"/>
  <c r="N2803" i="9"/>
  <c r="Q3026" i="9"/>
  <c r="N3032" i="9"/>
  <c r="AE1184" i="9"/>
  <c r="U1213" i="9"/>
  <c r="AO1236" i="9"/>
  <c r="U1253" i="9"/>
  <c r="U1254" i="9"/>
  <c r="AE1258" i="9"/>
  <c r="AE1302" i="9"/>
  <c r="U1325" i="9"/>
  <c r="U1328" i="9"/>
  <c r="U1331" i="9"/>
  <c r="AE680" i="9"/>
  <c r="U900" i="9"/>
  <c r="AE901" i="9"/>
  <c r="AE994" i="9"/>
  <c r="U1087" i="9"/>
  <c r="U1143" i="9"/>
  <c r="AE1189" i="9"/>
  <c r="AO1233" i="9"/>
  <c r="AE1281" i="9"/>
  <c r="U1301" i="9"/>
  <c r="Q3234" i="9"/>
  <c r="N3241" i="9"/>
  <c r="U1141" i="9"/>
  <c r="AE1188" i="9"/>
  <c r="N2940" i="9"/>
  <c r="N2965" i="9"/>
  <c r="N3103" i="9"/>
  <c r="AD1188" i="9"/>
  <c r="U612" i="9"/>
  <c r="U633" i="9"/>
  <c r="AE682" i="9"/>
  <c r="U709" i="9"/>
  <c r="U854" i="9"/>
  <c r="AE899" i="9"/>
  <c r="AE924" i="9"/>
  <c r="U1060" i="9"/>
  <c r="U1164" i="9"/>
  <c r="U1189" i="9"/>
  <c r="U1255" i="9"/>
  <c r="U1280" i="9"/>
  <c r="AE1300" i="9"/>
  <c r="AE1305" i="9"/>
  <c r="AE1307" i="9"/>
  <c r="Q2728" i="9"/>
  <c r="Q3003" i="9"/>
  <c r="N3009" i="9"/>
  <c r="Q3095" i="9"/>
  <c r="AO2590" i="9"/>
  <c r="AL2592" i="9" s="1"/>
  <c r="AL2597" i="9" s="1"/>
  <c r="AL2598" i="9" s="1"/>
  <c r="AL2599" i="9" s="1"/>
  <c r="AN2592" i="9" s="1"/>
  <c r="AE1326" i="9"/>
  <c r="AO1211" i="9"/>
  <c r="AO1210" i="9"/>
  <c r="AE1209" i="9"/>
  <c r="U1187" i="9"/>
  <c r="U1162" i="9"/>
  <c r="T1141" i="9"/>
  <c r="U1137" i="9"/>
  <c r="U1135" i="9"/>
  <c r="U1115" i="9"/>
  <c r="AE1091" i="9"/>
  <c r="AE1089" i="9"/>
  <c r="AE1062" i="9"/>
  <c r="U1041" i="9"/>
  <c r="U1038" i="9"/>
  <c r="AE1020" i="9"/>
  <c r="AE1019" i="9"/>
  <c r="AE995" i="9"/>
  <c r="AE969" i="9"/>
  <c r="U967" i="9"/>
  <c r="U971" i="9"/>
  <c r="U944" i="9"/>
  <c r="U876" i="9"/>
  <c r="AE852" i="9"/>
  <c r="U853" i="9"/>
  <c r="U805" i="9"/>
  <c r="U755" i="9"/>
  <c r="U754" i="9"/>
  <c r="U732" i="9"/>
  <c r="U731" i="9"/>
  <c r="AE711" i="9"/>
  <c r="AE708" i="9"/>
  <c r="AE684" i="9"/>
  <c r="AE637" i="9"/>
  <c r="AE636" i="9"/>
  <c r="U587" i="9"/>
  <c r="U586" i="9"/>
  <c r="U560" i="9"/>
  <c r="AE538" i="9"/>
  <c r="U535" i="9"/>
  <c r="AE517" i="9"/>
  <c r="AE516" i="9"/>
  <c r="AE514" i="9"/>
  <c r="U515" i="9"/>
  <c r="U514" i="9"/>
  <c r="U513" i="9"/>
  <c r="U492" i="9"/>
  <c r="U490" i="9"/>
  <c r="AE444" i="9"/>
  <c r="U422" i="9"/>
  <c r="U420" i="9"/>
  <c r="U418" i="9"/>
  <c r="U400" i="9"/>
  <c r="U398" i="9"/>
  <c r="AE375" i="9"/>
  <c r="U375" i="9"/>
  <c r="U372" i="9"/>
  <c r="U352" i="9"/>
  <c r="U348" i="9"/>
  <c r="AE327" i="9"/>
  <c r="U328" i="9"/>
  <c r="U326" i="9"/>
  <c r="AE306" i="9"/>
  <c r="U305" i="9"/>
  <c r="U303" i="9"/>
  <c r="AD283" i="9"/>
  <c r="AE282" i="9"/>
  <c r="AE280" i="9"/>
  <c r="AE278" i="9"/>
  <c r="U279" i="9"/>
  <c r="AE255" i="9"/>
  <c r="AE256" i="9"/>
  <c r="AE257" i="9"/>
  <c r="AE234" i="9"/>
  <c r="AE232" i="9"/>
  <c r="U233" i="9"/>
  <c r="U232" i="9"/>
  <c r="U231" i="9"/>
  <c r="AE212" i="9"/>
  <c r="AE208" i="9"/>
  <c r="U204" i="9"/>
  <c r="AE185" i="9"/>
  <c r="AE183" i="9"/>
  <c r="AE158" i="9"/>
  <c r="U158" i="9"/>
  <c r="AE137" i="9"/>
  <c r="AE136" i="9"/>
  <c r="U134" i="9"/>
  <c r="U133" i="9"/>
  <c r="AD114" i="9"/>
  <c r="AE113" i="9"/>
  <c r="AD90" i="9"/>
  <c r="U89" i="9"/>
  <c r="U87" i="9"/>
  <c r="AE67" i="9"/>
  <c r="AE65" i="9"/>
  <c r="U67" i="9"/>
  <c r="U3027" i="9"/>
  <c r="BI2567" i="9"/>
  <c r="BF2569" i="9" s="1"/>
  <c r="BF2574" i="9" s="1"/>
  <c r="BF2575" i="9" s="1"/>
  <c r="BF2576" i="9" s="1"/>
  <c r="BH2569" i="9" s="1"/>
  <c r="AY2567" i="9"/>
  <c r="U65" i="9"/>
  <c r="AE66" i="9"/>
  <c r="AA116" i="9"/>
  <c r="AE111" i="9"/>
  <c r="AE135" i="9"/>
  <c r="U157" i="9"/>
  <c r="U202" i="9"/>
  <c r="AE203" i="9"/>
  <c r="AE211" i="9"/>
  <c r="X236" i="9"/>
  <c r="U276" i="9"/>
  <c r="AE376" i="9"/>
  <c r="U442" i="9"/>
  <c r="U539" i="9"/>
  <c r="U564" i="9"/>
  <c r="U660" i="9"/>
  <c r="AE686" i="9"/>
  <c r="U758" i="9"/>
  <c r="U783" i="9"/>
  <c r="U808" i="9"/>
  <c r="X833" i="9"/>
  <c r="U923" i="9"/>
  <c r="U994" i="9"/>
  <c r="U1016" i="9"/>
  <c r="U1085" i="9"/>
  <c r="U1140" i="9"/>
  <c r="U43" i="9"/>
  <c r="BI43" i="9"/>
  <c r="AO44" i="9"/>
  <c r="U64" i="9"/>
  <c r="U137" i="9"/>
  <c r="X160" i="9"/>
  <c r="AE186" i="9"/>
  <c r="AE204" i="9"/>
  <c r="AE213" i="9"/>
  <c r="AE235" i="9"/>
  <c r="U252" i="9"/>
  <c r="AE328" i="9"/>
  <c r="U395" i="9"/>
  <c r="U399" i="9"/>
  <c r="U445" i="9"/>
  <c r="U591" i="9"/>
  <c r="U610" i="9"/>
  <c r="U614" i="9"/>
  <c r="U681" i="9"/>
  <c r="U803" i="9"/>
  <c r="U925" i="9"/>
  <c r="U946" i="9"/>
  <c r="AE991" i="9"/>
  <c r="AE1086" i="9"/>
  <c r="U1114" i="9"/>
  <c r="AE41" i="9"/>
  <c r="D45" i="9"/>
  <c r="BI42" i="9"/>
  <c r="AO43" i="9"/>
  <c r="U63" i="9"/>
  <c r="AE69" i="9"/>
  <c r="U86" i="9"/>
  <c r="AE110" i="9"/>
  <c r="U113" i="9"/>
  <c r="AE132" i="9"/>
  <c r="AE134" i="9"/>
  <c r="AE205" i="9"/>
  <c r="AE207" i="9"/>
  <c r="AE209" i="9"/>
  <c r="AE233" i="9"/>
  <c r="U256" i="9"/>
  <c r="AE279" i="9"/>
  <c r="U306" i="9"/>
  <c r="AE326" i="9"/>
  <c r="U351" i="9"/>
  <c r="U393" i="9"/>
  <c r="U397" i="9"/>
  <c r="U417" i="9"/>
  <c r="U419" i="9"/>
  <c r="AE445" i="9"/>
  <c r="U489" i="9"/>
  <c r="U511" i="9"/>
  <c r="U538" i="9"/>
  <c r="U613" i="9"/>
  <c r="U634" i="9"/>
  <c r="U635" i="9"/>
  <c r="U730" i="9"/>
  <c r="U784" i="9"/>
  <c r="U806" i="9"/>
  <c r="AE832" i="9"/>
  <c r="AE923" i="9"/>
  <c r="U1112" i="9"/>
  <c r="U1166" i="9"/>
  <c r="AE179" i="9"/>
  <c r="U255" i="9"/>
  <c r="AE371" i="9"/>
  <c r="AE446" i="9"/>
  <c r="X469" i="9"/>
  <c r="U565" i="9"/>
  <c r="AE683" i="9"/>
  <c r="AA943" i="9"/>
  <c r="X948" i="9"/>
  <c r="AA1012" i="9"/>
  <c r="AE1012" i="9" s="1"/>
  <c r="X1021" i="9"/>
  <c r="AH45" i="9"/>
  <c r="AY42" i="9"/>
  <c r="AE112" i="9"/>
  <c r="AE115" i="9"/>
  <c r="U135" i="9"/>
  <c r="AE156" i="9"/>
  <c r="T182" i="9"/>
  <c r="AE206" i="9"/>
  <c r="AE210" i="9"/>
  <c r="AE254" i="9"/>
  <c r="AA275" i="9"/>
  <c r="AE275" i="9" s="1"/>
  <c r="AE277" i="9"/>
  <c r="AE307" i="9"/>
  <c r="U350" i="9"/>
  <c r="AD373" i="9"/>
  <c r="U396" i="9"/>
  <c r="T421" i="9"/>
  <c r="AA465" i="9"/>
  <c r="AE465" i="9" s="1"/>
  <c r="AE468" i="9"/>
  <c r="AE511" i="9"/>
  <c r="AD515" i="9"/>
  <c r="T636" i="9"/>
  <c r="AE922" i="9"/>
  <c r="AE968" i="9"/>
  <c r="AD968" i="9"/>
  <c r="AE971" i="9"/>
  <c r="AE992" i="9"/>
  <c r="AE1013" i="9"/>
  <c r="AE1015" i="9"/>
  <c r="U1139" i="9"/>
  <c r="Q44" i="9"/>
  <c r="AE86" i="9"/>
  <c r="X641" i="9"/>
  <c r="AA632" i="9"/>
  <c r="AE632" i="9" s="1"/>
  <c r="AK1231" i="9"/>
  <c r="AO1231" i="9" s="1"/>
  <c r="AE537" i="9"/>
  <c r="AE539" i="9"/>
  <c r="U541" i="9"/>
  <c r="U659" i="9"/>
  <c r="AE689" i="9"/>
  <c r="AE710" i="9"/>
  <c r="AE900" i="9"/>
  <c r="U922" i="9"/>
  <c r="U1067" i="9"/>
  <c r="U1134" i="9"/>
  <c r="U1184" i="9"/>
  <c r="AE1208" i="9"/>
  <c r="AO1234" i="9"/>
  <c r="AO1235" i="9"/>
  <c r="AE1256" i="9"/>
  <c r="U1276" i="9"/>
  <c r="U1277" i="9"/>
  <c r="AD1282" i="9"/>
  <c r="T1325" i="9"/>
  <c r="U1326" i="9"/>
  <c r="Q2205" i="9"/>
  <c r="U2205" i="9" s="1"/>
  <c r="N2237" i="9"/>
  <c r="N2240" i="9" s="1"/>
  <c r="N2457" i="9"/>
  <c r="Q2443" i="9"/>
  <c r="U2443" i="9" s="1"/>
  <c r="U2376" i="9"/>
  <c r="U920" i="9"/>
  <c r="U991" i="9"/>
  <c r="AE1085" i="9"/>
  <c r="AE1259" i="9"/>
  <c r="AE1280" i="9"/>
  <c r="U1324" i="9"/>
  <c r="AE1330" i="9"/>
  <c r="AE1977" i="9"/>
  <c r="AB1979" i="9" s="1"/>
  <c r="AB1984" i="9" s="1"/>
  <c r="AB1985" i="9" s="1"/>
  <c r="AB1986" i="9" s="1"/>
  <c r="AD1979" i="9" s="1"/>
  <c r="AE2141" i="9"/>
  <c r="AB2143" i="9" s="1"/>
  <c r="AB2148" i="9" s="1"/>
  <c r="AB2149" i="9" s="1"/>
  <c r="AB2150" i="9" s="1"/>
  <c r="AD2143" i="9" s="1"/>
  <c r="U2481" i="9"/>
  <c r="N2667" i="9"/>
  <c r="Q2661" i="9"/>
  <c r="U2661" i="9" s="1"/>
  <c r="U2667" i="9" s="1"/>
  <c r="U1207" i="9"/>
  <c r="AE1232" i="9"/>
  <c r="AE1301" i="9"/>
  <c r="U2182" i="9"/>
  <c r="AE536" i="9"/>
  <c r="U566" i="9"/>
  <c r="U592" i="9"/>
  <c r="AE640" i="9"/>
  <c r="U661" i="9"/>
  <c r="AE690" i="9"/>
  <c r="U807" i="9"/>
  <c r="U832" i="9"/>
  <c r="X927" i="9"/>
  <c r="AE947" i="9"/>
  <c r="U968" i="9"/>
  <c r="U1110" i="9"/>
  <c r="AE1187" i="9"/>
  <c r="U1333" i="9"/>
  <c r="Q3126" i="9"/>
  <c r="AE1405" i="9"/>
  <c r="AB1407" i="9" s="1"/>
  <c r="AB1412" i="9" s="1"/>
  <c r="AB1413" i="9" s="1"/>
  <c r="AB1414" i="9" s="1"/>
  <c r="AD1407" i="9" s="1"/>
  <c r="AA2109" i="9"/>
  <c r="AE2109" i="9" s="1"/>
  <c r="AE2116" i="9" s="1"/>
  <c r="Q2204" i="9"/>
  <c r="U897" i="9"/>
  <c r="AE944" i="9"/>
  <c r="U993" i="9"/>
  <c r="U1013" i="9"/>
  <c r="AE1016" i="9"/>
  <c r="U1065" i="9"/>
  <c r="AE1235" i="9"/>
  <c r="U1257" i="9"/>
  <c r="X2141" i="9"/>
  <c r="AY2498" i="9"/>
  <c r="P2207" i="9"/>
  <c r="S2204" i="9"/>
  <c r="T2204" i="9" s="1"/>
  <c r="U2408" i="9"/>
  <c r="AH2565" i="9"/>
  <c r="BB2567" i="9"/>
  <c r="Q3220" i="9"/>
  <c r="N3080" i="9"/>
  <c r="Q3312" i="9"/>
  <c r="AK2560" i="9"/>
  <c r="AO2560" i="9" s="1"/>
  <c r="AO2565" i="9" s="1"/>
  <c r="Q2934" i="9"/>
  <c r="AH2496" i="9"/>
  <c r="N2988" i="9"/>
  <c r="U2413" i="9"/>
  <c r="AK2590" i="9"/>
  <c r="U2212" i="9"/>
  <c r="N2713" i="9"/>
  <c r="N3312" i="9"/>
  <c r="BE2567" i="9"/>
  <c r="AE87" i="9"/>
  <c r="AA91" i="9"/>
  <c r="AU45" i="9"/>
  <c r="AE1039" i="9"/>
  <c r="AA518" i="9"/>
  <c r="T1042" i="9"/>
  <c r="U1042" i="9"/>
  <c r="AE178" i="9"/>
  <c r="X329" i="9"/>
  <c r="AA324" i="9"/>
  <c r="T349" i="9"/>
  <c r="U559" i="9"/>
  <c r="U804" i="9"/>
  <c r="AE851" i="9"/>
  <c r="AA1374" i="9"/>
  <c r="X1380" i="9"/>
  <c r="X91" i="9"/>
  <c r="AE276" i="9"/>
  <c r="AD281" i="9"/>
  <c r="T1068" i="9"/>
  <c r="U1068" i="9"/>
  <c r="U41" i="9"/>
  <c r="AD230" i="9"/>
  <c r="AA1061" i="9"/>
  <c r="AE1061" i="9" s="1"/>
  <c r="X1066" i="9"/>
  <c r="BE47" i="9"/>
  <c r="AA231" i="9"/>
  <c r="T275" i="9"/>
  <c r="AA449" i="9"/>
  <c r="AE442" i="9"/>
  <c r="X614" i="9"/>
  <c r="AA609" i="9"/>
  <c r="AD640" i="9"/>
  <c r="AA681" i="9"/>
  <c r="AE681" i="9" s="1"/>
  <c r="T710" i="9"/>
  <c r="T758" i="9"/>
  <c r="AE828" i="9"/>
  <c r="AD828" i="9"/>
  <c r="U874" i="9"/>
  <c r="AA927" i="9"/>
  <c r="AE920" i="9"/>
  <c r="U921" i="9"/>
  <c r="AE1060" i="9"/>
  <c r="AA1094" i="9"/>
  <c r="AE1254" i="9"/>
  <c r="X1502" i="9"/>
  <c r="AA1495" i="9"/>
  <c r="AE63" i="9"/>
  <c r="AA214" i="9"/>
  <c r="X540" i="9"/>
  <c r="AE305" i="9"/>
  <c r="X116" i="9"/>
  <c r="AA714" i="9"/>
  <c r="AE707" i="9"/>
  <c r="Q3005" i="9"/>
  <c r="U3005" i="9" s="1"/>
  <c r="BB47" i="9"/>
  <c r="AA155" i="9"/>
  <c r="AA182" i="9"/>
  <c r="AE182" i="9" s="1"/>
  <c r="AA301" i="9"/>
  <c r="U590" i="9"/>
  <c r="T590" i="9"/>
  <c r="T1110" i="9"/>
  <c r="X44" i="9"/>
  <c r="AR45" i="9"/>
  <c r="AD86" i="9"/>
  <c r="AE109" i="9"/>
  <c r="AA44" i="9"/>
  <c r="X70" i="9"/>
  <c r="X139" i="9"/>
  <c r="X214" i="9"/>
  <c r="AD204" i="9"/>
  <c r="T307" i="9"/>
  <c r="U469" i="9"/>
  <c r="T564" i="9"/>
  <c r="U585" i="9"/>
  <c r="U684" i="9"/>
  <c r="U970" i="9"/>
  <c r="X1094" i="9"/>
  <c r="T1209" i="9"/>
  <c r="AA1255" i="9"/>
  <c r="AE1255" i="9" s="1"/>
  <c r="X1260" i="9"/>
  <c r="AA1620" i="9"/>
  <c r="X1621" i="9"/>
  <c r="X1644" i="9"/>
  <c r="AA1637" i="9"/>
  <c r="AA64" i="9"/>
  <c r="AE64" i="9" s="1"/>
  <c r="AA139" i="9"/>
  <c r="AE1038" i="9"/>
  <c r="AA1041" i="9"/>
  <c r="AA1042" i="9" s="1"/>
  <c r="AE1042" i="9" s="1"/>
  <c r="AA540" i="9"/>
  <c r="AE534" i="9"/>
  <c r="AD946" i="9"/>
  <c r="AE946" i="9"/>
  <c r="AA829" i="9"/>
  <c r="AA1423" i="9"/>
  <c r="X1429" i="9"/>
  <c r="T445" i="9"/>
  <c r="G45" i="9"/>
  <c r="AK45" i="9"/>
  <c r="AE252" i="9"/>
  <c r="AA370" i="9"/>
  <c r="X377" i="9"/>
  <c r="U609" i="9"/>
  <c r="K41" i="9"/>
  <c r="AE68" i="9"/>
  <c r="U111" i="9"/>
  <c r="U254" i="9"/>
  <c r="U258" i="9"/>
  <c r="AE374" i="9"/>
  <c r="U493" i="9"/>
  <c r="X518" i="9"/>
  <c r="AE611" i="9"/>
  <c r="AD680" i="9"/>
  <c r="U757" i="9"/>
  <c r="AD994" i="9"/>
  <c r="AE1014" i="9"/>
  <c r="AK1208" i="9"/>
  <c r="AO1208" i="9" s="1"/>
  <c r="AH1214" i="9"/>
  <c r="AE1088" i="9"/>
  <c r="AD1088" i="9"/>
  <c r="AO1212" i="9"/>
  <c r="AN1212" i="9"/>
  <c r="X1214" i="9"/>
  <c r="AA1207" i="9"/>
  <c r="AA1231" i="9"/>
  <c r="AE1231" i="9" s="1"/>
  <c r="X1237" i="9"/>
  <c r="N44" i="9"/>
  <c r="AD682" i="9"/>
  <c r="U781" i="9"/>
  <c r="AE1212" i="9"/>
  <c r="AO1230" i="9"/>
  <c r="AD1234" i="9"/>
  <c r="X1525" i="9"/>
  <c r="AA1518" i="9"/>
  <c r="Q2250" i="9"/>
  <c r="U2250" i="9" s="1"/>
  <c r="N2274" i="9"/>
  <c r="N2897" i="9"/>
  <c r="Q2890" i="9"/>
  <c r="N1117" i="9"/>
  <c r="Q1109" i="9"/>
  <c r="AE372" i="9"/>
  <c r="U374" i="9"/>
  <c r="U416" i="9"/>
  <c r="U424" i="9"/>
  <c r="T659" i="9"/>
  <c r="U736" i="9"/>
  <c r="T807" i="9"/>
  <c r="U828" i="9"/>
  <c r="AE831" i="9"/>
  <c r="AA855" i="9"/>
  <c r="AE855" i="9" s="1"/>
  <c r="X858" i="9"/>
  <c r="U898" i="9"/>
  <c r="AE966" i="9"/>
  <c r="U1138" i="9"/>
  <c r="AE1186" i="9"/>
  <c r="AE1233" i="9"/>
  <c r="X1283" i="9"/>
  <c r="AA1446" i="9"/>
  <c r="AE1446" i="9" s="1"/>
  <c r="AE1454" i="9" s="1"/>
  <c r="AB1456" i="9" s="1"/>
  <c r="AB1461" i="9" s="1"/>
  <c r="AB1462" i="9" s="1"/>
  <c r="AB1463" i="9" s="1"/>
  <c r="AD1456" i="9" s="1"/>
  <c r="X1454" i="9"/>
  <c r="Q1469" i="9"/>
  <c r="U1469" i="9" s="1"/>
  <c r="N2408" i="9"/>
  <c r="Q2481" i="9"/>
  <c r="X973" i="9"/>
  <c r="AA967" i="9"/>
  <c r="AE967" i="9" s="1"/>
  <c r="AE1329" i="9"/>
  <c r="X258" i="9"/>
  <c r="U302" i="9"/>
  <c r="X449" i="9"/>
  <c r="AE634" i="9"/>
  <c r="AE691" i="9"/>
  <c r="X714" i="9"/>
  <c r="AA989" i="9"/>
  <c r="X996" i="9"/>
  <c r="AE990" i="9"/>
  <c r="AE1037" i="9"/>
  <c r="AA1283" i="9"/>
  <c r="AE1276" i="9"/>
  <c r="AE1277" i="9"/>
  <c r="AA1668" i="9"/>
  <c r="X1672" i="9"/>
  <c r="AA897" i="9"/>
  <c r="X902" i="9"/>
  <c r="AH1333" i="9"/>
  <c r="AK1324" i="9"/>
  <c r="AA1325" i="9"/>
  <c r="AE1325" i="9" s="1"/>
  <c r="X1331" i="9"/>
  <c r="AA1405" i="9"/>
  <c r="AA1977" i="9"/>
  <c r="U878" i="9"/>
  <c r="AE926" i="9"/>
  <c r="U943" i="9"/>
  <c r="AE1017" i="9"/>
  <c r="U1064" i="9"/>
  <c r="U1069" i="9"/>
  <c r="U1088" i="9"/>
  <c r="AA1190" i="9"/>
  <c r="AE1183" i="9"/>
  <c r="X1190" i="9"/>
  <c r="AE1230" i="9"/>
  <c r="N2376" i="9"/>
  <c r="Q2851" i="9"/>
  <c r="Q3283" i="9"/>
  <c r="U3283" i="9" s="1"/>
  <c r="U3289" i="9" s="1"/>
  <c r="N3289" i="9"/>
  <c r="AE854" i="9"/>
  <c r="AE856" i="9"/>
  <c r="X1044" i="9"/>
  <c r="AE1064" i="9"/>
  <c r="AE1065" i="9"/>
  <c r="AE1092" i="9"/>
  <c r="U1188" i="9"/>
  <c r="AO1207" i="9"/>
  <c r="AA1354" i="9"/>
  <c r="N1352" i="9" s="1"/>
  <c r="Q1352" i="9" s="1"/>
  <c r="U1352" i="9" s="1"/>
  <c r="AE1350" i="9"/>
  <c r="AE1354" i="9" s="1"/>
  <c r="AB1356" i="9" s="1"/>
  <c r="AB1361" i="9" s="1"/>
  <c r="AB1362" i="9" s="1"/>
  <c r="AB1363" i="9" s="1"/>
  <c r="AD1356" i="9" s="1"/>
  <c r="X2069" i="9"/>
  <c r="AA2062" i="9"/>
  <c r="Q2415" i="9"/>
  <c r="U2415" i="9" s="1"/>
  <c r="N2435" i="9"/>
  <c r="Q2782" i="9"/>
  <c r="N2828" i="9"/>
  <c r="Q2822" i="9"/>
  <c r="N2481" i="9"/>
  <c r="AU2498" i="9"/>
  <c r="N2782" i="9"/>
  <c r="Q3051" i="9"/>
  <c r="N3058" i="9"/>
  <c r="N3195" i="9"/>
  <c r="Q3187" i="9"/>
  <c r="Q3257" i="9"/>
  <c r="N3266" i="9"/>
  <c r="Q2216" i="9"/>
  <c r="U2216" i="9" s="1"/>
  <c r="Q2316" i="9"/>
  <c r="N2343" i="9"/>
  <c r="Q2408" i="9"/>
  <c r="BE2492" i="9"/>
  <c r="BB2498" i="9"/>
  <c r="AK2491" i="9"/>
  <c r="Q2751" i="9"/>
  <c r="N2759" i="9"/>
  <c r="N2874" i="9"/>
  <c r="N3126" i="9"/>
  <c r="Q3236" i="9"/>
  <c r="X1308" i="9"/>
  <c r="AA1299" i="9"/>
  <c r="U1327" i="9"/>
  <c r="AE1328" i="9"/>
  <c r="X1354" i="9"/>
  <c r="X1598" i="9"/>
  <c r="AA1591" i="9"/>
  <c r="X1951" i="9"/>
  <c r="AA1945" i="9"/>
  <c r="N2851" i="9"/>
  <c r="Q2914" i="9"/>
  <c r="N2920" i="9"/>
  <c r="Q3080" i="9"/>
  <c r="Q3165" i="9"/>
  <c r="N3172" i="9"/>
  <c r="N3220" i="9"/>
  <c r="X1405" i="9"/>
  <c r="AU2567" i="9"/>
  <c r="N2643" i="9"/>
  <c r="AA2141" i="9"/>
  <c r="Q2988" i="9"/>
  <c r="AR2498" i="9"/>
  <c r="AR2567" i="9"/>
  <c r="AH2590" i="9"/>
  <c r="Q2689" i="9"/>
  <c r="X1977" i="9"/>
  <c r="Q2376" i="9"/>
  <c r="Q2874" i="9"/>
  <c r="Q3149" i="9"/>
  <c r="Q2643" i="9"/>
  <c r="N3149" i="9"/>
  <c r="N2689" i="9"/>
  <c r="N2734" i="9" l="1"/>
  <c r="AR2212" i="9"/>
  <c r="AJ2212" i="9"/>
  <c r="AQ2212" i="9"/>
  <c r="AP2212" i="9"/>
  <c r="AS2212" i="9"/>
  <c r="AO2212" i="9"/>
  <c r="AM2212" i="9"/>
  <c r="AN2212" i="9"/>
  <c r="AK2212" i="9"/>
  <c r="AT2212" i="9"/>
  <c r="AL2212" i="9"/>
  <c r="R2691" i="9"/>
  <c r="R2696" i="9" s="1"/>
  <c r="R2697" i="9" s="1"/>
  <c r="R2698" i="9" s="1"/>
  <c r="T2691" i="9" s="1"/>
  <c r="X81" i="15" s="1"/>
  <c r="R3128" i="9"/>
  <c r="R3133" i="9" s="1"/>
  <c r="R3134" i="9" s="1"/>
  <c r="R3135" i="9" s="1"/>
  <c r="T3128" i="9" s="1"/>
  <c r="Y78" i="15" s="1"/>
  <c r="AQ2182" i="9"/>
  <c r="AK2182" i="9"/>
  <c r="AP2182" i="9"/>
  <c r="AO2182" i="9"/>
  <c r="AN2182" i="9"/>
  <c r="AM2182" i="9"/>
  <c r="AL2182" i="9"/>
  <c r="AT2182" i="9"/>
  <c r="AS2182" i="9"/>
  <c r="AR2182" i="9"/>
  <c r="AJ2182" i="9"/>
  <c r="AL2415" i="9"/>
  <c r="AN2415" i="9"/>
  <c r="E275" i="12" s="1"/>
  <c r="F275" i="12" s="1"/>
  <c r="G275" i="12" s="1"/>
  <c r="H275" i="12" s="1"/>
  <c r="I275" i="12" s="1"/>
  <c r="AO2415" i="9"/>
  <c r="AP2415" i="9"/>
  <c r="E277" i="12" s="1"/>
  <c r="F277" i="12" s="1"/>
  <c r="G277" i="12" s="1"/>
  <c r="H277" i="12" s="1"/>
  <c r="I277" i="12" s="1"/>
  <c r="AS2443" i="9"/>
  <c r="O277" i="12" s="1"/>
  <c r="P277" i="12" s="1"/>
  <c r="Q277" i="12" s="1"/>
  <c r="R277" i="12" s="1"/>
  <c r="S277" i="12" s="1"/>
  <c r="AL2443" i="9"/>
  <c r="R3151" i="9"/>
  <c r="R3156" i="9" s="1"/>
  <c r="R3157" i="9" s="1"/>
  <c r="R3158" i="9" s="1"/>
  <c r="T3151" i="9" s="1"/>
  <c r="Y79" i="15" s="1"/>
  <c r="AQ2413" i="9"/>
  <c r="AP2413" i="9"/>
  <c r="AO2413" i="9"/>
  <c r="AN2413" i="9"/>
  <c r="AJ2413" i="9"/>
  <c r="AK2413" i="9"/>
  <c r="AS2413" i="9"/>
  <c r="AL2413" i="9"/>
  <c r="AM2413" i="9"/>
  <c r="AR2413" i="9"/>
  <c r="AT2413" i="9"/>
  <c r="AB2118" i="9"/>
  <c r="AB2123" i="9" s="1"/>
  <c r="AB2124" i="9" s="1"/>
  <c r="AB2125" i="9" s="1"/>
  <c r="AD2118" i="9" s="1"/>
  <c r="AP2216" i="9"/>
  <c r="O221" i="12" s="1"/>
  <c r="P221" i="12" s="1"/>
  <c r="Q221" i="12" s="1"/>
  <c r="R221" i="12" s="1"/>
  <c r="S221" i="12" s="1"/>
  <c r="AQ2216" i="9"/>
  <c r="O222" i="12" s="1"/>
  <c r="P222" i="12" s="1"/>
  <c r="Q222" i="12" s="1"/>
  <c r="R222" i="12" s="1"/>
  <c r="S222" i="12" s="1"/>
  <c r="AJ2216" i="9"/>
  <c r="AK2216" i="9"/>
  <c r="O216" i="12" s="1"/>
  <c r="P216" i="12" s="1"/>
  <c r="Q216" i="12" s="1"/>
  <c r="R216" i="12" s="1"/>
  <c r="S216" i="12" s="1"/>
  <c r="AN2216" i="9"/>
  <c r="AO2216" i="9"/>
  <c r="O220" i="12" s="1"/>
  <c r="P220" i="12" s="1"/>
  <c r="Q220" i="12" s="1"/>
  <c r="R220" i="12" s="1"/>
  <c r="S220" i="12" s="1"/>
  <c r="AL2216" i="9"/>
  <c r="O217" i="12" s="1"/>
  <c r="P217" i="12" s="1"/>
  <c r="Q217" i="12" s="1"/>
  <c r="R217" i="12" s="1"/>
  <c r="S217" i="12" s="1"/>
  <c r="AM2216" i="9"/>
  <c r="O218" i="12" s="1"/>
  <c r="P218" i="12" s="1"/>
  <c r="Q218" i="12" s="1"/>
  <c r="R218" i="12" s="1"/>
  <c r="S218" i="12" s="1"/>
  <c r="AN2187" i="9"/>
  <c r="E224" i="12" s="1"/>
  <c r="F224" i="12" s="1"/>
  <c r="G224" i="12" s="1"/>
  <c r="H224" i="12" s="1"/>
  <c r="I224" i="12" s="1"/>
  <c r="AM2187" i="9"/>
  <c r="E223" i="12" s="1"/>
  <c r="F223" i="12" s="1"/>
  <c r="G223" i="12" s="1"/>
  <c r="H223" i="12" s="1"/>
  <c r="I223" i="12" s="1"/>
  <c r="Q93" i="5"/>
  <c r="AD76" i="15" s="1"/>
  <c r="Q90" i="12"/>
  <c r="Q89" i="12"/>
  <c r="R89" i="12" s="1"/>
  <c r="S89" i="12" s="1"/>
  <c r="T89" i="12" s="1"/>
  <c r="U89" i="12" s="1"/>
  <c r="R89" i="5"/>
  <c r="Q91" i="12"/>
  <c r="R91" i="12" s="1"/>
  <c r="S91" i="12" s="1"/>
  <c r="T91" i="12" s="1"/>
  <c r="U91" i="12" s="1"/>
  <c r="AT2250" i="9"/>
  <c r="Y212" i="12" s="1"/>
  <c r="Z212" i="12" s="1"/>
  <c r="AA212" i="12" s="1"/>
  <c r="AB212" i="12" s="1"/>
  <c r="AC212" i="12" s="1"/>
  <c r="AP2250" i="9"/>
  <c r="Y213" i="12" s="1"/>
  <c r="Z213" i="12" s="1"/>
  <c r="AA213" i="12" s="1"/>
  <c r="AB213" i="12" s="1"/>
  <c r="AC213" i="12" s="1"/>
  <c r="AM2250" i="9"/>
  <c r="Y210" i="12" s="1"/>
  <c r="Z210" i="12" s="1"/>
  <c r="AA210" i="12" s="1"/>
  <c r="AB210" i="12" s="1"/>
  <c r="AC210" i="12" s="1"/>
  <c r="AN2250" i="9"/>
  <c r="Y211" i="12" s="1"/>
  <c r="Z211" i="12" s="1"/>
  <c r="AA211" i="12" s="1"/>
  <c r="AB211" i="12" s="1"/>
  <c r="AC211" i="12" s="1"/>
  <c r="AO2250" i="9"/>
  <c r="Y214" i="12" s="1"/>
  <c r="Z214" i="12" s="1"/>
  <c r="AA214" i="12" s="1"/>
  <c r="AB214" i="12" s="1"/>
  <c r="AC214" i="12" s="1"/>
  <c r="R3222" i="9"/>
  <c r="R3227" i="9" s="1"/>
  <c r="R3228" i="9" s="1"/>
  <c r="R3229" i="9" s="1"/>
  <c r="T3222" i="9" s="1"/>
  <c r="Y82" i="15" s="1"/>
  <c r="R2669" i="9"/>
  <c r="R2674" i="9" s="1"/>
  <c r="R2675" i="9" s="1"/>
  <c r="R2676" i="9" s="1"/>
  <c r="T2669" i="9" s="1"/>
  <c r="X79" i="15" s="1"/>
  <c r="R2715" i="9"/>
  <c r="R2720" i="9" s="1"/>
  <c r="R2721" i="9" s="1"/>
  <c r="R2722" i="9" s="1"/>
  <c r="T2715" i="9" s="1"/>
  <c r="X83" i="15" s="1"/>
  <c r="R2853" i="9"/>
  <c r="R2858" i="9" s="1"/>
  <c r="R2859" i="9" s="1"/>
  <c r="R2860" i="9" s="1"/>
  <c r="T2853" i="9" s="1"/>
  <c r="X95" i="15" s="1"/>
  <c r="R2784" i="9"/>
  <c r="R2789" i="9" s="1"/>
  <c r="R2790" i="9" s="1"/>
  <c r="R2791" i="9" s="1"/>
  <c r="T2784" i="9" s="1"/>
  <c r="X89" i="15" s="1"/>
  <c r="R2645" i="9"/>
  <c r="R2650" i="9" s="1"/>
  <c r="R2651" i="9" s="1"/>
  <c r="R2652" i="9" s="1"/>
  <c r="T2645" i="9" s="1"/>
  <c r="X77" i="15" s="1"/>
  <c r="R2876" i="9"/>
  <c r="R2881" i="9" s="1"/>
  <c r="R2882" i="9" s="1"/>
  <c r="R2883" i="9" s="1"/>
  <c r="R3291" i="9"/>
  <c r="R3296" i="9" s="1"/>
  <c r="R3297" i="9" s="1"/>
  <c r="R3298" i="9" s="1"/>
  <c r="R2990" i="9"/>
  <c r="R2995" i="9" s="1"/>
  <c r="R2996" i="9" s="1"/>
  <c r="R2997" i="9" s="1"/>
  <c r="R3314" i="9"/>
  <c r="R3319" i="9" s="1"/>
  <c r="R3320" i="9" s="1"/>
  <c r="R3321" i="9" s="1"/>
  <c r="N2561" i="9"/>
  <c r="Q2561" i="9" s="1"/>
  <c r="U2561" i="9" s="1"/>
  <c r="AL2567" i="9"/>
  <c r="AL2572" i="9" s="1"/>
  <c r="AL2573" i="9" s="1"/>
  <c r="AL2574" i="9" s="1"/>
  <c r="AN2567" i="9" s="1"/>
  <c r="N1448" i="9"/>
  <c r="X2492" i="9"/>
  <c r="AA2492" i="9" s="1"/>
  <c r="AV2500" i="9"/>
  <c r="AV2505" i="9" s="1"/>
  <c r="AV2506" i="9" s="1"/>
  <c r="AV2507" i="9" s="1"/>
  <c r="AX2500" i="9" s="1"/>
  <c r="N1971" i="9"/>
  <c r="Q1971" i="9" s="1"/>
  <c r="U1971" i="9" s="1"/>
  <c r="X2561" i="9"/>
  <c r="AA2561" i="9" s="1"/>
  <c r="AV2569" i="9"/>
  <c r="AV2574" i="9" s="1"/>
  <c r="AV2575" i="9" s="1"/>
  <c r="AV2576" i="9" s="1"/>
  <c r="AX2569" i="9" s="1"/>
  <c r="N2137" i="9"/>
  <c r="Q2137" i="9" s="1"/>
  <c r="U2137" i="9" s="1"/>
  <c r="N1397" i="9"/>
  <c r="Q1397" i="9" s="1"/>
  <c r="U1397" i="9" s="1"/>
  <c r="N20" i="12"/>
  <c r="O20" i="12" s="1"/>
  <c r="P20" i="12" s="1"/>
  <c r="Q20" i="12" s="1"/>
  <c r="R20" i="12" s="1"/>
  <c r="V20" i="12"/>
  <c r="W20" i="12" s="1"/>
  <c r="X20" i="12" s="1"/>
  <c r="Y20" i="12" s="1"/>
  <c r="Z20" i="12" s="1"/>
  <c r="N2116" i="9"/>
  <c r="Q2116" i="9" s="1"/>
  <c r="U2116" i="9" s="1"/>
  <c r="N26" i="12"/>
  <c r="O26" i="12" s="1"/>
  <c r="P26" i="12" s="1"/>
  <c r="Q26" i="12" s="1"/>
  <c r="R26" i="12" s="1"/>
  <c r="F279" i="12"/>
  <c r="G279" i="12" s="1"/>
  <c r="H279" i="12" s="1"/>
  <c r="I279" i="12" s="1"/>
  <c r="E218" i="12"/>
  <c r="F218" i="12" s="1"/>
  <c r="G218" i="12" s="1"/>
  <c r="H218" i="12" s="1"/>
  <c r="I218" i="12" s="1"/>
  <c r="E217" i="12"/>
  <c r="F217" i="12" s="1"/>
  <c r="G217" i="12" s="1"/>
  <c r="H217" i="12" s="1"/>
  <c r="I217" i="12" s="1"/>
  <c r="O205" i="12"/>
  <c r="P205" i="12" s="1"/>
  <c r="Q205" i="12" s="1"/>
  <c r="R205" i="12" s="1"/>
  <c r="S205" i="12" s="1"/>
  <c r="O204" i="12"/>
  <c r="P204" i="12" s="1"/>
  <c r="Q204" i="12" s="1"/>
  <c r="R204" i="12" s="1"/>
  <c r="S204" i="12" s="1"/>
  <c r="E274" i="12"/>
  <c r="F274" i="12" s="1"/>
  <c r="G274" i="12" s="1"/>
  <c r="H274" i="12" s="1"/>
  <c r="I274" i="12" s="1"/>
  <c r="E276" i="12"/>
  <c r="F276" i="12" s="1"/>
  <c r="G276" i="12" s="1"/>
  <c r="H276" i="12" s="1"/>
  <c r="I276" i="12" s="1"/>
  <c r="O276" i="12"/>
  <c r="P276" i="12" s="1"/>
  <c r="Q276" i="12" s="1"/>
  <c r="R276" i="12" s="1"/>
  <c r="S276" i="12" s="1"/>
  <c r="O215" i="12"/>
  <c r="P215" i="12" s="1"/>
  <c r="Q215" i="12" s="1"/>
  <c r="R215" i="12" s="1"/>
  <c r="S215" i="12" s="1"/>
  <c r="O219" i="12"/>
  <c r="P219" i="12" s="1"/>
  <c r="Q219" i="12" s="1"/>
  <c r="R219" i="12" s="1"/>
  <c r="S219" i="12" s="1"/>
  <c r="AA2729" i="9"/>
  <c r="X2734" i="9"/>
  <c r="AA42" i="15"/>
  <c r="BP19" i="15"/>
  <c r="BP42" i="15"/>
  <c r="BP43" i="15" s="1"/>
  <c r="AJ41" i="15"/>
  <c r="AK41" i="15" s="1"/>
  <c r="AJ40" i="15"/>
  <c r="AK40" i="15" s="1"/>
  <c r="AK42" i="15" s="1"/>
  <c r="AK43" i="15" s="1"/>
  <c r="E14" i="17"/>
  <c r="P19" i="15"/>
  <c r="P20" i="15" s="1"/>
  <c r="N2583" i="9"/>
  <c r="Q2583" i="9" s="1"/>
  <c r="U2583" i="9" s="1"/>
  <c r="X2583" i="9"/>
  <c r="U2274" i="9"/>
  <c r="U2457" i="9"/>
  <c r="E157" i="12"/>
  <c r="F157" i="12" s="1"/>
  <c r="G157" i="12" s="1"/>
  <c r="H157" i="12" s="1"/>
  <c r="I157" i="12" s="1"/>
  <c r="BF42" i="15"/>
  <c r="BF43" i="15" s="1"/>
  <c r="BE18" i="15"/>
  <c r="BF18" i="15" s="1"/>
  <c r="BF21" i="15" s="1"/>
  <c r="AA43" i="15"/>
  <c r="AA24" i="15"/>
  <c r="AA25" i="15" s="1"/>
  <c r="BP20" i="15"/>
  <c r="P41" i="15"/>
  <c r="P42" i="15" s="1"/>
  <c r="AJ19" i="15"/>
  <c r="AK19" i="15" s="1"/>
  <c r="AJ16" i="15"/>
  <c r="AK16" i="15" s="1"/>
  <c r="AJ22" i="15"/>
  <c r="AK22" i="15" s="1"/>
  <c r="AJ23" i="15"/>
  <c r="AK23" i="15" s="1"/>
  <c r="Q2667" i="9"/>
  <c r="AE44" i="9"/>
  <c r="AA1021" i="9"/>
  <c r="Q2457" i="9"/>
  <c r="AK1237" i="9"/>
  <c r="U44" i="9"/>
  <c r="AA641" i="9"/>
  <c r="AE518" i="9"/>
  <c r="K45" i="9"/>
  <c r="AE116" i="9"/>
  <c r="AA1066" i="9"/>
  <c r="AA284" i="9"/>
  <c r="AE714" i="9"/>
  <c r="AB716" i="9" s="1"/>
  <c r="AB721" i="9" s="1"/>
  <c r="AB722" i="9" s="1"/>
  <c r="AB723" i="9" s="1"/>
  <c r="AD716" i="9" s="1"/>
  <c r="Q3289" i="9"/>
  <c r="AY45" i="9"/>
  <c r="BI47" i="9"/>
  <c r="AE258" i="9"/>
  <c r="AE1190" i="9"/>
  <c r="AB1192" i="9" s="1"/>
  <c r="AB1197" i="9" s="1"/>
  <c r="AB1198" i="9" s="1"/>
  <c r="AB1199" i="9" s="1"/>
  <c r="AD1192" i="9" s="1"/>
  <c r="AA187" i="9"/>
  <c r="AE91" i="9"/>
  <c r="AB93" i="9" s="1"/>
  <c r="AB98" i="9" s="1"/>
  <c r="AB99" i="9" s="1"/>
  <c r="AB100" i="9" s="1"/>
  <c r="AD93" i="9" s="1"/>
  <c r="AA469" i="9"/>
  <c r="Q2803" i="9"/>
  <c r="U2803" i="9"/>
  <c r="AA858" i="9"/>
  <c r="AA2116" i="9"/>
  <c r="Q3103" i="9"/>
  <c r="U3095" i="9"/>
  <c r="U3103" i="9" s="1"/>
  <c r="AE284" i="9"/>
  <c r="AB286" i="9" s="1"/>
  <c r="AB291" i="9" s="1"/>
  <c r="AB292" i="9" s="1"/>
  <c r="AB293" i="9" s="1"/>
  <c r="AD286" i="9" s="1"/>
  <c r="AO45" i="9"/>
  <c r="Q3009" i="9"/>
  <c r="U3003" i="9"/>
  <c r="U3009" i="9" s="1"/>
  <c r="Q3172" i="9"/>
  <c r="U3165" i="9"/>
  <c r="U3172" i="9" s="1"/>
  <c r="Q3195" i="9"/>
  <c r="U3187" i="9"/>
  <c r="U3195" i="9" s="1"/>
  <c r="AE139" i="9"/>
  <c r="Q2965" i="9"/>
  <c r="U2957" i="9"/>
  <c r="U2965" i="9" s="1"/>
  <c r="Q3266" i="9"/>
  <c r="U3257" i="9"/>
  <c r="U3266" i="9" s="1"/>
  <c r="Q2940" i="9"/>
  <c r="U2934" i="9"/>
  <c r="U2940" i="9" s="1"/>
  <c r="AK1214" i="9"/>
  <c r="Q2920" i="9"/>
  <c r="U2914" i="9"/>
  <c r="U2920" i="9" s="1"/>
  <c r="Q3058" i="9"/>
  <c r="U3051" i="9"/>
  <c r="U3058" i="9" s="1"/>
  <c r="Q2897" i="9"/>
  <c r="U2890" i="9"/>
  <c r="U2897" i="9" s="1"/>
  <c r="AO1237" i="9"/>
  <c r="AL1239" i="9" s="1"/>
  <c r="AL1244" i="9" s="1"/>
  <c r="AL1245" i="9" s="1"/>
  <c r="AL1246" i="9" s="1"/>
  <c r="AN1239" i="9" s="1"/>
  <c r="Q2734" i="9"/>
  <c r="U2728" i="9"/>
  <c r="U2734" i="9" s="1"/>
  <c r="U3234" i="9"/>
  <c r="Q3241" i="9"/>
  <c r="U3026" i="9"/>
  <c r="U3032" i="9" s="1"/>
  <c r="Q3032" i="9"/>
  <c r="Q2828" i="9"/>
  <c r="U2822" i="9"/>
  <c r="U2828" i="9" s="1"/>
  <c r="Q2759" i="9"/>
  <c r="U2751" i="9"/>
  <c r="U2759" i="9" s="1"/>
  <c r="AA1454" i="9"/>
  <c r="Q1448" i="9" s="1"/>
  <c r="U1448" i="9" s="1"/>
  <c r="Q2274" i="9"/>
  <c r="AE1260" i="9"/>
  <c r="AB1262" i="9" s="1"/>
  <c r="AB1267" i="9" s="1"/>
  <c r="AB1268" i="9" s="1"/>
  <c r="AB1269" i="9" s="1"/>
  <c r="AD1262" i="9" s="1"/>
  <c r="AE692" i="9"/>
  <c r="AB694" i="9" s="1"/>
  <c r="AB699" i="9" s="1"/>
  <c r="AB700" i="9" s="1"/>
  <c r="AB701" i="9" s="1"/>
  <c r="AD694" i="9" s="1"/>
  <c r="AE540" i="9"/>
  <c r="AB542" i="9" s="1"/>
  <c r="AB547" i="9" s="1"/>
  <c r="AB548" i="9" s="1"/>
  <c r="AB549" i="9" s="1"/>
  <c r="AD542" i="9" s="1"/>
  <c r="AE469" i="9"/>
  <c r="AB471" i="9" s="1"/>
  <c r="AB476" i="9" s="1"/>
  <c r="AB477" i="9" s="1"/>
  <c r="AB478" i="9" s="1"/>
  <c r="AD471" i="9" s="1"/>
  <c r="AE449" i="9"/>
  <c r="AB451" i="9" s="1"/>
  <c r="AB456" i="9" s="1"/>
  <c r="AB457" i="9" s="1"/>
  <c r="AB458" i="9" s="1"/>
  <c r="AD451" i="9" s="1"/>
  <c r="AE214" i="9"/>
  <c r="U3236" i="9"/>
  <c r="BE2498" i="9"/>
  <c r="BI2492" i="9"/>
  <c r="BI2498" i="9" s="1"/>
  <c r="BF2500" i="9" s="1"/>
  <c r="BF2505" i="9" s="1"/>
  <c r="BF2506" i="9" s="1"/>
  <c r="BF2507" i="9" s="1"/>
  <c r="BH2500" i="9" s="1"/>
  <c r="AA2069" i="9"/>
  <c r="AE2062" i="9"/>
  <c r="AE2069" i="9" s="1"/>
  <c r="AB2071" i="9" s="1"/>
  <c r="AB2076" i="9" s="1"/>
  <c r="AB2077" i="9" s="1"/>
  <c r="AB2078" i="9" s="1"/>
  <c r="AD2071" i="9" s="1"/>
  <c r="AE973" i="9"/>
  <c r="AB975" i="9" s="1"/>
  <c r="AB980" i="9" s="1"/>
  <c r="AB981" i="9" s="1"/>
  <c r="AB982" i="9" s="1"/>
  <c r="AD975" i="9" s="1"/>
  <c r="AE1094" i="9"/>
  <c r="AB1096" i="9" s="1"/>
  <c r="AB1101" i="9" s="1"/>
  <c r="AB1102" i="9" s="1"/>
  <c r="AB1103" i="9" s="1"/>
  <c r="AD1096" i="9" s="1"/>
  <c r="AA1644" i="9"/>
  <c r="AE1637" i="9"/>
  <c r="AE1644" i="9" s="1"/>
  <c r="AB1646" i="9" s="1"/>
  <c r="AB1651" i="9" s="1"/>
  <c r="AB1652" i="9" s="1"/>
  <c r="AB1653" i="9" s="1"/>
  <c r="AD1646" i="9" s="1"/>
  <c r="AE1066" i="9"/>
  <c r="AB1068" i="9" s="1"/>
  <c r="AB1073" i="9" s="1"/>
  <c r="AB1074" i="9" s="1"/>
  <c r="AB1075" i="9" s="1"/>
  <c r="AD1068" i="9" s="1"/>
  <c r="AA973" i="9"/>
  <c r="U2204" i="9"/>
  <c r="AA1621" i="9"/>
  <c r="AE1620" i="9"/>
  <c r="AE1621" i="9" s="1"/>
  <c r="AB1623" i="9" s="1"/>
  <c r="AB1628" i="9" s="1"/>
  <c r="AB1629" i="9" s="1"/>
  <c r="AB1630" i="9" s="1"/>
  <c r="AD1623" i="9" s="1"/>
  <c r="AE70" i="9"/>
  <c r="AB72" i="9" s="1"/>
  <c r="AB77" i="9" s="1"/>
  <c r="AE927" i="9"/>
  <c r="AB929" i="9" s="1"/>
  <c r="AB934" i="9" s="1"/>
  <c r="AB935" i="9" s="1"/>
  <c r="AB936" i="9" s="1"/>
  <c r="AD929" i="9" s="1"/>
  <c r="AA1951" i="9"/>
  <c r="AE1945" i="9"/>
  <c r="AE1951" i="9" s="1"/>
  <c r="AK2496" i="9"/>
  <c r="AO2491" i="9"/>
  <c r="AO2496" i="9" s="1"/>
  <c r="AL2498" i="9" s="1"/>
  <c r="AL2503" i="9" s="1"/>
  <c r="Q2343" i="9"/>
  <c r="U2316" i="9"/>
  <c r="AE641" i="9"/>
  <c r="AB643" i="9" s="1"/>
  <c r="AB648" i="9" s="1"/>
  <c r="AB649" i="9" s="1"/>
  <c r="AB650" i="9" s="1"/>
  <c r="AD643" i="9" s="1"/>
  <c r="AA1502" i="9"/>
  <c r="AE1495" i="9"/>
  <c r="AE1502" i="9" s="1"/>
  <c r="AB1504" i="9" s="1"/>
  <c r="AB1509" i="9" s="1"/>
  <c r="AB1510" i="9" s="1"/>
  <c r="AB1511" i="9" s="1"/>
  <c r="AD1504" i="9" s="1"/>
  <c r="AK2565" i="9"/>
  <c r="U2435" i="9"/>
  <c r="AA1672" i="9"/>
  <c r="AE1668" i="9"/>
  <c r="AE1672" i="9" s="1"/>
  <c r="AB1674" i="9" s="1"/>
  <c r="AB1679" i="9" s="1"/>
  <c r="AB1680" i="9" s="1"/>
  <c r="AB1681" i="9" s="1"/>
  <c r="AD1674" i="9" s="1"/>
  <c r="AA1525" i="9"/>
  <c r="AE1518" i="9"/>
  <c r="AE1525" i="9" s="1"/>
  <c r="AB1527" i="9" s="1"/>
  <c r="AB1532" i="9" s="1"/>
  <c r="AB1533" i="9" s="1"/>
  <c r="AB1534" i="9" s="1"/>
  <c r="AD1527" i="9" s="1"/>
  <c r="AA1429" i="9"/>
  <c r="AE1423" i="9"/>
  <c r="AE1429" i="9" s="1"/>
  <c r="AB1431" i="9" s="1"/>
  <c r="AB1436" i="9" s="1"/>
  <c r="AB1437" i="9" s="1"/>
  <c r="AB1438" i="9" s="1"/>
  <c r="AD1431" i="9" s="1"/>
  <c r="AE943" i="9"/>
  <c r="AE948" i="9" s="1"/>
  <c r="AB950" i="9" s="1"/>
  <c r="AB955" i="9" s="1"/>
  <c r="AB956" i="9" s="1"/>
  <c r="AB957" i="9" s="1"/>
  <c r="AD950" i="9" s="1"/>
  <c r="AA948" i="9"/>
  <c r="AA1598" i="9"/>
  <c r="AE1591" i="9"/>
  <c r="AE1598" i="9" s="1"/>
  <c r="Q2207" i="9"/>
  <c r="Q2237" i="9"/>
  <c r="U2237" i="9" s="1"/>
  <c r="AE1331" i="9"/>
  <c r="AB1333" i="9" s="1"/>
  <c r="AB1338" i="9" s="1"/>
  <c r="AB1339" i="9" s="1"/>
  <c r="AB1340" i="9" s="1"/>
  <c r="AD1333" i="9" s="1"/>
  <c r="AA1380" i="9"/>
  <c r="AE1374" i="9"/>
  <c r="AE1380" i="9" s="1"/>
  <c r="AB1382" i="9" s="1"/>
  <c r="AB1387" i="9" s="1"/>
  <c r="AB1388" i="9" s="1"/>
  <c r="AB1389" i="9" s="1"/>
  <c r="AD1382" i="9" s="1"/>
  <c r="AE187" i="9"/>
  <c r="AE231" i="9"/>
  <c r="AE236" i="9" s="1"/>
  <c r="AA236" i="9"/>
  <c r="AE1283" i="9"/>
  <c r="AB1285" i="9" s="1"/>
  <c r="AB1290" i="9" s="1"/>
  <c r="AB1291" i="9" s="1"/>
  <c r="AB1292" i="9" s="1"/>
  <c r="AD1285" i="9" s="1"/>
  <c r="AE1207" i="9"/>
  <c r="AE1214" i="9" s="1"/>
  <c r="AB1216" i="9" s="1"/>
  <c r="AB1221" i="9" s="1"/>
  <c r="AB1222" i="9" s="1"/>
  <c r="AB1223" i="9" s="1"/>
  <c r="AD1216" i="9" s="1"/>
  <c r="AA1214" i="9"/>
  <c r="AE370" i="9"/>
  <c r="AE377" i="9" s="1"/>
  <c r="AA377" i="9"/>
  <c r="AA1237" i="9"/>
  <c r="AO1324" i="9"/>
  <c r="AO1333" i="9" s="1"/>
  <c r="AL1335" i="9" s="1"/>
  <c r="AL1340" i="9" s="1"/>
  <c r="AL1341" i="9" s="1"/>
  <c r="AL1342" i="9" s="1"/>
  <c r="AN1335" i="9" s="1"/>
  <c r="AK1333" i="9"/>
  <c r="AE1041" i="9"/>
  <c r="AE155" i="9"/>
  <c r="AE160" i="9" s="1"/>
  <c r="AA160" i="9"/>
  <c r="AE609" i="9"/>
  <c r="AE614" i="9" s="1"/>
  <c r="AB616" i="9" s="1"/>
  <c r="AB621" i="9" s="1"/>
  <c r="AB622" i="9" s="1"/>
  <c r="AB623" i="9" s="1"/>
  <c r="AD616" i="9" s="1"/>
  <c r="AA614" i="9"/>
  <c r="AA1308" i="9"/>
  <c r="AE1299" i="9"/>
  <c r="AE1308" i="9" s="1"/>
  <c r="AB1310" i="9" s="1"/>
  <c r="AB1315" i="9" s="1"/>
  <c r="AB1316" i="9" s="1"/>
  <c r="AB1317" i="9" s="1"/>
  <c r="AD1310" i="9" s="1"/>
  <c r="AA70" i="9"/>
  <c r="AA1331" i="9"/>
  <c r="AE1237" i="9"/>
  <c r="AB1239" i="9" s="1"/>
  <c r="AB1244" i="9" s="1"/>
  <c r="AB1245" i="9" s="1"/>
  <c r="AB1246" i="9" s="1"/>
  <c r="AD1239" i="9" s="1"/>
  <c r="U1109" i="9"/>
  <c r="U1117" i="9" s="1"/>
  <c r="Q1117" i="9"/>
  <c r="AE1021" i="9"/>
  <c r="AB1023" i="9" s="1"/>
  <c r="AB1028" i="9" s="1"/>
  <c r="AB1029" i="9" s="1"/>
  <c r="AB1030" i="9" s="1"/>
  <c r="AD1023" i="9" s="1"/>
  <c r="AA1260" i="9"/>
  <c r="AE324" i="9"/>
  <c r="AE329" i="9" s="1"/>
  <c r="AB331" i="9" s="1"/>
  <c r="AB336" i="9" s="1"/>
  <c r="AB337" i="9" s="1"/>
  <c r="AB338" i="9" s="1"/>
  <c r="AD331" i="9" s="1"/>
  <c r="AA329" i="9"/>
  <c r="AA1043" i="9"/>
  <c r="AA902" i="9"/>
  <c r="AE897" i="9"/>
  <c r="AE902" i="9" s="1"/>
  <c r="AB904" i="9" s="1"/>
  <c r="AB909" i="9" s="1"/>
  <c r="AB910" i="9" s="1"/>
  <c r="AB911" i="9" s="1"/>
  <c r="AD904" i="9" s="1"/>
  <c r="AA996" i="9"/>
  <c r="AE989" i="9"/>
  <c r="AE996" i="9" s="1"/>
  <c r="AB998" i="9" s="1"/>
  <c r="AB1003" i="9" s="1"/>
  <c r="AB1004" i="9" s="1"/>
  <c r="AB1005" i="9" s="1"/>
  <c r="AD998" i="9" s="1"/>
  <c r="AE858" i="9"/>
  <c r="AB860" i="9" s="1"/>
  <c r="AB865" i="9" s="1"/>
  <c r="AB866" i="9" s="1"/>
  <c r="AB867" i="9" s="1"/>
  <c r="AD860" i="9" s="1"/>
  <c r="AE829" i="9"/>
  <c r="AE833" i="9" s="1"/>
  <c r="AB835" i="9" s="1"/>
  <c r="AB840" i="9" s="1"/>
  <c r="AB841" i="9" s="1"/>
  <c r="AB842" i="9" s="1"/>
  <c r="AD835" i="9" s="1"/>
  <c r="AA833" i="9"/>
  <c r="AE301" i="9"/>
  <c r="AE308" i="9" s="1"/>
  <c r="AB310" i="9" s="1"/>
  <c r="AB315" i="9" s="1"/>
  <c r="AB316" i="9" s="1"/>
  <c r="AB317" i="9" s="1"/>
  <c r="AD310" i="9" s="1"/>
  <c r="AA308" i="9"/>
  <c r="AA692" i="9"/>
  <c r="AO1214" i="9"/>
  <c r="AL1216" i="9" s="1"/>
  <c r="AL1221" i="9" s="1"/>
  <c r="AL1222" i="9" s="1"/>
  <c r="AL1223" i="9" s="1"/>
  <c r="AN1216" i="9" s="1"/>
  <c r="U3241" i="9" l="1"/>
  <c r="V26" i="12"/>
  <c r="W26" i="12" s="1"/>
  <c r="X26" i="12" s="1"/>
  <c r="Y26" i="12" s="1"/>
  <c r="Z26" i="12" s="1"/>
  <c r="AM2316" i="9"/>
  <c r="AQ2316" i="9"/>
  <c r="AK2316" i="9"/>
  <c r="AS203" i="12" s="1"/>
  <c r="AT203" i="12" s="1"/>
  <c r="AU203" i="12" s="1"/>
  <c r="AV203" i="12" s="1"/>
  <c r="AW203" i="12" s="1"/>
  <c r="AO2316" i="9"/>
  <c r="AS207" i="12" s="1"/>
  <c r="AT207" i="12" s="1"/>
  <c r="AU207" i="12" s="1"/>
  <c r="AV207" i="12" s="1"/>
  <c r="AW207" i="12" s="1"/>
  <c r="AN2316" i="9"/>
  <c r="AS206" i="12" s="1"/>
  <c r="AT206" i="12" s="1"/>
  <c r="AU206" i="12" s="1"/>
  <c r="AV206" i="12" s="1"/>
  <c r="AW206" i="12" s="1"/>
  <c r="AJ2316" i="9"/>
  <c r="AS202" i="12" s="1"/>
  <c r="AT202" i="12" s="1"/>
  <c r="AU202" i="12" s="1"/>
  <c r="AV202" i="12" s="1"/>
  <c r="AW202" i="12" s="1"/>
  <c r="AP2316" i="9"/>
  <c r="AL2316" i="9"/>
  <c r="AS204" i="12" s="1"/>
  <c r="AT204" i="12" s="1"/>
  <c r="AU204" i="12" s="1"/>
  <c r="AV204" i="12" s="1"/>
  <c r="AW204" i="12" s="1"/>
  <c r="AB1953" i="9"/>
  <c r="AB1958" i="9" s="1"/>
  <c r="AB1959" i="9" s="1"/>
  <c r="AB1960" i="9" s="1"/>
  <c r="AD1953" i="9" s="1"/>
  <c r="R2899" i="9"/>
  <c r="R2904" i="9" s="1"/>
  <c r="R2905" i="9" s="1"/>
  <c r="R2906" i="9" s="1"/>
  <c r="T2899" i="9" s="1"/>
  <c r="X99" i="15" s="1"/>
  <c r="AB260" i="9"/>
  <c r="AB265" i="9" s="1"/>
  <c r="AB266" i="9" s="1"/>
  <c r="AB267" i="9" s="1"/>
  <c r="AD260" i="9" s="1"/>
  <c r="E140" i="12"/>
  <c r="F140" i="12" s="1"/>
  <c r="G140" i="12" s="1"/>
  <c r="H140" i="12" s="1"/>
  <c r="I140" i="12" s="1"/>
  <c r="AL2504" i="9"/>
  <c r="AL2505" i="9" s="1"/>
  <c r="AN2498" i="9" s="1"/>
  <c r="R3105" i="9"/>
  <c r="R3110" i="9" s="1"/>
  <c r="R3111" i="9" s="1"/>
  <c r="R3112" i="9" s="1"/>
  <c r="T3105" i="9" s="1"/>
  <c r="Y77" i="15" s="1"/>
  <c r="E183" i="12"/>
  <c r="F183" i="12" s="1"/>
  <c r="G183" i="12" s="1"/>
  <c r="H183" i="12" s="1"/>
  <c r="I183" i="12" s="1"/>
  <c r="AB189" i="9"/>
  <c r="AB194" i="9" s="1"/>
  <c r="AB195" i="9" s="1"/>
  <c r="AB196" i="9" s="1"/>
  <c r="AD189" i="9" s="1"/>
  <c r="AS2204" i="9"/>
  <c r="E259" i="12" s="1"/>
  <c r="F259" i="12" s="1"/>
  <c r="G259" i="12" s="1"/>
  <c r="H259" i="12" s="1"/>
  <c r="I259" i="12" s="1"/>
  <c r="AT2204" i="9"/>
  <c r="E260" i="12" s="1"/>
  <c r="F260" i="12" s="1"/>
  <c r="G260" i="12" s="1"/>
  <c r="H260" i="12" s="1"/>
  <c r="I260" i="12" s="1"/>
  <c r="AB118" i="9"/>
  <c r="AB123" i="9" s="1"/>
  <c r="AB124" i="9" s="1"/>
  <c r="AB125" i="9" s="1"/>
  <c r="AD118" i="9" s="1"/>
  <c r="AB520" i="9"/>
  <c r="AB525" i="9" s="1"/>
  <c r="AB526" i="9" s="1"/>
  <c r="AB527" i="9" s="1"/>
  <c r="AD520" i="9" s="1"/>
  <c r="E184" i="12"/>
  <c r="F184" i="12" s="1"/>
  <c r="G184" i="12" s="1"/>
  <c r="H184" i="12" s="1"/>
  <c r="I184" i="12" s="1"/>
  <c r="AB1600" i="9"/>
  <c r="AB1605" i="9" s="1"/>
  <c r="AB1606" i="9" s="1"/>
  <c r="AB1607" i="9" s="1"/>
  <c r="AD1600" i="9" s="1"/>
  <c r="R2736" i="9"/>
  <c r="R2741" i="9" s="1"/>
  <c r="R2742" i="9" s="1"/>
  <c r="R2743" i="9" s="1"/>
  <c r="T2736" i="9" s="1"/>
  <c r="X85" i="15" s="1"/>
  <c r="AB141" i="9"/>
  <c r="AB146" i="9" s="1"/>
  <c r="AB147" i="9" s="1"/>
  <c r="AB148" i="9" s="1"/>
  <c r="AD141" i="9" s="1"/>
  <c r="AB379" i="9"/>
  <c r="AB384" i="9" s="1"/>
  <c r="AB385" i="9" s="1"/>
  <c r="AB386" i="9" s="1"/>
  <c r="AD379" i="9" s="1"/>
  <c r="AB238" i="9"/>
  <c r="AB243" i="9" s="1"/>
  <c r="AB244" i="9" s="1"/>
  <c r="AB245" i="9" s="1"/>
  <c r="AD238" i="9" s="1"/>
  <c r="AB162" i="9"/>
  <c r="AB167" i="9" s="1"/>
  <c r="AB168" i="9" s="1"/>
  <c r="AB169" i="9" s="1"/>
  <c r="AD162" i="9" s="1"/>
  <c r="AB216" i="9"/>
  <c r="AB221" i="9" s="1"/>
  <c r="AB222" i="9" s="1"/>
  <c r="AB223" i="9" s="1"/>
  <c r="AD216" i="9" s="1"/>
  <c r="R90" i="12"/>
  <c r="W14" i="17"/>
  <c r="M119" i="4"/>
  <c r="E7" i="17"/>
  <c r="E16" i="17"/>
  <c r="R3174" i="9"/>
  <c r="R3179" i="9" s="1"/>
  <c r="R3180" i="9" s="1"/>
  <c r="R3181" i="9" s="1"/>
  <c r="T3174" i="9" s="1"/>
  <c r="Y80" i="15" s="1"/>
  <c r="E187" i="12"/>
  <c r="F187" i="12" s="1"/>
  <c r="G187" i="12" s="1"/>
  <c r="H187" i="12" s="1"/>
  <c r="I187" i="12" s="1"/>
  <c r="R2942" i="9"/>
  <c r="R2947" i="9" s="1"/>
  <c r="R2948" i="9" s="1"/>
  <c r="R2949" i="9" s="1"/>
  <c r="T2942" i="9" s="1"/>
  <c r="X103" i="15" s="1"/>
  <c r="E141" i="12"/>
  <c r="F141" i="12" s="1"/>
  <c r="G141" i="12" s="1"/>
  <c r="H141" i="12" s="1"/>
  <c r="I141" i="12" s="1"/>
  <c r="E139" i="12"/>
  <c r="F139" i="12" s="1"/>
  <c r="G139" i="12" s="1"/>
  <c r="H139" i="12" s="1"/>
  <c r="I139" i="12" s="1"/>
  <c r="R2805" i="9"/>
  <c r="R2810" i="9" s="1"/>
  <c r="R2811" i="9" s="1"/>
  <c r="R2812" i="9" s="1"/>
  <c r="T2805" i="9" s="1"/>
  <c r="X91" i="15" s="1"/>
  <c r="R3060" i="9"/>
  <c r="R3065" i="9" s="1"/>
  <c r="R3066" i="9" s="1"/>
  <c r="R3067" i="9" s="1"/>
  <c r="T3060" i="9" s="1"/>
  <c r="X113" i="15" s="1"/>
  <c r="R3011" i="9"/>
  <c r="R3016" i="9" s="1"/>
  <c r="R3017" i="9" s="1"/>
  <c r="R3018" i="9" s="1"/>
  <c r="T3011" i="9" s="1"/>
  <c r="X109" i="15" s="1"/>
  <c r="E147" i="12"/>
  <c r="F147" i="12" s="1"/>
  <c r="G147" i="12" s="1"/>
  <c r="H147" i="12" s="1"/>
  <c r="I147" i="12" s="1"/>
  <c r="E144" i="12"/>
  <c r="F144" i="12" s="1"/>
  <c r="G144" i="12" s="1"/>
  <c r="H144" i="12" s="1"/>
  <c r="I144" i="12" s="1"/>
  <c r="R2761" i="9"/>
  <c r="R2766" i="9" s="1"/>
  <c r="R2767" i="9" s="1"/>
  <c r="R2768" i="9" s="1"/>
  <c r="T2761" i="9" s="1"/>
  <c r="X87" i="15" s="1"/>
  <c r="E138" i="12"/>
  <c r="E191" i="12"/>
  <c r="F191" i="12" s="1"/>
  <c r="G191" i="12" s="1"/>
  <c r="H191" i="12" s="1"/>
  <c r="I191" i="12" s="1"/>
  <c r="T3314" i="9"/>
  <c r="Y86" i="15" s="1"/>
  <c r="E190" i="12"/>
  <c r="F190" i="12" s="1"/>
  <c r="G190" i="12" s="1"/>
  <c r="H190" i="12" s="1"/>
  <c r="I190" i="12" s="1"/>
  <c r="T3291" i="9"/>
  <c r="Y85" i="15" s="1"/>
  <c r="E148" i="12"/>
  <c r="F148" i="12" s="1"/>
  <c r="G148" i="12" s="1"/>
  <c r="H148" i="12" s="1"/>
  <c r="I148" i="12" s="1"/>
  <c r="T2876" i="9"/>
  <c r="X97" i="15" s="1"/>
  <c r="E153" i="12"/>
  <c r="F153" i="12" s="1"/>
  <c r="G153" i="12" s="1"/>
  <c r="H153" i="12" s="1"/>
  <c r="I153" i="12" s="1"/>
  <c r="T2990" i="9"/>
  <c r="X107" i="15" s="1"/>
  <c r="R3034" i="9"/>
  <c r="R3039" i="9" s="1"/>
  <c r="R3040" i="9" s="1"/>
  <c r="R3041" i="9" s="1"/>
  <c r="R2922" i="9"/>
  <c r="R2927" i="9" s="1"/>
  <c r="R2928" i="9" s="1"/>
  <c r="R2929" i="9" s="1"/>
  <c r="R2967" i="9"/>
  <c r="R2972" i="9" s="1"/>
  <c r="R2973" i="9" s="1"/>
  <c r="R2974" i="9" s="1"/>
  <c r="R3197" i="9"/>
  <c r="R3202" i="9" s="1"/>
  <c r="R3203" i="9" s="1"/>
  <c r="R3204" i="9" s="1"/>
  <c r="R3268" i="9"/>
  <c r="R3273" i="9" s="1"/>
  <c r="R2830" i="9"/>
  <c r="R2835" i="9" s="1"/>
  <c r="R2836" i="9" s="1"/>
  <c r="R2837" i="9" s="1"/>
  <c r="N2492" i="9"/>
  <c r="Q2492" i="9" s="1"/>
  <c r="U2492" i="9" s="1"/>
  <c r="N1498" i="9"/>
  <c r="Q1498" i="9" s="1"/>
  <c r="U1498" i="9" s="1"/>
  <c r="N1671" i="9"/>
  <c r="Q1671" i="9" s="1"/>
  <c r="U1671" i="9" s="1"/>
  <c r="N1616" i="9"/>
  <c r="Q1616" i="9" s="1"/>
  <c r="U1616" i="9" s="1"/>
  <c r="N1647" i="9"/>
  <c r="Q1647" i="9" s="1"/>
  <c r="U1647" i="9" s="1"/>
  <c r="N2068" i="9"/>
  <c r="Q2068" i="9" s="1"/>
  <c r="U2068" i="9" s="1"/>
  <c r="N1521" i="9"/>
  <c r="N1425" i="9"/>
  <c r="Q1425" i="9" s="1"/>
  <c r="U1425" i="9" s="1"/>
  <c r="N1302" i="9"/>
  <c r="Q1302" i="9" s="1"/>
  <c r="U1302" i="9" s="1"/>
  <c r="N1330" i="9"/>
  <c r="Q1330" i="9" s="1"/>
  <c r="U1330" i="9" s="1"/>
  <c r="N1375" i="9"/>
  <c r="Q1375" i="9" s="1"/>
  <c r="U1375" i="9" s="1"/>
  <c r="N1086" i="9"/>
  <c r="Q1086" i="9" s="1"/>
  <c r="U1086" i="9" s="1"/>
  <c r="N1256" i="9"/>
  <c r="Q1256" i="9" s="1"/>
  <c r="U1256" i="9" s="1"/>
  <c r="N1233" i="9"/>
  <c r="Q1233" i="9" s="1"/>
  <c r="U1233" i="9" s="1"/>
  <c r="N1186" i="9"/>
  <c r="Q1186" i="9" s="1"/>
  <c r="U1186" i="9" s="1"/>
  <c r="N1279" i="9"/>
  <c r="Q1279" i="9" s="1"/>
  <c r="U1279" i="9" s="1"/>
  <c r="R1119" i="9"/>
  <c r="R1124" i="9" s="1"/>
  <c r="R1125" i="9" s="1"/>
  <c r="R1126" i="9" s="1"/>
  <c r="N1212" i="9"/>
  <c r="Q1212" i="9" s="1"/>
  <c r="U1212" i="9" s="1"/>
  <c r="N1232" i="9"/>
  <c r="Q1232" i="9" s="1"/>
  <c r="U1232" i="9" s="1"/>
  <c r="N1211" i="9"/>
  <c r="Q1211" i="9" s="1"/>
  <c r="U1211" i="9" s="1"/>
  <c r="N1015" i="9"/>
  <c r="Q1015" i="9" s="1"/>
  <c r="U1015" i="9" s="1"/>
  <c r="N18" i="12"/>
  <c r="O18" i="12" s="1"/>
  <c r="P18" i="12" s="1"/>
  <c r="Q18" i="12" s="1"/>
  <c r="R18" i="12" s="1"/>
  <c r="V18" i="12"/>
  <c r="W18" i="12" s="1"/>
  <c r="X18" i="12" s="1"/>
  <c r="Y18" i="12" s="1"/>
  <c r="Z18" i="12" s="1"/>
  <c r="N829" i="9"/>
  <c r="Q829" i="9" s="1"/>
  <c r="U829" i="9" s="1"/>
  <c r="N852" i="9"/>
  <c r="Q852" i="9" s="1"/>
  <c r="U852" i="9" s="1"/>
  <c r="N683" i="9"/>
  <c r="Q683" i="9" s="1"/>
  <c r="U683" i="9" s="1"/>
  <c r="N992" i="9"/>
  <c r="Q992" i="9" s="1"/>
  <c r="U992" i="9" s="1"/>
  <c r="N945" i="9"/>
  <c r="Q945" i="9" s="1"/>
  <c r="U945" i="9" s="1"/>
  <c r="N969" i="9"/>
  <c r="Q969" i="9" s="1"/>
  <c r="U969" i="9" s="1"/>
  <c r="N708" i="9"/>
  <c r="Q708" i="9" s="1"/>
  <c r="U708" i="9" s="1"/>
  <c r="N901" i="9"/>
  <c r="Q901" i="9" s="1"/>
  <c r="U901" i="9" s="1"/>
  <c r="N924" i="9"/>
  <c r="Q924" i="9" s="1"/>
  <c r="U924" i="9" s="1"/>
  <c r="N304" i="9"/>
  <c r="Q304" i="9" s="1"/>
  <c r="U304" i="9" s="1"/>
  <c r="N16" i="12"/>
  <c r="O16" i="12" s="1"/>
  <c r="P16" i="12" s="1"/>
  <c r="Q16" i="12" s="1"/>
  <c r="R16" i="12" s="1"/>
  <c r="V16" i="12"/>
  <c r="W16" i="12" s="1"/>
  <c r="X16" i="12" s="1"/>
  <c r="Y16" i="12" s="1"/>
  <c r="Z16" i="12" s="1"/>
  <c r="N14" i="12"/>
  <c r="O14" i="12" s="1"/>
  <c r="P14" i="12" s="1"/>
  <c r="Q14" i="12" s="1"/>
  <c r="R14" i="12" s="1"/>
  <c r="V14" i="12"/>
  <c r="W14" i="12" s="1"/>
  <c r="X14" i="12" s="1"/>
  <c r="Y14" i="12" s="1"/>
  <c r="Z14" i="12" s="1"/>
  <c r="N327" i="9"/>
  <c r="Q327" i="9" s="1"/>
  <c r="U327" i="9" s="1"/>
  <c r="N278" i="9"/>
  <c r="Q278" i="9" s="1"/>
  <c r="U278" i="9" s="1"/>
  <c r="N444" i="9"/>
  <c r="Q444" i="9" s="1"/>
  <c r="U444" i="9" s="1"/>
  <c r="N611" i="9"/>
  <c r="Q611" i="9" s="1"/>
  <c r="U611" i="9" s="1"/>
  <c r="N17" i="12"/>
  <c r="O17" i="12" s="1"/>
  <c r="P17" i="12" s="1"/>
  <c r="Q17" i="12" s="1"/>
  <c r="R17" i="12" s="1"/>
  <c r="V17" i="12"/>
  <c r="W17" i="12" s="1"/>
  <c r="X17" i="12" s="1"/>
  <c r="Y17" i="12" s="1"/>
  <c r="Z17" i="12" s="1"/>
  <c r="V5" i="12"/>
  <c r="W5" i="12" s="1"/>
  <c r="X5" i="12" s="1"/>
  <c r="Y5" i="12" s="1"/>
  <c r="Z5" i="12" s="1"/>
  <c r="AB78" i="9"/>
  <c r="AB79" i="9" s="1"/>
  <c r="N66" i="9"/>
  <c r="Q66" i="9" s="1"/>
  <c r="U66" i="9" s="1"/>
  <c r="N4" i="12"/>
  <c r="O4" i="12" s="1"/>
  <c r="P4" i="12" s="1"/>
  <c r="Q4" i="12" s="1"/>
  <c r="R4" i="12" s="1"/>
  <c r="N1594" i="9"/>
  <c r="Q1594" i="9" s="1"/>
  <c r="U1594" i="9" s="1"/>
  <c r="N22" i="12"/>
  <c r="O22" i="12" s="1"/>
  <c r="P22" i="12" s="1"/>
  <c r="Q22" i="12" s="1"/>
  <c r="R22" i="12" s="1"/>
  <c r="N230" i="9"/>
  <c r="Q230" i="9" s="1"/>
  <c r="U230" i="9" s="1"/>
  <c r="N11" i="12"/>
  <c r="O11" i="12" s="1"/>
  <c r="P11" i="12" s="1"/>
  <c r="Q11" i="12" s="1"/>
  <c r="R11" i="12" s="1"/>
  <c r="N181" i="9"/>
  <c r="Q181" i="9" s="1"/>
  <c r="U181" i="9" s="1"/>
  <c r="N9" i="12"/>
  <c r="O9" i="12" s="1"/>
  <c r="P9" i="12" s="1"/>
  <c r="Q9" i="12" s="1"/>
  <c r="R9" i="12" s="1"/>
  <c r="N136" i="9"/>
  <c r="Q136" i="9" s="1"/>
  <c r="U136" i="9" s="1"/>
  <c r="N7" i="12"/>
  <c r="O7" i="12" s="1"/>
  <c r="P7" i="12" s="1"/>
  <c r="Q7" i="12" s="1"/>
  <c r="R7" i="12" s="1"/>
  <c r="N88" i="9"/>
  <c r="Q88" i="9" s="1"/>
  <c r="U88" i="9" s="1"/>
  <c r="N5" i="12"/>
  <c r="O5" i="12" s="1"/>
  <c r="P5" i="12" s="1"/>
  <c r="Q5" i="12" s="1"/>
  <c r="R5" i="12" s="1"/>
  <c r="N1949" i="9"/>
  <c r="Q1949" i="9" s="1"/>
  <c r="U1949" i="9" s="1"/>
  <c r="N25" i="12"/>
  <c r="O25" i="12" s="1"/>
  <c r="P25" i="12" s="1"/>
  <c r="Q25" i="12" s="1"/>
  <c r="R25" i="12" s="1"/>
  <c r="AU49" i="9"/>
  <c r="AU54" i="9" s="1"/>
  <c r="AU56" i="9" s="1"/>
  <c r="AX49" i="9"/>
  <c r="AX54" i="9" s="1"/>
  <c r="AK49" i="9"/>
  <c r="AK54" i="9" s="1"/>
  <c r="AK56" i="9" s="1"/>
  <c r="AN49" i="9"/>
  <c r="AN54" i="9" s="1"/>
  <c r="N376" i="9"/>
  <c r="Q376" i="9" s="1"/>
  <c r="U376" i="9" s="1"/>
  <c r="N13" i="12"/>
  <c r="O13" i="12" s="1"/>
  <c r="P13" i="12" s="1"/>
  <c r="Q13" i="12" s="1"/>
  <c r="R13" i="12" s="1"/>
  <c r="N112" i="9"/>
  <c r="Q112" i="9" s="1"/>
  <c r="U112" i="9" s="1"/>
  <c r="N6" i="12"/>
  <c r="O6" i="12" s="1"/>
  <c r="P6" i="12" s="1"/>
  <c r="Q6" i="12" s="1"/>
  <c r="R6" i="12" s="1"/>
  <c r="AD49" i="9"/>
  <c r="AD54" i="9" s="1"/>
  <c r="AD55" i="9" s="1"/>
  <c r="AD56" i="9" s="1"/>
  <c r="AA49" i="9"/>
  <c r="AA54" i="9" s="1"/>
  <c r="AA56" i="9" s="1"/>
  <c r="U49" i="9"/>
  <c r="U54" i="9" s="1"/>
  <c r="R49" i="9"/>
  <c r="R54" i="9" s="1"/>
  <c r="R56" i="9" s="1"/>
  <c r="N257" i="9"/>
  <c r="Q257" i="9" s="1"/>
  <c r="U257" i="9" s="1"/>
  <c r="N12" i="12"/>
  <c r="O12" i="12" s="1"/>
  <c r="P12" i="12" s="1"/>
  <c r="Q12" i="12" s="1"/>
  <c r="R12" i="12" s="1"/>
  <c r="F49" i="9"/>
  <c r="I49" i="9"/>
  <c r="I54" i="9" s="1"/>
  <c r="N156" i="9"/>
  <c r="Q156" i="9" s="1"/>
  <c r="U156" i="9" s="1"/>
  <c r="N8" i="12"/>
  <c r="O8" i="12" s="1"/>
  <c r="P8" i="12" s="1"/>
  <c r="Q8" i="12" s="1"/>
  <c r="R8" i="12" s="1"/>
  <c r="N203" i="9"/>
  <c r="Q203" i="9" s="1"/>
  <c r="U203" i="9" s="1"/>
  <c r="N10" i="12"/>
  <c r="O10" i="12" s="1"/>
  <c r="P10" i="12" s="1"/>
  <c r="Q10" i="12" s="1"/>
  <c r="R10" i="12" s="1"/>
  <c r="BI49" i="9"/>
  <c r="BI54" i="9" s="1"/>
  <c r="BF49" i="9"/>
  <c r="BF54" i="9" s="1"/>
  <c r="BF56" i="9" s="1"/>
  <c r="N512" i="9"/>
  <c r="Q512" i="9" s="1"/>
  <c r="U512" i="9" s="1"/>
  <c r="N15" i="12"/>
  <c r="O15" i="12" s="1"/>
  <c r="P15" i="12" s="1"/>
  <c r="Q15" i="12" s="1"/>
  <c r="R15" i="12" s="1"/>
  <c r="AS205" i="12"/>
  <c r="AT205" i="12" s="1"/>
  <c r="AU205" i="12" s="1"/>
  <c r="AV205" i="12" s="1"/>
  <c r="AW205" i="12" s="1"/>
  <c r="AS209" i="12"/>
  <c r="AT209" i="12" s="1"/>
  <c r="AU209" i="12" s="1"/>
  <c r="AV209" i="12" s="1"/>
  <c r="AW209" i="12" s="1"/>
  <c r="AS208" i="12"/>
  <c r="AT208" i="12" s="1"/>
  <c r="AU208" i="12" s="1"/>
  <c r="AV208" i="12" s="1"/>
  <c r="AW208" i="12" s="1"/>
  <c r="AE2729" i="9"/>
  <c r="AE2734" i="9" s="1"/>
  <c r="AA2734" i="9"/>
  <c r="AA2583" i="9"/>
  <c r="AE2492" i="9"/>
  <c r="AE2561" i="9"/>
  <c r="U2207" i="9"/>
  <c r="U2240" i="9"/>
  <c r="U2343" i="9"/>
  <c r="AK24" i="15"/>
  <c r="AK25" i="15" s="1"/>
  <c r="N1063" i="9"/>
  <c r="Q1063" i="9" s="1"/>
  <c r="U1063" i="9" s="1"/>
  <c r="N467" i="9"/>
  <c r="Q467" i="9" s="1"/>
  <c r="U467" i="9" s="1"/>
  <c r="N638" i="9"/>
  <c r="Q638" i="9" s="1"/>
  <c r="U638" i="9" s="1"/>
  <c r="N537" i="9"/>
  <c r="N1329" i="9"/>
  <c r="Q1329" i="9" s="1"/>
  <c r="U1329" i="9" s="1"/>
  <c r="Q1521" i="9"/>
  <c r="U1521" i="9" s="1"/>
  <c r="Q2240" i="9"/>
  <c r="Q2307" i="9"/>
  <c r="N2309" i="9"/>
  <c r="AE1043" i="9"/>
  <c r="AE1044" i="9" s="1"/>
  <c r="AA1044" i="9"/>
  <c r="V6" i="12" l="1"/>
  <c r="W6" i="12" s="1"/>
  <c r="X6" i="12" s="1"/>
  <c r="Y6" i="12" s="1"/>
  <c r="Z6" i="12" s="1"/>
  <c r="E142" i="12"/>
  <c r="F142" i="12" s="1"/>
  <c r="G142" i="12" s="1"/>
  <c r="H142" i="12" s="1"/>
  <c r="I142" i="12" s="1"/>
  <c r="V9" i="12"/>
  <c r="W9" i="12" s="1"/>
  <c r="X9" i="12" s="1"/>
  <c r="Y9" i="12" s="1"/>
  <c r="Z9" i="12" s="1"/>
  <c r="V25" i="12"/>
  <c r="W25" i="12" s="1"/>
  <c r="X25" i="12" s="1"/>
  <c r="Y25" i="12" s="1"/>
  <c r="Z25" i="12" s="1"/>
  <c r="V12" i="12"/>
  <c r="W12" i="12" s="1"/>
  <c r="X12" i="12" s="1"/>
  <c r="Y12" i="12" s="1"/>
  <c r="Z12" i="12" s="1"/>
  <c r="V8" i="12"/>
  <c r="W8" i="12" s="1"/>
  <c r="X8" i="12" s="1"/>
  <c r="Y8" i="12" s="1"/>
  <c r="Z8" i="12" s="1"/>
  <c r="V11" i="12"/>
  <c r="W11" i="12" s="1"/>
  <c r="X11" i="12" s="1"/>
  <c r="Y11" i="12" s="1"/>
  <c r="Z11" i="12" s="1"/>
  <c r="V22" i="12"/>
  <c r="W22" i="12" s="1"/>
  <c r="X22" i="12" s="1"/>
  <c r="Y22" i="12" s="1"/>
  <c r="Z22" i="12" s="1"/>
  <c r="AB2736" i="9"/>
  <c r="AB2741" i="9" s="1"/>
  <c r="AB2742" i="9" s="1"/>
  <c r="AB2743" i="9" s="1"/>
  <c r="AD2736" i="9" s="1"/>
  <c r="X86" i="15" s="1"/>
  <c r="AB1046" i="9"/>
  <c r="AB1051" i="9" s="1"/>
  <c r="AB1052" i="9" s="1"/>
  <c r="AB1053" i="9" s="1"/>
  <c r="AD1046" i="9" s="1"/>
  <c r="F54" i="9"/>
  <c r="F56" i="9" s="1"/>
  <c r="E5" i="9" s="1"/>
  <c r="N1159" i="9" s="1"/>
  <c r="Q1159" i="9" s="1"/>
  <c r="V13" i="12"/>
  <c r="W13" i="12" s="1"/>
  <c r="X13" i="12" s="1"/>
  <c r="Y13" i="12" s="1"/>
  <c r="Z13" i="12" s="1"/>
  <c r="I55" i="9"/>
  <c r="I56" i="9" s="1"/>
  <c r="E14" i="12" s="1"/>
  <c r="V15" i="12"/>
  <c r="W15" i="12" s="1"/>
  <c r="X15" i="12" s="1"/>
  <c r="Y15" i="12" s="1"/>
  <c r="Z15" i="12" s="1"/>
  <c r="E149" i="12"/>
  <c r="F149" i="12" s="1"/>
  <c r="G149" i="12" s="1"/>
  <c r="H149" i="12" s="1"/>
  <c r="I149" i="12" s="1"/>
  <c r="V10" i="12"/>
  <c r="W10" i="12" s="1"/>
  <c r="X10" i="12" s="1"/>
  <c r="Y10" i="12" s="1"/>
  <c r="Z10" i="12" s="1"/>
  <c r="V7" i="12"/>
  <c r="W7" i="12" s="1"/>
  <c r="X7" i="12" s="1"/>
  <c r="Y7" i="12" s="1"/>
  <c r="Z7" i="12" s="1"/>
  <c r="E182" i="12"/>
  <c r="F182" i="12" s="1"/>
  <c r="G182" i="12" s="1"/>
  <c r="H182" i="12" s="1"/>
  <c r="I182" i="12" s="1"/>
  <c r="S90" i="12"/>
  <c r="X14" i="17"/>
  <c r="F138" i="12"/>
  <c r="G138" i="12" s="1"/>
  <c r="H138" i="12" s="1"/>
  <c r="I138" i="12" s="1"/>
  <c r="V4" i="12"/>
  <c r="W4" i="12" s="1"/>
  <c r="X4" i="12" s="1"/>
  <c r="Y4" i="12" s="1"/>
  <c r="Z4" i="12" s="1"/>
  <c r="AD72" i="9"/>
  <c r="E185" i="12"/>
  <c r="F185" i="12" s="1"/>
  <c r="G185" i="12" s="1"/>
  <c r="H185" i="12" s="1"/>
  <c r="I185" i="12" s="1"/>
  <c r="R3243" i="9"/>
  <c r="R3248" i="9" s="1"/>
  <c r="R3249" i="9" s="1"/>
  <c r="R3250" i="9" s="1"/>
  <c r="T3243" i="9" s="1"/>
  <c r="Y83" i="15" s="1"/>
  <c r="E151" i="12"/>
  <c r="F151" i="12" s="1"/>
  <c r="G151" i="12" s="1"/>
  <c r="H151" i="12" s="1"/>
  <c r="I151" i="12" s="1"/>
  <c r="E145" i="12"/>
  <c r="F145" i="12" s="1"/>
  <c r="G145" i="12" s="1"/>
  <c r="H145" i="12" s="1"/>
  <c r="I145" i="12" s="1"/>
  <c r="E154" i="12"/>
  <c r="F154" i="12" s="1"/>
  <c r="G154" i="12" s="1"/>
  <c r="H154" i="12" s="1"/>
  <c r="I154" i="12" s="1"/>
  <c r="E156" i="12"/>
  <c r="F156" i="12" s="1"/>
  <c r="G156" i="12" s="1"/>
  <c r="H156" i="12" s="1"/>
  <c r="I156" i="12" s="1"/>
  <c r="E143" i="12"/>
  <c r="F143" i="12" s="1"/>
  <c r="G143" i="12" s="1"/>
  <c r="H143" i="12" s="1"/>
  <c r="I143" i="12" s="1"/>
  <c r="E186" i="12"/>
  <c r="T3197" i="9"/>
  <c r="Y81" i="15" s="1"/>
  <c r="E152" i="12"/>
  <c r="F152" i="12" s="1"/>
  <c r="G152" i="12" s="1"/>
  <c r="H152" i="12" s="1"/>
  <c r="I152" i="12" s="1"/>
  <c r="T2967" i="9"/>
  <c r="X105" i="15" s="1"/>
  <c r="E155" i="12"/>
  <c r="F155" i="12" s="1"/>
  <c r="G155" i="12" s="1"/>
  <c r="H155" i="12" s="1"/>
  <c r="I155" i="12" s="1"/>
  <c r="T3034" i="9"/>
  <c r="X111" i="15" s="1"/>
  <c r="E146" i="12"/>
  <c r="T2830" i="9"/>
  <c r="X93" i="15" s="1"/>
  <c r="E150" i="12"/>
  <c r="F150" i="12" s="1"/>
  <c r="G150" i="12" s="1"/>
  <c r="H150" i="12" s="1"/>
  <c r="I150" i="12" s="1"/>
  <c r="T2922" i="9"/>
  <c r="X101" i="15" s="1"/>
  <c r="E79" i="12"/>
  <c r="F79" i="12" s="1"/>
  <c r="G79" i="12" s="1"/>
  <c r="H79" i="12" s="1"/>
  <c r="I79" i="12" s="1"/>
  <c r="T1119" i="9"/>
  <c r="U121" i="15" s="1"/>
  <c r="R3274" i="9"/>
  <c r="R3275" i="9" s="1"/>
  <c r="E26" i="9"/>
  <c r="E8" i="9"/>
  <c r="N2582" i="9" s="1"/>
  <c r="Q2582" i="9" s="1"/>
  <c r="Q2590" i="9" s="1"/>
  <c r="E24" i="9"/>
  <c r="N533" i="9" s="1"/>
  <c r="Q533" i="9" s="1"/>
  <c r="U533" i="9" s="1"/>
  <c r="G2" i="9"/>
  <c r="G10" i="9"/>
  <c r="I10" i="9"/>
  <c r="I18" i="9"/>
  <c r="I26" i="9"/>
  <c r="I6" i="9"/>
  <c r="I22" i="9"/>
  <c r="I7" i="9"/>
  <c r="I15" i="9"/>
  <c r="I23" i="9"/>
  <c r="I8" i="9"/>
  <c r="I16" i="9"/>
  <c r="I24" i="9"/>
  <c r="I3" i="9"/>
  <c r="I11" i="9"/>
  <c r="I19" i="9"/>
  <c r="I2" i="9"/>
  <c r="I14" i="9"/>
  <c r="I4" i="9"/>
  <c r="I12" i="9"/>
  <c r="I20" i="9"/>
  <c r="I5" i="9"/>
  <c r="I13" i="9"/>
  <c r="I21" i="9"/>
  <c r="I9" i="9"/>
  <c r="I17" i="9"/>
  <c r="I25" i="9"/>
  <c r="N1040" i="9"/>
  <c r="Q1040" i="9" s="1"/>
  <c r="U1040" i="9" s="1"/>
  <c r="N19" i="12"/>
  <c r="O19" i="12" s="1"/>
  <c r="P19" i="12" s="1"/>
  <c r="Q19" i="12" s="1"/>
  <c r="R19" i="12" s="1"/>
  <c r="J3" i="9"/>
  <c r="J11" i="9"/>
  <c r="J19" i="9"/>
  <c r="J2" i="9"/>
  <c r="J14" i="9"/>
  <c r="J15" i="9"/>
  <c r="J16" i="9"/>
  <c r="J24" i="9"/>
  <c r="J17" i="9"/>
  <c r="J25" i="9"/>
  <c r="J4" i="9"/>
  <c r="J12" i="9"/>
  <c r="J20" i="9"/>
  <c r="J6" i="9"/>
  <c r="J7" i="9"/>
  <c r="J23" i="9"/>
  <c r="J5" i="9"/>
  <c r="J13" i="9"/>
  <c r="J21" i="9"/>
  <c r="J22" i="9"/>
  <c r="J8" i="9"/>
  <c r="J9" i="9"/>
  <c r="J10" i="9"/>
  <c r="J18" i="9"/>
  <c r="J26" i="9"/>
  <c r="E16" i="9"/>
  <c r="N1084" i="9" s="1"/>
  <c r="Q1084" i="9" s="1"/>
  <c r="Q1092" i="9" s="1"/>
  <c r="BI55" i="9"/>
  <c r="BI56" i="9" s="1"/>
  <c r="E19" i="12" s="1"/>
  <c r="AX55" i="9"/>
  <c r="AX56" i="9" s="1"/>
  <c r="E18" i="12" s="1"/>
  <c r="E16" i="12"/>
  <c r="F16" i="12" s="1"/>
  <c r="G16" i="12" s="1"/>
  <c r="H16" i="12" s="1"/>
  <c r="I16" i="12" s="1"/>
  <c r="F7" i="9"/>
  <c r="N1783" i="9" s="1"/>
  <c r="F15" i="9"/>
  <c r="N2108" i="9" s="1"/>
  <c r="N2118" i="9" s="1"/>
  <c r="F23" i="9"/>
  <c r="N1565" i="9" s="1"/>
  <c r="Q1565" i="9" s="1"/>
  <c r="F3" i="9"/>
  <c r="N2156" i="9" s="1"/>
  <c r="Q2156" i="9" s="1"/>
  <c r="F19" i="9"/>
  <c r="F4" i="9"/>
  <c r="F12" i="9"/>
  <c r="F20" i="9"/>
  <c r="F5" i="9"/>
  <c r="N1992" i="9" s="1"/>
  <c r="Q1992" i="9" s="1"/>
  <c r="Q2001" i="9" s="1"/>
  <c r="F13" i="9"/>
  <c r="N1687" i="9" s="1"/>
  <c r="N1695" i="9" s="1"/>
  <c r="F21" i="9"/>
  <c r="N1829" i="9" s="1"/>
  <c r="N1837" i="9" s="1"/>
  <c r="F8" i="9"/>
  <c r="X2582" i="9" s="1"/>
  <c r="F16" i="9"/>
  <c r="N1944" i="9" s="1"/>
  <c r="Q1944" i="9" s="1"/>
  <c r="Q1954" i="9" s="1"/>
  <c r="F24" i="9"/>
  <c r="F11" i="9"/>
  <c r="N2038" i="9" s="1"/>
  <c r="Q2038" i="9" s="1"/>
  <c r="F2" i="9"/>
  <c r="N1921" i="9" s="1"/>
  <c r="F9" i="9"/>
  <c r="N1759" i="9" s="1"/>
  <c r="N1769" i="9" s="1"/>
  <c r="F17" i="9"/>
  <c r="N1875" i="9" s="1"/>
  <c r="N1883" i="9" s="1"/>
  <c r="F25" i="9"/>
  <c r="N1898" i="9" s="1"/>
  <c r="N1906" i="9" s="1"/>
  <c r="F10" i="9"/>
  <c r="F18" i="9"/>
  <c r="F26" i="9"/>
  <c r="N1852" i="9" s="1"/>
  <c r="N1860" i="9" s="1"/>
  <c r="F6" i="9"/>
  <c r="F14" i="9"/>
  <c r="F22" i="9"/>
  <c r="X2513" i="9" s="1"/>
  <c r="E5" i="12"/>
  <c r="F5" i="12" s="1"/>
  <c r="G5" i="12" s="1"/>
  <c r="H5" i="12" s="1"/>
  <c r="I5" i="12" s="1"/>
  <c r="AN55" i="9"/>
  <c r="AN56" i="9" s="1"/>
  <c r="E17" i="12" s="1"/>
  <c r="U55" i="9"/>
  <c r="U56" i="9" s="1"/>
  <c r="E15" i="12" s="1"/>
  <c r="H9" i="9"/>
  <c r="H17" i="9"/>
  <c r="H25" i="9"/>
  <c r="H13" i="9"/>
  <c r="H6" i="9"/>
  <c r="H14" i="9"/>
  <c r="H22" i="9"/>
  <c r="H7" i="9"/>
  <c r="H15" i="9"/>
  <c r="H23" i="9"/>
  <c r="H10" i="9"/>
  <c r="H18" i="9"/>
  <c r="H26" i="9"/>
  <c r="H5" i="9"/>
  <c r="H21" i="9"/>
  <c r="H3" i="9"/>
  <c r="H11" i="9"/>
  <c r="H19" i="9"/>
  <c r="H2" i="9"/>
  <c r="H4" i="9"/>
  <c r="H12" i="9"/>
  <c r="H20" i="9"/>
  <c r="H8" i="9"/>
  <c r="H16" i="9"/>
  <c r="H24" i="9"/>
  <c r="G23" i="9"/>
  <c r="G22" i="9"/>
  <c r="G15" i="9"/>
  <c r="G11" i="9"/>
  <c r="G21" i="9"/>
  <c r="G17" i="9"/>
  <c r="G24" i="9"/>
  <c r="G13" i="9"/>
  <c r="G5" i="9"/>
  <c r="G8" i="9"/>
  <c r="G14" i="9"/>
  <c r="G19" i="9"/>
  <c r="G26" i="9"/>
  <c r="G4" i="9"/>
  <c r="G6" i="9"/>
  <c r="G18" i="9"/>
  <c r="G3" i="9"/>
  <c r="G9" i="9"/>
  <c r="G20" i="9"/>
  <c r="G16" i="9"/>
  <c r="G7" i="9"/>
  <c r="G25" i="9"/>
  <c r="G12" i="9"/>
  <c r="E21" i="9"/>
  <c r="N988" i="9" s="1"/>
  <c r="Q988" i="9" s="1"/>
  <c r="AE2583" i="9"/>
  <c r="Q537" i="9"/>
  <c r="U537" i="9" s="1"/>
  <c r="U2307" i="9"/>
  <c r="Q2309" i="9"/>
  <c r="V19" i="12" l="1"/>
  <c r="W19" i="12" s="1"/>
  <c r="X19" i="12" s="1"/>
  <c r="Y19" i="12" s="1"/>
  <c r="Z19" i="12" s="1"/>
  <c r="E10" i="9"/>
  <c r="N487" i="9" s="1"/>
  <c r="N495" i="9" s="1"/>
  <c r="E2" i="9"/>
  <c r="E15" i="9"/>
  <c r="N1182" i="9" s="1"/>
  <c r="N1192" i="9" s="1"/>
  <c r="E4" i="12"/>
  <c r="F4" i="12" s="1"/>
  <c r="G4" i="12" s="1"/>
  <c r="H4" i="12" s="1"/>
  <c r="I4" i="12" s="1"/>
  <c r="E17" i="9"/>
  <c r="E12" i="9"/>
  <c r="N1474" i="9" s="1"/>
  <c r="Q1474" i="9" s="1"/>
  <c r="Q1479" i="9" s="1"/>
  <c r="E9" i="9"/>
  <c r="N752" i="9" s="1"/>
  <c r="Q752" i="9" s="1"/>
  <c r="U752" i="9" s="1"/>
  <c r="U763" i="9" s="1"/>
  <c r="R765" i="9" s="1"/>
  <c r="E166" i="12"/>
  <c r="E18" i="9"/>
  <c r="E3" i="9"/>
  <c r="N1395" i="9" s="1"/>
  <c r="Q1395" i="9" s="1"/>
  <c r="E11" i="9"/>
  <c r="E14" i="9"/>
  <c r="N1969" i="9" s="1"/>
  <c r="Q1969" i="9" s="1"/>
  <c r="U1969" i="9" s="1"/>
  <c r="U1977" i="9" s="1"/>
  <c r="R1979" i="9" s="1"/>
  <c r="E4" i="9"/>
  <c r="N1372" i="9" s="1"/>
  <c r="N1380" i="9" s="1"/>
  <c r="E25" i="9"/>
  <c r="N1059" i="9" s="1"/>
  <c r="Q1059" i="9" s="1"/>
  <c r="U1059" i="9" s="1"/>
  <c r="U1070" i="9" s="1"/>
  <c r="R1072" i="9" s="1"/>
  <c r="E7" i="9"/>
  <c r="N873" i="9" s="1"/>
  <c r="Q873" i="9" s="1"/>
  <c r="Q881" i="9" s="1"/>
  <c r="E22" i="9"/>
  <c r="N2513" i="9" s="1"/>
  <c r="N2521" i="9" s="1"/>
  <c r="E19" i="9"/>
  <c r="E23" i="9"/>
  <c r="N464" i="9" s="1"/>
  <c r="N472" i="9" s="1"/>
  <c r="E13" i="9"/>
  <c r="N631" i="9" s="1"/>
  <c r="Q631" i="9" s="1"/>
  <c r="E20" i="9"/>
  <c r="N729" i="9" s="1"/>
  <c r="N738" i="9" s="1"/>
  <c r="E6" i="9"/>
  <c r="K9" i="17"/>
  <c r="T90" i="12"/>
  <c r="Y14" i="17"/>
  <c r="R57" i="12"/>
  <c r="R56" i="12"/>
  <c r="R63" i="12"/>
  <c r="E188" i="12"/>
  <c r="F188" i="12" s="1"/>
  <c r="G188" i="12" s="1"/>
  <c r="H188" i="12" s="1"/>
  <c r="I188" i="12" s="1"/>
  <c r="F186" i="12"/>
  <c r="G186" i="12" s="1"/>
  <c r="H186" i="12" s="1"/>
  <c r="I186" i="12" s="1"/>
  <c r="E189" i="12"/>
  <c r="F189" i="12" s="1"/>
  <c r="G189" i="12" s="1"/>
  <c r="H189" i="12" s="1"/>
  <c r="I189" i="12" s="1"/>
  <c r="T3268" i="9"/>
  <c r="Y84" i="15" s="1"/>
  <c r="R62" i="12"/>
  <c r="R50" i="12"/>
  <c r="F146" i="12"/>
  <c r="G146" i="12" s="1"/>
  <c r="H146" i="12" s="1"/>
  <c r="I146" i="12" s="1"/>
  <c r="N1349" i="9"/>
  <c r="N1355" i="9" s="1"/>
  <c r="N1252" i="9"/>
  <c r="N1260" i="9" s="1"/>
  <c r="N2536" i="9"/>
  <c r="Q2536" i="9" s="1"/>
  <c r="Q2544" i="9" s="1"/>
  <c r="N1206" i="9"/>
  <c r="N1215" i="9" s="1"/>
  <c r="N1275" i="9"/>
  <c r="Q1275" i="9" s="1"/>
  <c r="U1275" i="9" s="1"/>
  <c r="U1283" i="9" s="1"/>
  <c r="N2606" i="9"/>
  <c r="N2615" i="9" s="1"/>
  <c r="Q487" i="9"/>
  <c r="Q495" i="9" s="1"/>
  <c r="N1298" i="9"/>
  <c r="N1306" i="9" s="1"/>
  <c r="N2490" i="9"/>
  <c r="Q2490" i="9" s="1"/>
  <c r="Q2498" i="9" s="1"/>
  <c r="N2559" i="9"/>
  <c r="N2566" i="9" s="1"/>
  <c r="N1229" i="9"/>
  <c r="Q1229" i="9" s="1"/>
  <c r="Q1237" i="9" s="1"/>
  <c r="Q1182" i="9"/>
  <c r="Q1192" i="9" s="1"/>
  <c r="N510" i="9"/>
  <c r="N518" i="9" s="1"/>
  <c r="N1323" i="9"/>
  <c r="Q1323" i="9" s="1"/>
  <c r="U1323" i="9" s="1"/>
  <c r="U1335" i="9" s="1"/>
  <c r="N544" i="9"/>
  <c r="N108" i="9"/>
  <c r="N116" i="9" s="1"/>
  <c r="N1168" i="9"/>
  <c r="N201" i="9"/>
  <c r="N207" i="9" s="1"/>
  <c r="N1132" i="9"/>
  <c r="Q1132" i="9" s="1"/>
  <c r="Q1144" i="9" s="1"/>
  <c r="N300" i="9"/>
  <c r="N309" i="9" s="1"/>
  <c r="N441" i="9"/>
  <c r="N449" i="9" s="1"/>
  <c r="N415" i="9"/>
  <c r="N426" i="9" s="1"/>
  <c r="N62" i="9"/>
  <c r="Q62" i="9" s="1"/>
  <c r="U62" i="9" s="1"/>
  <c r="U70" i="9" s="1"/>
  <c r="R72" i="9" s="1"/>
  <c r="N131" i="9"/>
  <c r="N139" i="9" s="1"/>
  <c r="N177" i="9"/>
  <c r="Q177" i="9" s="1"/>
  <c r="U177" i="9" s="1"/>
  <c r="U185" i="9" s="1"/>
  <c r="N656" i="9"/>
  <c r="Q656" i="9" s="1"/>
  <c r="U656" i="9" s="1"/>
  <c r="U665" i="9" s="1"/>
  <c r="N346" i="9"/>
  <c r="N354" i="9" s="1"/>
  <c r="N1070" i="9"/>
  <c r="N1444" i="9"/>
  <c r="N1452" i="9" s="1"/>
  <c r="Q1977" i="9"/>
  <c r="N1421" i="9"/>
  <c r="N1429" i="9" s="1"/>
  <c r="N274" i="9"/>
  <c r="N282" i="9" s="1"/>
  <c r="N558" i="9"/>
  <c r="N568" i="9" s="1"/>
  <c r="N323" i="9"/>
  <c r="N331" i="9" s="1"/>
  <c r="N1403" i="9"/>
  <c r="Q464" i="9"/>
  <c r="U464" i="9" s="1"/>
  <c r="U472" i="9" s="1"/>
  <c r="N608" i="9"/>
  <c r="Q608" i="9" s="1"/>
  <c r="U608" i="9" s="1"/>
  <c r="U616" i="9" s="1"/>
  <c r="N392" i="9"/>
  <c r="Q392" i="9" s="1"/>
  <c r="U392" i="9" s="1"/>
  <c r="U402" i="9" s="1"/>
  <c r="N369" i="9"/>
  <c r="N379" i="9" s="1"/>
  <c r="N679" i="9"/>
  <c r="Q679" i="9" s="1"/>
  <c r="Q687" i="9" s="1"/>
  <c r="N2590" i="9"/>
  <c r="N584" i="9"/>
  <c r="Q584" i="9" s="1"/>
  <c r="Q594" i="9" s="1"/>
  <c r="N85" i="9"/>
  <c r="Q85" i="9" s="1"/>
  <c r="U85" i="9" s="1"/>
  <c r="U93" i="9" s="1"/>
  <c r="N642" i="9"/>
  <c r="U2582" i="9"/>
  <c r="U2590" i="9" s="1"/>
  <c r="N154" i="9"/>
  <c r="Q154" i="9" s="1"/>
  <c r="Q162" i="9" s="1"/>
  <c r="N228" i="9"/>
  <c r="N236" i="9" s="1"/>
  <c r="N251" i="9"/>
  <c r="N260" i="9" s="1"/>
  <c r="U1084" i="9"/>
  <c r="U1092" i="9" s="1"/>
  <c r="F14" i="12"/>
  <c r="G14" i="12" s="1"/>
  <c r="H14" i="12" s="1"/>
  <c r="I14" i="12" s="1"/>
  <c r="F15" i="12"/>
  <c r="G15" i="12" s="1"/>
  <c r="H15" i="12" s="1"/>
  <c r="I15" i="12" s="1"/>
  <c r="N965" i="9"/>
  <c r="Q965" i="9" s="1"/>
  <c r="U965" i="9" s="1"/>
  <c r="U973" i="9" s="1"/>
  <c r="F18" i="12"/>
  <c r="G18" i="12" s="1"/>
  <c r="H18" i="12" s="1"/>
  <c r="I18" i="12" s="1"/>
  <c r="N706" i="9"/>
  <c r="Q706" i="9" s="1"/>
  <c r="U706" i="9" s="1"/>
  <c r="U714" i="9" s="1"/>
  <c r="N1092" i="9"/>
  <c r="F17" i="12"/>
  <c r="G17" i="12" s="1"/>
  <c r="H17" i="12" s="1"/>
  <c r="I17" i="12" s="1"/>
  <c r="F19" i="12"/>
  <c r="G19" i="12" s="1"/>
  <c r="H19" i="12" s="1"/>
  <c r="I19" i="12" s="1"/>
  <c r="Q729" i="9"/>
  <c r="U729" i="9" s="1"/>
  <c r="U738" i="9" s="1"/>
  <c r="N1710" i="9"/>
  <c r="N1720" i="9" s="1"/>
  <c r="N996" i="9"/>
  <c r="N1011" i="9"/>
  <c r="Q1011" i="9" s="1"/>
  <c r="U1011" i="9" s="1"/>
  <c r="U1019" i="9" s="1"/>
  <c r="N1036" i="9"/>
  <c r="Q1036" i="9" s="1"/>
  <c r="U1036" i="9" s="1"/>
  <c r="U1044" i="9" s="1"/>
  <c r="Q1372" i="9"/>
  <c r="U1372" i="9" s="1"/>
  <c r="U1380" i="9" s="1"/>
  <c r="N1929" i="9"/>
  <c r="Q1921" i="9"/>
  <c r="Q1929" i="9" s="1"/>
  <c r="N2133" i="9"/>
  <c r="N2141" i="9" s="1"/>
  <c r="N2061" i="9"/>
  <c r="Q2061" i="9" s="1"/>
  <c r="Q2071" i="9" s="1"/>
  <c r="U1992" i="9"/>
  <c r="U2001" i="9" s="1"/>
  <c r="AA2513" i="9"/>
  <c r="X2521" i="9"/>
  <c r="N2047" i="9"/>
  <c r="N2015" i="9"/>
  <c r="Q2015" i="9" s="1"/>
  <c r="Q2024" i="9" s="1"/>
  <c r="N1735" i="9"/>
  <c r="Q1735" i="9" s="1"/>
  <c r="Q1745" i="9" s="1"/>
  <c r="N2085" i="9"/>
  <c r="X2559" i="9"/>
  <c r="X2490" i="9"/>
  <c r="X2606" i="9"/>
  <c r="X2536" i="9"/>
  <c r="AA2582" i="9"/>
  <c r="X2590" i="9"/>
  <c r="N1954" i="9"/>
  <c r="Q1759" i="9"/>
  <c r="Q1769" i="9" s="1"/>
  <c r="U1944" i="9"/>
  <c r="U1954" i="9" s="1"/>
  <c r="N1806" i="9"/>
  <c r="Q1806" i="9" s="1"/>
  <c r="Q1814" i="9" s="1"/>
  <c r="N1576" i="9"/>
  <c r="Q1687" i="9"/>
  <c r="Q1695" i="9" s="1"/>
  <c r="N2164" i="9"/>
  <c r="N1494" i="9"/>
  <c r="Q1494" i="9" s="1"/>
  <c r="Q1502" i="9" s="1"/>
  <c r="Q1829" i="9"/>
  <c r="Q1837" i="9" s="1"/>
  <c r="N1664" i="9"/>
  <c r="N1673" i="9" s="1"/>
  <c r="N1613" i="9"/>
  <c r="Q1613" i="9" s="1"/>
  <c r="U1613" i="9" s="1"/>
  <c r="U1621" i="9" s="1"/>
  <c r="N2001" i="9"/>
  <c r="N1636" i="9"/>
  <c r="N1649" i="9" s="1"/>
  <c r="N1517" i="9"/>
  <c r="Q1517" i="9" s="1"/>
  <c r="Q1528" i="9" s="1"/>
  <c r="Q1898" i="9"/>
  <c r="U1898" i="9" s="1"/>
  <c r="U1906" i="9" s="1"/>
  <c r="N1542" i="9"/>
  <c r="Q1542" i="9" s="1"/>
  <c r="Q1551" i="9" s="1"/>
  <c r="N1590" i="9"/>
  <c r="N1598" i="9" s="1"/>
  <c r="Q1875" i="9"/>
  <c r="Q1783" i="9"/>
  <c r="N1791" i="9"/>
  <c r="U2309" i="9"/>
  <c r="Q1852" i="9"/>
  <c r="Q1860" i="9" s="1"/>
  <c r="Q2108" i="9"/>
  <c r="Q2118" i="9" s="1"/>
  <c r="U544" i="9"/>
  <c r="Q544" i="9"/>
  <c r="Q2047" i="9"/>
  <c r="U2038" i="9"/>
  <c r="U2047" i="9" s="1"/>
  <c r="Q2164" i="9"/>
  <c r="U2156" i="9"/>
  <c r="U2164" i="9" s="1"/>
  <c r="R2166" i="9" s="1"/>
  <c r="Q1576" i="9"/>
  <c r="U1565" i="9"/>
  <c r="U1576" i="9" s="1"/>
  <c r="Q1403" i="9"/>
  <c r="U1395" i="9"/>
  <c r="U1403" i="9" s="1"/>
  <c r="U1159" i="9"/>
  <c r="U1168" i="9" s="1"/>
  <c r="Q1168" i="9"/>
  <c r="Q996" i="9"/>
  <c r="U988" i="9"/>
  <c r="U996" i="9" s="1"/>
  <c r="Q642" i="9"/>
  <c r="U631" i="9"/>
  <c r="U642" i="9" s="1"/>
  <c r="AF9" i="17" l="1"/>
  <c r="AJ9" i="17"/>
  <c r="AI9" i="17"/>
  <c r="AG9" i="17"/>
  <c r="AH9" i="17"/>
  <c r="AE9" i="17"/>
  <c r="AE26" i="17" s="1"/>
  <c r="N881" i="9"/>
  <c r="N896" i="9"/>
  <c r="N904" i="9" s="1"/>
  <c r="U873" i="9"/>
  <c r="U881" i="9" s="1"/>
  <c r="N827" i="9"/>
  <c r="Q827" i="9" s="1"/>
  <c r="Q835" i="9" s="1"/>
  <c r="F166" i="12"/>
  <c r="G166" i="12" s="1"/>
  <c r="H166" i="12" s="1"/>
  <c r="I166" i="12" s="1"/>
  <c r="U62" i="12"/>
  <c r="N942" i="9"/>
  <c r="Q942" i="9" s="1"/>
  <c r="Q950" i="9" s="1"/>
  <c r="N763" i="9"/>
  <c r="Q1070" i="9"/>
  <c r="Q763" i="9"/>
  <c r="N777" i="9"/>
  <c r="Q777" i="9" s="1"/>
  <c r="Q787" i="9" s="1"/>
  <c r="N802" i="9"/>
  <c r="N813" i="9" s="1"/>
  <c r="N850" i="9"/>
  <c r="N858" i="9" s="1"/>
  <c r="U1474" i="9"/>
  <c r="U1479" i="9" s="1"/>
  <c r="R1481" i="9" s="1"/>
  <c r="R1486" i="9" s="1"/>
  <c r="R1487" i="9" s="1"/>
  <c r="R1488" i="9" s="1"/>
  <c r="E94" i="12" s="1"/>
  <c r="F94" i="12" s="1"/>
  <c r="G94" i="12" s="1"/>
  <c r="H94" i="12" s="1"/>
  <c r="I94" i="12" s="1"/>
  <c r="N1977" i="9"/>
  <c r="N1479" i="9"/>
  <c r="N2498" i="9"/>
  <c r="N919" i="9"/>
  <c r="Q919" i="9" s="1"/>
  <c r="U919" i="9" s="1"/>
  <c r="U927" i="9" s="1"/>
  <c r="R929" i="9" s="1"/>
  <c r="Q2513" i="9"/>
  <c r="U2513" i="9" s="1"/>
  <c r="U2521" i="9" s="1"/>
  <c r="R2523" i="9" s="1"/>
  <c r="R2528" i="9" s="1"/>
  <c r="R2529" i="9" s="1"/>
  <c r="R2530" i="9" s="1"/>
  <c r="E125" i="12" s="1"/>
  <c r="L9" i="17"/>
  <c r="K26" i="17"/>
  <c r="M9" i="17"/>
  <c r="P9" i="17"/>
  <c r="O9" i="17"/>
  <c r="N9" i="17"/>
  <c r="Z14" i="17"/>
  <c r="U90" i="12"/>
  <c r="N1335" i="9"/>
  <c r="U63" i="12"/>
  <c r="U57" i="12"/>
  <c r="R51" i="12"/>
  <c r="U51" i="12"/>
  <c r="Q1206" i="9"/>
  <c r="Q1215" i="9" s="1"/>
  <c r="Q1283" i="9"/>
  <c r="Q1349" i="9"/>
  <c r="U1349" i="9" s="1"/>
  <c r="U1355" i="9" s="1"/>
  <c r="R1357" i="9" s="1"/>
  <c r="U487" i="9"/>
  <c r="U495" i="9" s="1"/>
  <c r="R770" i="9"/>
  <c r="R771" i="9" s="1"/>
  <c r="R772" i="9" s="1"/>
  <c r="E64" i="12" s="1"/>
  <c r="F64" i="12" s="1"/>
  <c r="G64" i="12" s="1"/>
  <c r="H64" i="12" s="1"/>
  <c r="I64" i="12" s="1"/>
  <c r="N1237" i="9"/>
  <c r="R1077" i="9"/>
  <c r="R1078" i="9" s="1"/>
  <c r="R1079" i="9" s="1"/>
  <c r="E77" i="12" s="1"/>
  <c r="F77" i="12" s="1"/>
  <c r="G77" i="12" s="1"/>
  <c r="H77" i="12" s="1"/>
  <c r="I77" i="12" s="1"/>
  <c r="R2171" i="9"/>
  <c r="R2172" i="9" s="1"/>
  <c r="R2173" i="9" s="1"/>
  <c r="E123" i="12" s="1"/>
  <c r="F123" i="12" s="1"/>
  <c r="G123" i="12" s="1"/>
  <c r="H123" i="12" s="1"/>
  <c r="I123" i="12" s="1"/>
  <c r="N1283" i="9"/>
  <c r="Q1298" i="9"/>
  <c r="U1298" i="9" s="1"/>
  <c r="U1306" i="9" s="1"/>
  <c r="R1308" i="9" s="1"/>
  <c r="R1984" i="9"/>
  <c r="R1985" i="9" s="1"/>
  <c r="R1986" i="9" s="1"/>
  <c r="E115" i="12" s="1"/>
  <c r="F115" i="12" s="1"/>
  <c r="G115" i="12" s="1"/>
  <c r="H115" i="12" s="1"/>
  <c r="I115" i="12" s="1"/>
  <c r="Q2606" i="9"/>
  <c r="U2606" i="9" s="1"/>
  <c r="U2619" i="9" s="1"/>
  <c r="Q1252" i="9"/>
  <c r="U1252" i="9" s="1"/>
  <c r="U1260" i="9" s="1"/>
  <c r="R1262" i="9" s="1"/>
  <c r="N2544" i="9"/>
  <c r="U2536" i="9"/>
  <c r="U2544" i="9" s="1"/>
  <c r="R2546" i="9" s="1"/>
  <c r="R77" i="9"/>
  <c r="R78" i="9" s="1"/>
  <c r="R79" i="9" s="1"/>
  <c r="U2490" i="9"/>
  <c r="U2498" i="9" s="1"/>
  <c r="R2500" i="9" s="1"/>
  <c r="Q2559" i="9"/>
  <c r="Q2566" i="9" s="1"/>
  <c r="U1182" i="9"/>
  <c r="U1192" i="9" s="1"/>
  <c r="R1194" i="9" s="1"/>
  <c r="U1229" i="9"/>
  <c r="U1237" i="9" s="1"/>
  <c r="R1239" i="9" s="1"/>
  <c r="Q1335" i="9"/>
  <c r="Q510" i="9"/>
  <c r="Q518" i="9" s="1"/>
  <c r="Q201" i="9"/>
  <c r="Q207" i="9" s="1"/>
  <c r="R2003" i="9"/>
  <c r="R2049" i="9"/>
  <c r="R1956" i="9"/>
  <c r="R1578" i="9"/>
  <c r="R1908" i="9"/>
  <c r="R1623" i="9"/>
  <c r="R2592" i="9"/>
  <c r="U1132" i="9"/>
  <c r="U1144" i="9" s="1"/>
  <c r="R1146" i="9" s="1"/>
  <c r="R1337" i="9"/>
  <c r="R1382" i="9"/>
  <c r="R1405" i="9"/>
  <c r="Q108" i="9"/>
  <c r="U108" i="9" s="1"/>
  <c r="U116" i="9" s="1"/>
  <c r="R118" i="9" s="1"/>
  <c r="R1285" i="9"/>
  <c r="R1170" i="9"/>
  <c r="R1046" i="9"/>
  <c r="R1094" i="9"/>
  <c r="N665" i="9"/>
  <c r="R740" i="9"/>
  <c r="R975" i="9"/>
  <c r="R883" i="9"/>
  <c r="R998" i="9"/>
  <c r="R1021" i="9"/>
  <c r="R716" i="9"/>
  <c r="N1144" i="9"/>
  <c r="Q70" i="9"/>
  <c r="Q300" i="9"/>
  <c r="Q309" i="9" s="1"/>
  <c r="Q185" i="9"/>
  <c r="U2061" i="9"/>
  <c r="U2071" i="9" s="1"/>
  <c r="R2073" i="9" s="1"/>
  <c r="N185" i="9"/>
  <c r="Q441" i="9"/>
  <c r="Q449" i="9" s="1"/>
  <c r="R404" i="9"/>
  <c r="Q415" i="9"/>
  <c r="U415" i="9" s="1"/>
  <c r="U426" i="9" s="1"/>
  <c r="R618" i="9"/>
  <c r="R546" i="9"/>
  <c r="R644" i="9"/>
  <c r="R497" i="9"/>
  <c r="N70" i="9"/>
  <c r="R474" i="9"/>
  <c r="R667" i="9"/>
  <c r="N594" i="9"/>
  <c r="Q323" i="9"/>
  <c r="U323" i="9" s="1"/>
  <c r="U331" i="9" s="1"/>
  <c r="U584" i="9"/>
  <c r="U594" i="9" s="1"/>
  <c r="Q665" i="9"/>
  <c r="Q131" i="9"/>
  <c r="U131" i="9" s="1"/>
  <c r="U139" i="9" s="1"/>
  <c r="R141" i="9" s="1"/>
  <c r="Q1421" i="9"/>
  <c r="Q1429" i="9" s="1"/>
  <c r="U679" i="9"/>
  <c r="U687" i="9" s="1"/>
  <c r="Q274" i="9"/>
  <c r="Q282" i="9" s="1"/>
  <c r="Q251" i="9"/>
  <c r="U251" i="9" s="1"/>
  <c r="U260" i="9" s="1"/>
  <c r="Q369" i="9"/>
  <c r="U369" i="9" s="1"/>
  <c r="U379" i="9" s="1"/>
  <c r="Q1444" i="9"/>
  <c r="Q1452" i="9" s="1"/>
  <c r="Q2521" i="9"/>
  <c r="Q558" i="9"/>
  <c r="Q568" i="9" s="1"/>
  <c r="U827" i="9"/>
  <c r="U835" i="9" s="1"/>
  <c r="Q228" i="9"/>
  <c r="U228" i="9" s="1"/>
  <c r="U236" i="9" s="1"/>
  <c r="N687" i="9"/>
  <c r="Q973" i="9"/>
  <c r="Q346" i="9"/>
  <c r="Q354" i="9" s="1"/>
  <c r="N835" i="9"/>
  <c r="Q93" i="9"/>
  <c r="U942" i="9"/>
  <c r="U950" i="9" s="1"/>
  <c r="Q472" i="9"/>
  <c r="Q402" i="9"/>
  <c r="N787" i="9"/>
  <c r="Q616" i="9"/>
  <c r="N93" i="9"/>
  <c r="U154" i="9"/>
  <c r="U162" i="9" s="1"/>
  <c r="R164" i="9" s="1"/>
  <c r="N402" i="9"/>
  <c r="N616" i="9"/>
  <c r="N162" i="9"/>
  <c r="Q738" i="9"/>
  <c r="Q1380" i="9"/>
  <c r="R95" i="9"/>
  <c r="R187" i="9"/>
  <c r="Q1019" i="9"/>
  <c r="Q1044" i="9"/>
  <c r="N714" i="9"/>
  <c r="Q714" i="9"/>
  <c r="N1019" i="9"/>
  <c r="N973" i="9"/>
  <c r="Q1710" i="9"/>
  <c r="U1710" i="9" s="1"/>
  <c r="U1720" i="9" s="1"/>
  <c r="N1044" i="9"/>
  <c r="Q2133" i="9"/>
  <c r="U2133" i="9" s="1"/>
  <c r="U2141" i="9" s="1"/>
  <c r="U1921" i="9"/>
  <c r="U1929" i="9" s="1"/>
  <c r="N2071" i="9"/>
  <c r="U1494" i="9"/>
  <c r="U1502" i="9" s="1"/>
  <c r="Q1636" i="9"/>
  <c r="U1636" i="9" s="1"/>
  <c r="U1649" i="9" s="1"/>
  <c r="Q1621" i="9"/>
  <c r="N1528" i="9"/>
  <c r="Q1906" i="9"/>
  <c r="U2015" i="9"/>
  <c r="U2024" i="9" s="1"/>
  <c r="U1759" i="9"/>
  <c r="U1769" i="9" s="1"/>
  <c r="U1852" i="9"/>
  <c r="U1860" i="9" s="1"/>
  <c r="N2024" i="9"/>
  <c r="AA2490" i="9"/>
  <c r="X2498" i="9"/>
  <c r="N1502" i="9"/>
  <c r="U1517" i="9"/>
  <c r="U1528" i="9" s="1"/>
  <c r="U1687" i="9"/>
  <c r="U1695" i="9" s="1"/>
  <c r="U1806" i="9"/>
  <c r="U1814" i="9" s="1"/>
  <c r="AE2582" i="9"/>
  <c r="AE2590" i="9" s="1"/>
  <c r="AA2590" i="9"/>
  <c r="AA2559" i="9"/>
  <c r="X2566" i="9"/>
  <c r="Q2085" i="9"/>
  <c r="N2094" i="9"/>
  <c r="U1735" i="9"/>
  <c r="U1745" i="9" s="1"/>
  <c r="N1551" i="9"/>
  <c r="N1745" i="9"/>
  <c r="X2544" i="9"/>
  <c r="AA2536" i="9"/>
  <c r="U1542" i="9"/>
  <c r="U1551" i="9" s="1"/>
  <c r="N1814" i="9"/>
  <c r="X2615" i="9"/>
  <c r="AA2606" i="9"/>
  <c r="AE2513" i="9"/>
  <c r="AE2521" i="9" s="1"/>
  <c r="AA2521" i="9"/>
  <c r="Q1664" i="9"/>
  <c r="U1664" i="9" s="1"/>
  <c r="U1673" i="9" s="1"/>
  <c r="U1829" i="9"/>
  <c r="U1837" i="9" s="1"/>
  <c r="N1621" i="9"/>
  <c r="Q1590" i="9"/>
  <c r="Q1598" i="9" s="1"/>
  <c r="U1875" i="9"/>
  <c r="U1883" i="9" s="1"/>
  <c r="Q1883" i="9"/>
  <c r="U1783" i="9"/>
  <c r="U1791" i="9" s="1"/>
  <c r="Q1791" i="9"/>
  <c r="U2108" i="9"/>
  <c r="U2118" i="9" s="1"/>
  <c r="Q1355" i="9"/>
  <c r="Q896" i="9" l="1"/>
  <c r="Q904" i="9" s="1"/>
  <c r="U2559" i="9"/>
  <c r="U2566" i="9" s="1"/>
  <c r="R2568" i="9" s="1"/>
  <c r="U777" i="9"/>
  <c r="U787" i="9" s="1"/>
  <c r="Q802" i="9"/>
  <c r="Q813" i="9" s="1"/>
  <c r="Q850" i="9"/>
  <c r="U850" i="9" s="1"/>
  <c r="U858" i="9" s="1"/>
  <c r="N927" i="9"/>
  <c r="Q927" i="9"/>
  <c r="N950" i="9"/>
  <c r="AA14" i="17"/>
  <c r="U896" i="9"/>
  <c r="U904" i="9" s="1"/>
  <c r="R906" i="9" s="1"/>
  <c r="T2166" i="9"/>
  <c r="V105" i="15" s="1"/>
  <c r="T765" i="9"/>
  <c r="U106" i="15" s="1"/>
  <c r="R2619" i="9"/>
  <c r="R2624" i="9" s="1"/>
  <c r="R2625" i="9" s="1"/>
  <c r="R2626" i="9" s="1"/>
  <c r="T1481" i="9"/>
  <c r="U136" i="15" s="1"/>
  <c r="U1206" i="9"/>
  <c r="U1215" i="9" s="1"/>
  <c r="R1217" i="9" s="1"/>
  <c r="T2523" i="9"/>
  <c r="W79" i="15" s="1"/>
  <c r="T1072" i="9"/>
  <c r="U119" i="15" s="1"/>
  <c r="U2615" i="9"/>
  <c r="Q2615" i="9"/>
  <c r="T1979" i="9"/>
  <c r="V97" i="15" s="1"/>
  <c r="E35" i="12"/>
  <c r="F35" i="12" s="1"/>
  <c r="G35" i="12" s="1"/>
  <c r="H35" i="12" s="1"/>
  <c r="I35" i="12" s="1"/>
  <c r="T72" i="9"/>
  <c r="U77" i="15" s="1"/>
  <c r="R1267" i="9"/>
  <c r="R1268" i="9" s="1"/>
  <c r="R1269" i="9" s="1"/>
  <c r="E85" i="12" s="1"/>
  <c r="F85" i="12" s="1"/>
  <c r="G85" i="12" s="1"/>
  <c r="H85" i="12" s="1"/>
  <c r="I85" i="12" s="1"/>
  <c r="R502" i="9"/>
  <c r="R503" i="9" s="1"/>
  <c r="R504" i="9" s="1"/>
  <c r="E53" i="12" s="1"/>
  <c r="F53" i="12" s="1"/>
  <c r="G53" i="12" s="1"/>
  <c r="H53" i="12" s="1"/>
  <c r="I53" i="12" s="1"/>
  <c r="R1151" i="9"/>
  <c r="R1152" i="9" s="1"/>
  <c r="R1153" i="9" s="1"/>
  <c r="E80" i="12" s="1"/>
  <c r="F80" i="12" s="1"/>
  <c r="G80" i="12" s="1"/>
  <c r="H80" i="12" s="1"/>
  <c r="I80" i="12" s="1"/>
  <c r="U2624" i="9"/>
  <c r="U2625" i="9" s="1"/>
  <c r="U2626" i="9" s="1"/>
  <c r="E130" i="12" s="1"/>
  <c r="F130" i="12" s="1"/>
  <c r="G130" i="12" s="1"/>
  <c r="H130" i="12" s="1"/>
  <c r="I130" i="12" s="1"/>
  <c r="R649" i="9"/>
  <c r="R650" i="9" s="1"/>
  <c r="R651" i="9" s="1"/>
  <c r="E59" i="12" s="1"/>
  <c r="F59" i="12" s="1"/>
  <c r="G59" i="12" s="1"/>
  <c r="H59" i="12" s="1"/>
  <c r="I59" i="12" s="1"/>
  <c r="R980" i="9"/>
  <c r="R981" i="9" s="1"/>
  <c r="R982" i="9" s="1"/>
  <c r="E73" i="12" s="1"/>
  <c r="F73" i="12" s="1"/>
  <c r="G73" i="12" s="1"/>
  <c r="H73" i="12" s="1"/>
  <c r="I73" i="12" s="1"/>
  <c r="R2597" i="9"/>
  <c r="R2598" i="9" s="1"/>
  <c r="R2599" i="9" s="1"/>
  <c r="E128" i="12" s="1"/>
  <c r="F128" i="12" s="1"/>
  <c r="G128" i="12" s="1"/>
  <c r="H128" i="12" s="1"/>
  <c r="I128" i="12" s="1"/>
  <c r="R551" i="9"/>
  <c r="R552" i="9" s="1"/>
  <c r="R553" i="9" s="1"/>
  <c r="E55" i="12" s="1"/>
  <c r="F55" i="12" s="1"/>
  <c r="G55" i="12" s="1"/>
  <c r="H55" i="12" s="1"/>
  <c r="I55" i="12" s="1"/>
  <c r="R1290" i="9"/>
  <c r="R1291" i="9" s="1"/>
  <c r="R1292" i="9" s="1"/>
  <c r="E86" i="12" s="1"/>
  <c r="F86" i="12" s="1"/>
  <c r="G86" i="12" s="1"/>
  <c r="H86" i="12" s="1"/>
  <c r="I86" i="12" s="1"/>
  <c r="R2551" i="9"/>
  <c r="R2552" i="9" s="1"/>
  <c r="R2553" i="9" s="1"/>
  <c r="E126" i="12" s="1"/>
  <c r="F126" i="12" s="1"/>
  <c r="G126" i="12" s="1"/>
  <c r="H126" i="12" s="1"/>
  <c r="I126" i="12" s="1"/>
  <c r="R623" i="9"/>
  <c r="R624" i="9" s="1"/>
  <c r="R625" i="9" s="1"/>
  <c r="E58" i="12" s="1"/>
  <c r="F58" i="12" s="1"/>
  <c r="G58" i="12" s="1"/>
  <c r="H58" i="12" s="1"/>
  <c r="I58" i="12" s="1"/>
  <c r="R745" i="9"/>
  <c r="R746" i="9" s="1"/>
  <c r="R747" i="9" s="1"/>
  <c r="E63" i="12" s="1"/>
  <c r="F63" i="12" s="1"/>
  <c r="G63" i="12" s="1"/>
  <c r="H63" i="12" s="1"/>
  <c r="I63" i="12" s="1"/>
  <c r="R192" i="9"/>
  <c r="R193" i="9" s="1"/>
  <c r="R194" i="9" s="1"/>
  <c r="E40" i="12" s="1"/>
  <c r="F40" i="12" s="1"/>
  <c r="G40" i="12" s="1"/>
  <c r="H40" i="12" s="1"/>
  <c r="I40" i="12" s="1"/>
  <c r="R169" i="9"/>
  <c r="R170" i="9" s="1"/>
  <c r="R171" i="9" s="1"/>
  <c r="E39" i="12" s="1"/>
  <c r="F39" i="12" s="1"/>
  <c r="G39" i="12" s="1"/>
  <c r="H39" i="12" s="1"/>
  <c r="I39" i="12" s="1"/>
  <c r="R1410" i="9"/>
  <c r="R1411" i="9" s="1"/>
  <c r="R1412" i="9" s="1"/>
  <c r="E91" i="12" s="1"/>
  <c r="F91" i="12" s="1"/>
  <c r="G91" i="12" s="1"/>
  <c r="H91" i="12" s="1"/>
  <c r="I91" i="12" s="1"/>
  <c r="R1583" i="9"/>
  <c r="R1584" i="9" s="1"/>
  <c r="R1585" i="9" s="1"/>
  <c r="E98" i="12" s="1"/>
  <c r="F98" i="12" s="1"/>
  <c r="G98" i="12" s="1"/>
  <c r="H98" i="12" s="1"/>
  <c r="I98" i="12" s="1"/>
  <c r="R672" i="9"/>
  <c r="R673" i="9" s="1"/>
  <c r="R674" i="9" s="1"/>
  <c r="E60" i="12" s="1"/>
  <c r="F60" i="12" s="1"/>
  <c r="G60" i="12" s="1"/>
  <c r="H60" i="12" s="1"/>
  <c r="I60" i="12" s="1"/>
  <c r="R409" i="9"/>
  <c r="R410" i="9" s="1"/>
  <c r="R411" i="9" s="1"/>
  <c r="E49" i="12" s="1"/>
  <c r="F49" i="12" s="1"/>
  <c r="G49" i="12" s="1"/>
  <c r="H49" i="12" s="1"/>
  <c r="I49" i="12" s="1"/>
  <c r="R721" i="9"/>
  <c r="R722" i="9" s="1"/>
  <c r="R723" i="9" s="1"/>
  <c r="E62" i="12" s="1"/>
  <c r="F62" i="12" s="1"/>
  <c r="G62" i="12" s="1"/>
  <c r="H62" i="12" s="1"/>
  <c r="I62" i="12" s="1"/>
  <c r="R1099" i="9"/>
  <c r="R1100" i="9" s="1"/>
  <c r="R1101" i="9" s="1"/>
  <c r="E78" i="12" s="1"/>
  <c r="F78" i="12" s="1"/>
  <c r="G78" i="12" s="1"/>
  <c r="H78" i="12" s="1"/>
  <c r="I78" i="12" s="1"/>
  <c r="R1387" i="9"/>
  <c r="R1388" i="9" s="1"/>
  <c r="R1389" i="9" s="1"/>
  <c r="E90" i="12" s="1"/>
  <c r="F90" i="12" s="1"/>
  <c r="G90" i="12" s="1"/>
  <c r="H90" i="12" s="1"/>
  <c r="I90" i="12" s="1"/>
  <c r="R1961" i="9"/>
  <c r="R1962" i="9" s="1"/>
  <c r="R1963" i="9" s="1"/>
  <c r="E114" i="12" s="1"/>
  <c r="F114" i="12" s="1"/>
  <c r="G114" i="12" s="1"/>
  <c r="H114" i="12" s="1"/>
  <c r="I114" i="12" s="1"/>
  <c r="R1244" i="9"/>
  <c r="R1245" i="9" s="1"/>
  <c r="R1246" i="9" s="1"/>
  <c r="E84" i="12" s="1"/>
  <c r="F84" i="12" s="1"/>
  <c r="G84" i="12" s="1"/>
  <c r="H84" i="12" s="1"/>
  <c r="I84" i="12" s="1"/>
  <c r="R2573" i="9"/>
  <c r="R2574" i="9" s="1"/>
  <c r="R2575" i="9" s="1"/>
  <c r="T2568" i="9" s="1"/>
  <c r="W83" i="15" s="1"/>
  <c r="R2078" i="9"/>
  <c r="R2079" i="9" s="1"/>
  <c r="R2080" i="9" s="1"/>
  <c r="E119" i="12" s="1"/>
  <c r="F119" i="12" s="1"/>
  <c r="G119" i="12" s="1"/>
  <c r="H119" i="12" s="1"/>
  <c r="I119" i="12" s="1"/>
  <c r="R888" i="9"/>
  <c r="R889" i="9" s="1"/>
  <c r="R890" i="9" s="1"/>
  <c r="E69" i="12" s="1"/>
  <c r="F69" i="12" s="1"/>
  <c r="G69" i="12" s="1"/>
  <c r="H69" i="12" s="1"/>
  <c r="I69" i="12" s="1"/>
  <c r="R1313" i="9"/>
  <c r="R1314" i="9" s="1"/>
  <c r="R1315" i="9" s="1"/>
  <c r="E87" i="12" s="1"/>
  <c r="F87" i="12" s="1"/>
  <c r="G87" i="12" s="1"/>
  <c r="H87" i="12" s="1"/>
  <c r="I87" i="12" s="1"/>
  <c r="R2505" i="9"/>
  <c r="R2506" i="9" s="1"/>
  <c r="R2507" i="9" s="1"/>
  <c r="E124" i="12" s="1"/>
  <c r="F124" i="12" s="1"/>
  <c r="G124" i="12" s="1"/>
  <c r="H124" i="12" s="1"/>
  <c r="I124" i="12" s="1"/>
  <c r="R1175" i="9"/>
  <c r="R1176" i="9" s="1"/>
  <c r="R1177" i="9" s="1"/>
  <c r="E81" i="12" s="1"/>
  <c r="F81" i="12" s="1"/>
  <c r="G81" i="12" s="1"/>
  <c r="H81" i="12" s="1"/>
  <c r="I81" i="12" s="1"/>
  <c r="Q1306" i="9"/>
  <c r="R934" i="9"/>
  <c r="R935" i="9" s="1"/>
  <c r="R936" i="9" s="1"/>
  <c r="E71" i="12" s="1"/>
  <c r="F71" i="12" s="1"/>
  <c r="G71" i="12" s="1"/>
  <c r="H71" i="12" s="1"/>
  <c r="I71" i="12" s="1"/>
  <c r="R1628" i="9"/>
  <c r="R1629" i="9" s="1"/>
  <c r="R1630" i="9" s="1"/>
  <c r="E100" i="12" s="1"/>
  <c r="F100" i="12" s="1"/>
  <c r="G100" i="12" s="1"/>
  <c r="H100" i="12" s="1"/>
  <c r="I100" i="12" s="1"/>
  <c r="R123" i="9"/>
  <c r="R124" i="9" s="1"/>
  <c r="R125" i="9" s="1"/>
  <c r="E37" i="12" s="1"/>
  <c r="F37" i="12" s="1"/>
  <c r="G37" i="12" s="1"/>
  <c r="H37" i="12" s="1"/>
  <c r="I37" i="12" s="1"/>
  <c r="R1913" i="9"/>
  <c r="R1914" i="9" s="1"/>
  <c r="R1915" i="9" s="1"/>
  <c r="E112" i="12" s="1"/>
  <c r="F112" i="12" s="1"/>
  <c r="G112" i="12" s="1"/>
  <c r="H112" i="12" s="1"/>
  <c r="I112" i="12" s="1"/>
  <c r="R100" i="9"/>
  <c r="R101" i="9" s="1"/>
  <c r="R102" i="9" s="1"/>
  <c r="E36" i="12" s="1"/>
  <c r="F36" i="12" s="1"/>
  <c r="G36" i="12" s="1"/>
  <c r="H36" i="12" s="1"/>
  <c r="I36" i="12" s="1"/>
  <c r="R146" i="9"/>
  <c r="R147" i="9" s="1"/>
  <c r="R148" i="9" s="1"/>
  <c r="E38" i="12" s="1"/>
  <c r="F38" i="12" s="1"/>
  <c r="G38" i="12" s="1"/>
  <c r="H38" i="12" s="1"/>
  <c r="I38" i="12" s="1"/>
  <c r="R479" i="9"/>
  <c r="R480" i="9" s="1"/>
  <c r="R481" i="9" s="1"/>
  <c r="E52" i="12" s="1"/>
  <c r="F52" i="12" s="1"/>
  <c r="G52" i="12" s="1"/>
  <c r="H52" i="12" s="1"/>
  <c r="I52" i="12" s="1"/>
  <c r="R1026" i="9"/>
  <c r="R1027" i="9" s="1"/>
  <c r="R1028" i="9" s="1"/>
  <c r="E75" i="12" s="1"/>
  <c r="F75" i="12" s="1"/>
  <c r="G75" i="12" s="1"/>
  <c r="H75" i="12" s="1"/>
  <c r="I75" i="12" s="1"/>
  <c r="R1051" i="9"/>
  <c r="R1052" i="9" s="1"/>
  <c r="R1053" i="9" s="1"/>
  <c r="E76" i="12" s="1"/>
  <c r="F76" i="12" s="1"/>
  <c r="G76" i="12" s="1"/>
  <c r="H76" i="12" s="1"/>
  <c r="I76" i="12" s="1"/>
  <c r="R1362" i="9"/>
  <c r="R1363" i="9" s="1"/>
  <c r="R1364" i="9" s="1"/>
  <c r="E89" i="12" s="1"/>
  <c r="F89" i="12" s="1"/>
  <c r="G89" i="12" s="1"/>
  <c r="H89" i="12" s="1"/>
  <c r="I89" i="12" s="1"/>
  <c r="R2054" i="9"/>
  <c r="R2055" i="9" s="1"/>
  <c r="R2056" i="9" s="1"/>
  <c r="E118" i="12" s="1"/>
  <c r="F118" i="12" s="1"/>
  <c r="G118" i="12" s="1"/>
  <c r="H118" i="12" s="1"/>
  <c r="I118" i="12" s="1"/>
  <c r="R1199" i="9"/>
  <c r="R1200" i="9" s="1"/>
  <c r="R1201" i="9" s="1"/>
  <c r="E82" i="12" s="1"/>
  <c r="F82" i="12" s="1"/>
  <c r="G82" i="12" s="1"/>
  <c r="H82" i="12" s="1"/>
  <c r="I82" i="12" s="1"/>
  <c r="Q1260" i="9"/>
  <c r="R1003" i="9"/>
  <c r="R1004" i="9" s="1"/>
  <c r="R1005" i="9" s="1"/>
  <c r="E74" i="12" s="1"/>
  <c r="F74" i="12" s="1"/>
  <c r="G74" i="12" s="1"/>
  <c r="H74" i="12" s="1"/>
  <c r="I74" i="12" s="1"/>
  <c r="R1342" i="9"/>
  <c r="R1343" i="9" s="1"/>
  <c r="R1344" i="9" s="1"/>
  <c r="E88" i="12" s="1"/>
  <c r="F88" i="12" s="1"/>
  <c r="G88" i="12" s="1"/>
  <c r="H88" i="12" s="1"/>
  <c r="I88" i="12" s="1"/>
  <c r="R2008" i="9"/>
  <c r="R2009" i="9" s="1"/>
  <c r="R2010" i="9" s="1"/>
  <c r="E116" i="12" s="1"/>
  <c r="F116" i="12" s="1"/>
  <c r="G116" i="12" s="1"/>
  <c r="H116" i="12" s="1"/>
  <c r="I116" i="12" s="1"/>
  <c r="U510" i="9"/>
  <c r="U518" i="9" s="1"/>
  <c r="R520" i="9" s="1"/>
  <c r="U201" i="9"/>
  <c r="U207" i="9" s="1"/>
  <c r="R209" i="9" s="1"/>
  <c r="R1885" i="9"/>
  <c r="R1862" i="9"/>
  <c r="R2120" i="9"/>
  <c r="R1697" i="9"/>
  <c r="R2026" i="9"/>
  <c r="R1675" i="9"/>
  <c r="R1553" i="9"/>
  <c r="R1816" i="9"/>
  <c r="R1771" i="9"/>
  <c r="R1839" i="9"/>
  <c r="R1530" i="9"/>
  <c r="R1931" i="9"/>
  <c r="R2143" i="9"/>
  <c r="R1793" i="9"/>
  <c r="AB2523" i="9"/>
  <c r="R1722" i="9"/>
  <c r="AB2592" i="9"/>
  <c r="R1504" i="9"/>
  <c r="R1747" i="9"/>
  <c r="R1651" i="9"/>
  <c r="Q116" i="9"/>
  <c r="Q139" i="9"/>
  <c r="U300" i="9"/>
  <c r="U309" i="9" s="1"/>
  <c r="R311" i="9" s="1"/>
  <c r="Q331" i="9"/>
  <c r="R837" i="9"/>
  <c r="R952" i="9"/>
  <c r="R860" i="9"/>
  <c r="U274" i="9"/>
  <c r="U282" i="9" s="1"/>
  <c r="R284" i="9" s="1"/>
  <c r="R789" i="9"/>
  <c r="U441" i="9"/>
  <c r="U449" i="9" s="1"/>
  <c r="R451" i="9" s="1"/>
  <c r="R689" i="9"/>
  <c r="Q236" i="9"/>
  <c r="U802" i="9"/>
  <c r="U813" i="9" s="1"/>
  <c r="R381" i="9"/>
  <c r="R428" i="9"/>
  <c r="U346" i="9"/>
  <c r="U354" i="9" s="1"/>
  <c r="Q426" i="9"/>
  <c r="R333" i="9"/>
  <c r="Q260" i="9"/>
  <c r="R596" i="9"/>
  <c r="U1421" i="9"/>
  <c r="U1429" i="9" s="1"/>
  <c r="U558" i="9"/>
  <c r="U568" i="9" s="1"/>
  <c r="Q1673" i="9"/>
  <c r="R262" i="9"/>
  <c r="R238" i="9"/>
  <c r="Q379" i="9"/>
  <c r="U1444" i="9"/>
  <c r="U1452" i="9" s="1"/>
  <c r="Q1720" i="9"/>
  <c r="Q2141" i="9"/>
  <c r="Q1649" i="9"/>
  <c r="AE2606" i="9"/>
  <c r="AA2615" i="9"/>
  <c r="Q2094" i="9"/>
  <c r="U2085" i="9"/>
  <c r="U2094" i="9" s="1"/>
  <c r="F125" i="12"/>
  <c r="G125" i="12" s="1"/>
  <c r="H125" i="12" s="1"/>
  <c r="I125" i="12" s="1"/>
  <c r="AE2536" i="9"/>
  <c r="AE2544" i="9" s="1"/>
  <c r="AA2544" i="9"/>
  <c r="AE2559" i="9"/>
  <c r="AE2566" i="9" s="1"/>
  <c r="AA2566" i="9"/>
  <c r="AE2490" i="9"/>
  <c r="AE2498" i="9" s="1"/>
  <c r="AA2498" i="9"/>
  <c r="U1590" i="9"/>
  <c r="U1598" i="9" s="1"/>
  <c r="Q858" i="9" l="1"/>
  <c r="T1021" i="9"/>
  <c r="U117" i="15" s="1"/>
  <c r="T164" i="9"/>
  <c r="U81" i="15" s="1"/>
  <c r="T118" i="9"/>
  <c r="U79" i="15" s="1"/>
  <c r="T716" i="9"/>
  <c r="U104" i="15" s="1"/>
  <c r="T1405" i="9"/>
  <c r="U133" i="15" s="1"/>
  <c r="T1285" i="9"/>
  <c r="U128" i="15" s="1"/>
  <c r="T404" i="9"/>
  <c r="U91" i="15" s="1"/>
  <c r="T975" i="9"/>
  <c r="U115" i="15" s="1"/>
  <c r="T1262" i="9"/>
  <c r="U127" i="15" s="1"/>
  <c r="T644" i="9"/>
  <c r="U101" i="15" s="1"/>
  <c r="T2546" i="9"/>
  <c r="W81" i="15" s="1"/>
  <c r="T1239" i="9"/>
  <c r="U126" i="15" s="1"/>
  <c r="T187" i="9"/>
  <c r="U82" i="15" s="1"/>
  <c r="T546" i="9"/>
  <c r="U97" i="15" s="1"/>
  <c r="T1170" i="9"/>
  <c r="U123" i="15" s="1"/>
  <c r="T667" i="9"/>
  <c r="U102" i="15" s="1"/>
  <c r="E127" i="12"/>
  <c r="T1194" i="9"/>
  <c r="U124" i="15" s="1"/>
  <c r="T474" i="9"/>
  <c r="U94" i="15" s="1"/>
  <c r="T1623" i="9"/>
  <c r="V82" i="15" s="1"/>
  <c r="T1308" i="9"/>
  <c r="U129" i="15" s="1"/>
  <c r="T1956" i="9"/>
  <c r="V96" i="15" s="1"/>
  <c r="T2049" i="9"/>
  <c r="V100" i="15" s="1"/>
  <c r="T141" i="9"/>
  <c r="U80" i="15" s="1"/>
  <c r="T883" i="9"/>
  <c r="U111" i="15" s="1"/>
  <c r="T618" i="9"/>
  <c r="U100" i="15" s="1"/>
  <c r="T2592" i="9"/>
  <c r="W85" i="15" s="1"/>
  <c r="T497" i="9"/>
  <c r="U95" i="15" s="1"/>
  <c r="T1337" i="9"/>
  <c r="U130" i="15" s="1"/>
  <c r="T1357" i="9"/>
  <c r="U131" i="15" s="1"/>
  <c r="T1382" i="9"/>
  <c r="U132" i="15" s="1"/>
  <c r="T740" i="9"/>
  <c r="U105" i="15" s="1"/>
  <c r="T2073" i="9"/>
  <c r="V101" i="15" s="1"/>
  <c r="T1146" i="9"/>
  <c r="U122" i="15" s="1"/>
  <c r="E129" i="12"/>
  <c r="F129" i="12" s="1"/>
  <c r="G129" i="12" s="1"/>
  <c r="H129" i="12" s="1"/>
  <c r="I129" i="12" s="1"/>
  <c r="R2628" i="9"/>
  <c r="W87" i="15" s="1"/>
  <c r="R214" i="9"/>
  <c r="R215" i="9" s="1"/>
  <c r="R216" i="9" s="1"/>
  <c r="E41" i="12" s="1"/>
  <c r="F41" i="12" s="1"/>
  <c r="G41" i="12" s="1"/>
  <c r="H41" i="12" s="1"/>
  <c r="I41" i="12" s="1"/>
  <c r="R289" i="9"/>
  <c r="R290" i="9" s="1"/>
  <c r="R291" i="9" s="1"/>
  <c r="E44" i="12" s="1"/>
  <c r="F44" i="12" s="1"/>
  <c r="G44" i="12" s="1"/>
  <c r="H44" i="12" s="1"/>
  <c r="I44" i="12" s="1"/>
  <c r="R525" i="9"/>
  <c r="R526" i="9" s="1"/>
  <c r="R527" i="9" s="1"/>
  <c r="E54" i="12" s="1"/>
  <c r="F54" i="12" s="1"/>
  <c r="G54" i="12" s="1"/>
  <c r="H54" i="12" s="1"/>
  <c r="I54" i="12" s="1"/>
  <c r="R1798" i="9"/>
  <c r="R1799" i="9" s="1"/>
  <c r="R1800" i="9" s="1"/>
  <c r="E107" i="12" s="1"/>
  <c r="F107" i="12" s="1"/>
  <c r="G107" i="12" s="1"/>
  <c r="H107" i="12" s="1"/>
  <c r="I107" i="12" s="1"/>
  <c r="R433" i="9"/>
  <c r="R434" i="9" s="1"/>
  <c r="R435" i="9" s="1"/>
  <c r="E50" i="12" s="1"/>
  <c r="F50" i="12" s="1"/>
  <c r="G50" i="12" s="1"/>
  <c r="H50" i="12" s="1"/>
  <c r="I50" i="12" s="1"/>
  <c r="R865" i="9"/>
  <c r="R866" i="9" s="1"/>
  <c r="R867" i="9" s="1"/>
  <c r="E68" i="12" s="1"/>
  <c r="F68" i="12" s="1"/>
  <c r="G68" i="12" s="1"/>
  <c r="H68" i="12" s="1"/>
  <c r="I68" i="12" s="1"/>
  <c r="R2148" i="9"/>
  <c r="R2149" i="9" s="1"/>
  <c r="R2150" i="9" s="1"/>
  <c r="E122" i="12" s="1"/>
  <c r="F122" i="12" s="1"/>
  <c r="G122" i="12" s="1"/>
  <c r="H122" i="12" s="1"/>
  <c r="I122" i="12" s="1"/>
  <c r="R1680" i="9"/>
  <c r="R1681" i="9" s="1"/>
  <c r="R1682" i="9" s="1"/>
  <c r="E102" i="12" s="1"/>
  <c r="F102" i="12" s="1"/>
  <c r="G102" i="12" s="1"/>
  <c r="H102" i="12" s="1"/>
  <c r="I102" i="12" s="1"/>
  <c r="T1908" i="9"/>
  <c r="V94" i="15" s="1"/>
  <c r="R601" i="9"/>
  <c r="R602" i="9" s="1"/>
  <c r="R603" i="9" s="1"/>
  <c r="E57" i="12" s="1"/>
  <c r="F57" i="12" s="1"/>
  <c r="G57" i="12" s="1"/>
  <c r="H57" i="12" s="1"/>
  <c r="I57" i="12" s="1"/>
  <c r="R386" i="9"/>
  <c r="R387" i="9" s="1"/>
  <c r="R388" i="9" s="1"/>
  <c r="E48" i="12" s="1"/>
  <c r="F48" i="12" s="1"/>
  <c r="G48" i="12" s="1"/>
  <c r="H48" i="12" s="1"/>
  <c r="I48" i="12" s="1"/>
  <c r="R1656" i="9"/>
  <c r="R1657" i="9" s="1"/>
  <c r="R1658" i="9" s="1"/>
  <c r="E101" i="12" s="1"/>
  <c r="F101" i="12" s="1"/>
  <c r="G101" i="12" s="1"/>
  <c r="H101" i="12" s="1"/>
  <c r="I101" i="12" s="1"/>
  <c r="R1936" i="9"/>
  <c r="R1937" i="9" s="1"/>
  <c r="R1938" i="9" s="1"/>
  <c r="E113" i="12" s="1"/>
  <c r="F113" i="12" s="1"/>
  <c r="G113" i="12" s="1"/>
  <c r="H113" i="12" s="1"/>
  <c r="I113" i="12" s="1"/>
  <c r="R842" i="9"/>
  <c r="R843" i="9" s="1"/>
  <c r="R844" i="9" s="1"/>
  <c r="E67" i="12" s="1"/>
  <c r="F67" i="12" s="1"/>
  <c r="G67" i="12" s="1"/>
  <c r="H67" i="12" s="1"/>
  <c r="I67" i="12" s="1"/>
  <c r="R1752" i="9"/>
  <c r="R1753" i="9" s="1"/>
  <c r="R1754" i="9" s="1"/>
  <c r="E105" i="12" s="1"/>
  <c r="F105" i="12" s="1"/>
  <c r="G105" i="12" s="1"/>
  <c r="H105" i="12" s="1"/>
  <c r="I105" i="12" s="1"/>
  <c r="R1535" i="9"/>
  <c r="R1536" i="9" s="1"/>
  <c r="R1537" i="9" s="1"/>
  <c r="E96" i="12" s="1"/>
  <c r="F96" i="12" s="1"/>
  <c r="G96" i="12" s="1"/>
  <c r="H96" i="12" s="1"/>
  <c r="I96" i="12" s="1"/>
  <c r="R1702" i="9"/>
  <c r="R1703" i="9" s="1"/>
  <c r="R1704" i="9" s="1"/>
  <c r="E103" i="12" s="1"/>
  <c r="F103" i="12" s="1"/>
  <c r="G103" i="12" s="1"/>
  <c r="H103" i="12" s="1"/>
  <c r="I103" i="12" s="1"/>
  <c r="R694" i="9"/>
  <c r="R695" i="9" s="1"/>
  <c r="R696" i="9" s="1"/>
  <c r="E61" i="12" s="1"/>
  <c r="F61" i="12" s="1"/>
  <c r="G61" i="12" s="1"/>
  <c r="H61" i="12" s="1"/>
  <c r="I61" i="12" s="1"/>
  <c r="AB2597" i="9"/>
  <c r="AB2598" i="9" s="1"/>
  <c r="AB2599" i="9" s="1"/>
  <c r="E135" i="12" s="1"/>
  <c r="F135" i="12" s="1"/>
  <c r="G135" i="12" s="1"/>
  <c r="H135" i="12" s="1"/>
  <c r="I135" i="12" s="1"/>
  <c r="R1776" i="9"/>
  <c r="R1777" i="9" s="1"/>
  <c r="R1778" i="9" s="1"/>
  <c r="E106" i="12" s="1"/>
  <c r="F106" i="12" s="1"/>
  <c r="G106" i="12" s="1"/>
  <c r="H106" i="12" s="1"/>
  <c r="I106" i="12" s="1"/>
  <c r="R1867" i="9"/>
  <c r="R1868" i="9" s="1"/>
  <c r="R1869" i="9" s="1"/>
  <c r="R456" i="9"/>
  <c r="R457" i="9" s="1"/>
  <c r="R458" i="9" s="1"/>
  <c r="R316" i="9"/>
  <c r="R317" i="9" s="1"/>
  <c r="R318" i="9" s="1"/>
  <c r="E45" i="12" s="1"/>
  <c r="F45" i="12" s="1"/>
  <c r="G45" i="12" s="1"/>
  <c r="H45" i="12" s="1"/>
  <c r="I45" i="12" s="1"/>
  <c r="R1727" i="9"/>
  <c r="R1728" i="9" s="1"/>
  <c r="R1729" i="9" s="1"/>
  <c r="E104" i="12" s="1"/>
  <c r="F104" i="12" s="1"/>
  <c r="G104" i="12" s="1"/>
  <c r="H104" i="12" s="1"/>
  <c r="I104" i="12" s="1"/>
  <c r="R1821" i="9"/>
  <c r="R1822" i="9" s="1"/>
  <c r="R1823" i="9" s="1"/>
  <c r="E108" i="12" s="1"/>
  <c r="F108" i="12" s="1"/>
  <c r="G108" i="12" s="1"/>
  <c r="H108" i="12" s="1"/>
  <c r="I108" i="12" s="1"/>
  <c r="T998" i="9"/>
  <c r="U116" i="15" s="1"/>
  <c r="T2500" i="9"/>
  <c r="W77" i="15" s="1"/>
  <c r="T1094" i="9"/>
  <c r="U120" i="15" s="1"/>
  <c r="T1578" i="9"/>
  <c r="V80" i="15" s="1"/>
  <c r="U2628" i="9"/>
  <c r="W88" i="15" s="1"/>
  <c r="R957" i="9"/>
  <c r="R958" i="9" s="1"/>
  <c r="R959" i="9" s="1"/>
  <c r="E72" i="12" s="1"/>
  <c r="F72" i="12" s="1"/>
  <c r="G72" i="12" s="1"/>
  <c r="H72" i="12" s="1"/>
  <c r="I72" i="12" s="1"/>
  <c r="R243" i="9"/>
  <c r="R244" i="9" s="1"/>
  <c r="R245" i="9" s="1"/>
  <c r="E42" i="12" s="1"/>
  <c r="F42" i="12" s="1"/>
  <c r="G42" i="12" s="1"/>
  <c r="H42" i="12" s="1"/>
  <c r="I42" i="12" s="1"/>
  <c r="R338" i="9"/>
  <c r="R339" i="9" s="1"/>
  <c r="R340" i="9" s="1"/>
  <c r="E46" i="12" s="1"/>
  <c r="F46" i="12" s="1"/>
  <c r="G46" i="12" s="1"/>
  <c r="H46" i="12" s="1"/>
  <c r="I46" i="12" s="1"/>
  <c r="R911" i="9"/>
  <c r="R912" i="9" s="1"/>
  <c r="R913" i="9" s="1"/>
  <c r="E70" i="12" s="1"/>
  <c r="F70" i="12" s="1"/>
  <c r="G70" i="12" s="1"/>
  <c r="H70" i="12" s="1"/>
  <c r="I70" i="12" s="1"/>
  <c r="R1509" i="9"/>
  <c r="R1510" i="9" s="1"/>
  <c r="R1511" i="9" s="1"/>
  <c r="E95" i="12" s="1"/>
  <c r="F95" i="12" s="1"/>
  <c r="G95" i="12" s="1"/>
  <c r="H95" i="12" s="1"/>
  <c r="I95" i="12" s="1"/>
  <c r="R1844" i="9"/>
  <c r="R1845" i="9" s="1"/>
  <c r="R1846" i="9" s="1"/>
  <c r="E109" i="12" s="1"/>
  <c r="F109" i="12" s="1"/>
  <c r="G109" i="12" s="1"/>
  <c r="H109" i="12" s="1"/>
  <c r="I109" i="12" s="1"/>
  <c r="R2125" i="9"/>
  <c r="R2126" i="9" s="1"/>
  <c r="R2127" i="9" s="1"/>
  <c r="E121" i="12" s="1"/>
  <c r="F121" i="12" s="1"/>
  <c r="G121" i="12" s="1"/>
  <c r="H121" i="12" s="1"/>
  <c r="I121" i="12" s="1"/>
  <c r="R267" i="9"/>
  <c r="R268" i="9" s="1"/>
  <c r="R269" i="9" s="1"/>
  <c r="E43" i="12" s="1"/>
  <c r="F43" i="12" s="1"/>
  <c r="G43" i="12" s="1"/>
  <c r="H43" i="12" s="1"/>
  <c r="I43" i="12" s="1"/>
  <c r="R794" i="9"/>
  <c r="R795" i="9" s="1"/>
  <c r="R796" i="9" s="1"/>
  <c r="E65" i="12" s="1"/>
  <c r="F65" i="12" s="1"/>
  <c r="G65" i="12" s="1"/>
  <c r="H65" i="12" s="1"/>
  <c r="I65" i="12" s="1"/>
  <c r="R1222" i="9"/>
  <c r="R1223" i="9" s="1"/>
  <c r="R1224" i="9" s="1"/>
  <c r="E83" i="12" s="1"/>
  <c r="F83" i="12" s="1"/>
  <c r="G83" i="12" s="1"/>
  <c r="H83" i="12" s="1"/>
  <c r="I83" i="12" s="1"/>
  <c r="AB2528" i="9"/>
  <c r="AB2529" i="9" s="1"/>
  <c r="AB2530" i="9" s="1"/>
  <c r="E132" i="12" s="1"/>
  <c r="F132" i="12" s="1"/>
  <c r="G132" i="12" s="1"/>
  <c r="H132" i="12" s="1"/>
  <c r="I132" i="12" s="1"/>
  <c r="R1558" i="9"/>
  <c r="R1559" i="9" s="1"/>
  <c r="R1560" i="9" s="1"/>
  <c r="E97" i="12" s="1"/>
  <c r="F97" i="12" s="1"/>
  <c r="G97" i="12" s="1"/>
  <c r="H97" i="12" s="1"/>
  <c r="I97" i="12" s="1"/>
  <c r="T1046" i="9"/>
  <c r="U118" i="15" s="1"/>
  <c r="T95" i="9"/>
  <c r="U78" i="15" s="1"/>
  <c r="T929" i="9"/>
  <c r="U113" i="15" s="1"/>
  <c r="R2031" i="9"/>
  <c r="R2032" i="9" s="1"/>
  <c r="R2033" i="9" s="1"/>
  <c r="E117" i="12" s="1"/>
  <c r="F117" i="12" s="1"/>
  <c r="G117" i="12" s="1"/>
  <c r="H117" i="12" s="1"/>
  <c r="I117" i="12" s="1"/>
  <c r="T2003" i="9"/>
  <c r="V98" i="15" s="1"/>
  <c r="R1890" i="9"/>
  <c r="R1891" i="9" s="1"/>
  <c r="R1892" i="9" s="1"/>
  <c r="E111" i="12" s="1"/>
  <c r="F111" i="12" s="1"/>
  <c r="G111" i="12" s="1"/>
  <c r="H111" i="12" s="1"/>
  <c r="I111" i="12" s="1"/>
  <c r="AB2546" i="9"/>
  <c r="AB2500" i="9"/>
  <c r="R1600" i="9"/>
  <c r="R2096" i="9"/>
  <c r="AE2619" i="9"/>
  <c r="AB2619" i="9"/>
  <c r="AB2568" i="9"/>
  <c r="R1431" i="9"/>
  <c r="R1454" i="9"/>
  <c r="R815" i="9"/>
  <c r="R356" i="9"/>
  <c r="R570" i="9"/>
  <c r="AE2615" i="9"/>
  <c r="T906" i="9" l="1"/>
  <c r="U112" i="15" s="1"/>
  <c r="T428" i="9"/>
  <c r="U92" i="15" s="1"/>
  <c r="T952" i="9"/>
  <c r="U114" i="15" s="1"/>
  <c r="T1675" i="9"/>
  <c r="V84" i="15" s="1"/>
  <c r="T2143" i="9"/>
  <c r="V104" i="15" s="1"/>
  <c r="T209" i="9"/>
  <c r="U83" i="15" s="1"/>
  <c r="T789" i="9"/>
  <c r="U107" i="15" s="1"/>
  <c r="T689" i="9"/>
  <c r="U103" i="15" s="1"/>
  <c r="T596" i="9"/>
  <c r="U99" i="15" s="1"/>
  <c r="T1747" i="9"/>
  <c r="V87" i="15" s="1"/>
  <c r="R55" i="12"/>
  <c r="F127" i="12"/>
  <c r="G127" i="12" s="1"/>
  <c r="H127" i="12" s="1"/>
  <c r="I127" i="12" s="1"/>
  <c r="R49" i="12"/>
  <c r="E51" i="12"/>
  <c r="F51" i="12" s="1"/>
  <c r="G51" i="12" s="1"/>
  <c r="H51" i="12" s="1"/>
  <c r="I51" i="12" s="1"/>
  <c r="T451" i="9"/>
  <c r="U93" i="15" s="1"/>
  <c r="T311" i="9"/>
  <c r="U87" i="15" s="1"/>
  <c r="T381" i="9"/>
  <c r="U90" i="15" s="1"/>
  <c r="T1504" i="9"/>
  <c r="V77" i="15" s="1"/>
  <c r="T262" i="9"/>
  <c r="U85" i="15" s="1"/>
  <c r="T1793" i="9"/>
  <c r="V89" i="15" s="1"/>
  <c r="T238" i="9"/>
  <c r="U84" i="15" s="1"/>
  <c r="T1553" i="9"/>
  <c r="V79" i="15" s="1"/>
  <c r="T520" i="9"/>
  <c r="U96" i="15" s="1"/>
  <c r="R61" i="12"/>
  <c r="AD2523" i="9"/>
  <c r="W80" i="15" s="1"/>
  <c r="T2120" i="9"/>
  <c r="V103" i="15" s="1"/>
  <c r="T333" i="9"/>
  <c r="U88" i="15" s="1"/>
  <c r="T860" i="9"/>
  <c r="U110" i="15" s="1"/>
  <c r="T284" i="9"/>
  <c r="U86" i="15" s="1"/>
  <c r="T1217" i="9"/>
  <c r="U125" i="15" s="1"/>
  <c r="T1839" i="9"/>
  <c r="V91" i="15" s="1"/>
  <c r="AD2592" i="9"/>
  <c r="W86" i="15" s="1"/>
  <c r="T837" i="9"/>
  <c r="U109" i="15" s="1"/>
  <c r="E110" i="12"/>
  <c r="F110" i="12" s="1"/>
  <c r="G110" i="12" s="1"/>
  <c r="H110" i="12" s="1"/>
  <c r="I110" i="12" s="1"/>
  <c r="T1862" i="9"/>
  <c r="V92" i="15" s="1"/>
  <c r="R1436" i="9"/>
  <c r="R1437" i="9" s="1"/>
  <c r="R1438" i="9" s="1"/>
  <c r="E92" i="12" s="1"/>
  <c r="F92" i="12" s="1"/>
  <c r="G92" i="12" s="1"/>
  <c r="H92" i="12" s="1"/>
  <c r="I92" i="12" s="1"/>
  <c r="AB2624" i="9"/>
  <c r="AB2625" i="9" s="1"/>
  <c r="AB2626" i="9" s="1"/>
  <c r="R361" i="9"/>
  <c r="R362" i="9" s="1"/>
  <c r="R363" i="9" s="1"/>
  <c r="E47" i="12" s="1"/>
  <c r="R1605" i="9"/>
  <c r="R1606" i="9" s="1"/>
  <c r="R1607" i="9" s="1"/>
  <c r="E99" i="12" s="1"/>
  <c r="F99" i="12" s="1"/>
  <c r="G99" i="12" s="1"/>
  <c r="H99" i="12" s="1"/>
  <c r="I99" i="12" s="1"/>
  <c r="T1816" i="9"/>
  <c r="V90" i="15" s="1"/>
  <c r="T1697" i="9"/>
  <c r="V85" i="15" s="1"/>
  <c r="T1931" i="9"/>
  <c r="V95" i="15" s="1"/>
  <c r="AB2573" i="9"/>
  <c r="AB2574" i="9" s="1"/>
  <c r="AB2575" i="9" s="1"/>
  <c r="E134" i="12" s="1"/>
  <c r="F134" i="12" s="1"/>
  <c r="G134" i="12" s="1"/>
  <c r="H134" i="12" s="1"/>
  <c r="I134" i="12" s="1"/>
  <c r="AB2551" i="9"/>
  <c r="AB2552" i="9" s="1"/>
  <c r="AB2553" i="9" s="1"/>
  <c r="E133" i="12" s="1"/>
  <c r="F133" i="12" s="1"/>
  <c r="G133" i="12" s="1"/>
  <c r="H133" i="12" s="1"/>
  <c r="I133" i="12" s="1"/>
  <c r="R575" i="9"/>
  <c r="R576" i="9" s="1"/>
  <c r="R577" i="9" s="1"/>
  <c r="E56" i="12" s="1"/>
  <c r="F56" i="12" s="1"/>
  <c r="G56" i="12" s="1"/>
  <c r="H56" i="12" s="1"/>
  <c r="I56" i="12" s="1"/>
  <c r="R2101" i="9"/>
  <c r="R2102" i="9" s="1"/>
  <c r="R2103" i="9" s="1"/>
  <c r="E120" i="12" s="1"/>
  <c r="F120" i="12" s="1"/>
  <c r="G120" i="12" s="1"/>
  <c r="H120" i="12" s="1"/>
  <c r="I120" i="12" s="1"/>
  <c r="R820" i="9"/>
  <c r="R821" i="9" s="1"/>
  <c r="R822" i="9" s="1"/>
  <c r="E66" i="12" s="1"/>
  <c r="F66" i="12" s="1"/>
  <c r="G66" i="12" s="1"/>
  <c r="H66" i="12" s="1"/>
  <c r="I66" i="12" s="1"/>
  <c r="AB2505" i="9"/>
  <c r="AB2506" i="9" s="1"/>
  <c r="AB2507" i="9" s="1"/>
  <c r="E131" i="12" s="1"/>
  <c r="F131" i="12" s="1"/>
  <c r="G131" i="12" s="1"/>
  <c r="H131" i="12" s="1"/>
  <c r="I131" i="12" s="1"/>
  <c r="R1459" i="9"/>
  <c r="R1460" i="9" s="1"/>
  <c r="R1461" i="9" s="1"/>
  <c r="E93" i="12" s="1"/>
  <c r="F93" i="12" s="1"/>
  <c r="G93" i="12" s="1"/>
  <c r="H93" i="12" s="1"/>
  <c r="I93" i="12" s="1"/>
  <c r="T1722" i="9"/>
  <c r="V86" i="15" s="1"/>
  <c r="T1771" i="9"/>
  <c r="V88" i="15" s="1"/>
  <c r="T1530" i="9"/>
  <c r="V78" i="15" s="1"/>
  <c r="T1651" i="9"/>
  <c r="V83" i="15" s="1"/>
  <c r="T2026" i="9"/>
  <c r="V99" i="15" s="1"/>
  <c r="T1885" i="9"/>
  <c r="V93" i="15" s="1"/>
  <c r="AE2624" i="9"/>
  <c r="T2096" i="9" l="1"/>
  <c r="V102" i="15" s="1"/>
  <c r="U60" i="12"/>
  <c r="AD2568" i="9"/>
  <c r="W84" i="15" s="1"/>
  <c r="T1431" i="9"/>
  <c r="U134" i="15" s="1"/>
  <c r="U48" i="12"/>
  <c r="R60" i="12"/>
  <c r="R64" i="12" s="1"/>
  <c r="T815" i="9"/>
  <c r="U108" i="15" s="1"/>
  <c r="R54" i="12"/>
  <c r="T1454" i="9"/>
  <c r="U135" i="15" s="1"/>
  <c r="T570" i="9"/>
  <c r="U98" i="15" s="1"/>
  <c r="T1600" i="9"/>
  <c r="V81" i="15" s="1"/>
  <c r="AD2500" i="9"/>
  <c r="W78" i="15" s="1"/>
  <c r="T356" i="9"/>
  <c r="U89" i="15" s="1"/>
  <c r="E136" i="12"/>
  <c r="F136" i="12" s="1"/>
  <c r="G136" i="12" s="1"/>
  <c r="H136" i="12" s="1"/>
  <c r="I136" i="12" s="1"/>
  <c r="AB2628" i="9"/>
  <c r="W89" i="15" s="1"/>
  <c r="R48" i="12"/>
  <c r="R52" i="12" s="1"/>
  <c r="F47" i="12"/>
  <c r="G47" i="12" s="1"/>
  <c r="H47" i="12" s="1"/>
  <c r="I47" i="12" s="1"/>
  <c r="U54" i="12"/>
  <c r="AD2546" i="9"/>
  <c r="W82" i="15" s="1"/>
  <c r="AE2625" i="9"/>
  <c r="AE2626" i="9" s="1"/>
  <c r="R58" i="12" l="1"/>
  <c r="E137" i="12"/>
  <c r="U49" i="12" s="1"/>
  <c r="U52" i="12" s="1"/>
  <c r="AE2628" i="9"/>
  <c r="W90" i="15" s="1"/>
  <c r="Y137" i="15" s="1"/>
  <c r="AD77" i="15" s="1"/>
  <c r="AD79" i="15" l="1"/>
  <c r="Q109" i="12"/>
  <c r="AE77" i="15"/>
  <c r="U55" i="12"/>
  <c r="U58" i="12" s="1"/>
  <c r="U61" i="12"/>
  <c r="U64" i="12" s="1"/>
  <c r="F137" i="12"/>
  <c r="G137" i="12" s="1"/>
  <c r="H137" i="12" s="1"/>
  <c r="I137" i="12" s="1"/>
  <c r="L69" i="12" l="1"/>
  <c r="L71" i="12" s="1"/>
  <c r="X85" i="12"/>
  <c r="Q107" i="12" l="1"/>
  <c r="AF8" i="17"/>
  <c r="Q108" i="12"/>
  <c r="AF14" i="17" s="1"/>
  <c r="X92" i="12"/>
  <c r="AD92" i="12" s="1"/>
  <c r="X91" i="12"/>
  <c r="AD91" i="12" s="1"/>
  <c r="R80" i="12"/>
  <c r="X15" i="17" s="1"/>
  <c r="AF18" i="17" l="1"/>
  <c r="AQ8" i="17"/>
  <c r="AF11" i="17"/>
  <c r="Y92" i="12"/>
  <c r="AA92" i="12"/>
  <c r="AC92" i="12" s="1"/>
  <c r="Z92" i="12"/>
  <c r="AB92" i="12" s="1"/>
  <c r="X105" i="12"/>
  <c r="X98" i="12"/>
  <c r="X99" i="12"/>
  <c r="X106" i="12"/>
  <c r="Z91" i="12"/>
  <c r="AB91" i="12" s="1"/>
  <c r="AA91" i="12"/>
  <c r="AC91" i="12" s="1"/>
  <c r="Y91" i="12"/>
  <c r="Y93" i="12" s="1"/>
  <c r="Y94" i="12" s="1"/>
  <c r="Q100" i="12"/>
  <c r="R100" i="12" s="1"/>
  <c r="Q99" i="12"/>
  <c r="AG92" i="12"/>
  <c r="AI92" i="12" s="1"/>
  <c r="AF92" i="12"/>
  <c r="AH92" i="12" s="1"/>
  <c r="AJ92" i="12"/>
  <c r="AE92" i="12"/>
  <c r="AF91" i="12"/>
  <c r="AH91" i="12" s="1"/>
  <c r="AJ91" i="12"/>
  <c r="AG91" i="12"/>
  <c r="AI91" i="12" s="1"/>
  <c r="AE91" i="12"/>
  <c r="S80" i="12"/>
  <c r="Y15" i="17" s="1"/>
  <c r="M15" i="17"/>
  <c r="AG15" i="17" s="1"/>
  <c r="AR15" i="17" s="1"/>
  <c r="Q71" i="12"/>
  <c r="R110" i="12" s="1"/>
  <c r="S110" i="12" s="1"/>
  <c r="T110" i="12" s="1"/>
  <c r="U110" i="12" s="1"/>
  <c r="AQ9" i="17" l="1"/>
  <c r="AQ11" i="17" s="1"/>
  <c r="AQ12" i="17" s="1"/>
  <c r="AB93" i="12"/>
  <c r="AB94" i="12" s="1"/>
  <c r="L8" i="17"/>
  <c r="Q111" i="12"/>
  <c r="R111" i="12" s="1"/>
  <c r="AC93" i="12"/>
  <c r="AC94" i="12" s="1"/>
  <c r="AD106" i="12"/>
  <c r="Y106" i="12"/>
  <c r="AA106" i="12"/>
  <c r="AC106" i="12" s="1"/>
  <c r="Z106" i="12"/>
  <c r="AB106" i="12" s="1"/>
  <c r="AD99" i="12"/>
  <c r="AA99" i="12"/>
  <c r="AC99" i="12" s="1"/>
  <c r="Z99" i="12"/>
  <c r="AB99" i="12" s="1"/>
  <c r="Y99" i="12"/>
  <c r="AD98" i="12"/>
  <c r="Y98" i="12"/>
  <c r="AA98" i="12"/>
  <c r="AC98" i="12" s="1"/>
  <c r="Z98" i="12"/>
  <c r="AB98" i="12" s="1"/>
  <c r="AD105" i="12"/>
  <c r="Y105" i="12"/>
  <c r="Z105" i="12"/>
  <c r="AB105" i="12" s="1"/>
  <c r="AA105" i="12"/>
  <c r="AC105" i="12" s="1"/>
  <c r="AH93" i="12"/>
  <c r="AE93" i="12"/>
  <c r="AE94" i="12" s="1"/>
  <c r="X72" i="12"/>
  <c r="X71" i="12"/>
  <c r="Q74" i="12"/>
  <c r="AI93" i="12"/>
  <c r="AK91" i="12"/>
  <c r="AL91" i="12"/>
  <c r="AM91" i="12"/>
  <c r="AP91" i="12"/>
  <c r="AQ91" i="12" s="1"/>
  <c r="AP92" i="12"/>
  <c r="AQ92" i="12" s="1"/>
  <c r="AM92" i="12"/>
  <c r="AL92" i="12"/>
  <c r="AK92" i="12"/>
  <c r="T80" i="12"/>
  <c r="Z15" i="17" s="1"/>
  <c r="N15" i="17"/>
  <c r="AH15" i="17" s="1"/>
  <c r="AS15" i="17" s="1"/>
  <c r="X79" i="12"/>
  <c r="X78" i="12"/>
  <c r="Q73" i="12"/>
  <c r="R71" i="12"/>
  <c r="M8" i="17" s="1"/>
  <c r="X8" i="17" s="1"/>
  <c r="X9" i="17" s="1"/>
  <c r="Q72" i="12"/>
  <c r="AH94" i="12" l="1"/>
  <c r="AI94" i="12"/>
  <c r="Y107" i="12"/>
  <c r="Y108" i="12" s="1"/>
  <c r="W8" i="17"/>
  <c r="L18" i="17"/>
  <c r="L14" i="17"/>
  <c r="W9" i="17"/>
  <c r="W11" i="17" s="1"/>
  <c r="AC107" i="12"/>
  <c r="AC108" i="12" s="1"/>
  <c r="AE98" i="12"/>
  <c r="AJ98" i="12"/>
  <c r="AG98" i="12"/>
  <c r="AI98" i="12" s="1"/>
  <c r="AF98" i="12"/>
  <c r="AH98" i="12" s="1"/>
  <c r="AE105" i="12"/>
  <c r="AJ105" i="12"/>
  <c r="AG105" i="12"/>
  <c r="AI105" i="12" s="1"/>
  <c r="AF105" i="12"/>
  <c r="AH105" i="12" s="1"/>
  <c r="AB100" i="12"/>
  <c r="AB101" i="12" s="1"/>
  <c r="AG99" i="12"/>
  <c r="AI99" i="12" s="1"/>
  <c r="AF99" i="12"/>
  <c r="AH99" i="12" s="1"/>
  <c r="AE99" i="12"/>
  <c r="AJ99" i="12"/>
  <c r="AB107" i="12"/>
  <c r="AB108" i="12" s="1"/>
  <c r="AC100" i="12"/>
  <c r="AC101" i="12" s="1"/>
  <c r="Y100" i="12"/>
  <c r="Y101" i="12" s="1"/>
  <c r="AJ106" i="12"/>
  <c r="AF106" i="12"/>
  <c r="AH106" i="12" s="1"/>
  <c r="AG106" i="12"/>
  <c r="AI106" i="12" s="1"/>
  <c r="AE106" i="12"/>
  <c r="AK93" i="12"/>
  <c r="AK94" i="12" s="1"/>
  <c r="Z78" i="12"/>
  <c r="AB78" i="12" s="1"/>
  <c r="AA78" i="12"/>
  <c r="AC78" i="12" s="1"/>
  <c r="Y78" i="12"/>
  <c r="AA79" i="12"/>
  <c r="AC79" i="12" s="1"/>
  <c r="Y79" i="12"/>
  <c r="Z79" i="12"/>
  <c r="AB79" i="12" s="1"/>
  <c r="AA71" i="12"/>
  <c r="AC71" i="12" s="1"/>
  <c r="Z71" i="12"/>
  <c r="AB71" i="12" s="1"/>
  <c r="Y71" i="12"/>
  <c r="AQ93" i="12"/>
  <c r="Z72" i="12"/>
  <c r="AB72" i="12" s="1"/>
  <c r="AA72" i="12"/>
  <c r="AC72" i="12" s="1"/>
  <c r="Y72" i="12"/>
  <c r="E9" i="17"/>
  <c r="E10" i="17" s="1"/>
  <c r="E19" i="17" s="1"/>
  <c r="AS91" i="12"/>
  <c r="AU91" i="12" s="1"/>
  <c r="AO91" i="12"/>
  <c r="AR92" i="12"/>
  <c r="AT92" i="12" s="1"/>
  <c r="AN92" i="12"/>
  <c r="AO92" i="12"/>
  <c r="AS92" i="12"/>
  <c r="AU92" i="12" s="1"/>
  <c r="AR91" i="12"/>
  <c r="AT91" i="12" s="1"/>
  <c r="AN91" i="12"/>
  <c r="U80" i="12"/>
  <c r="O15" i="17"/>
  <c r="AI15" i="17" s="1"/>
  <c r="AT15" i="17" s="1"/>
  <c r="AD71" i="12"/>
  <c r="AD72" i="12"/>
  <c r="AD78" i="12"/>
  <c r="AD79" i="12"/>
  <c r="R72" i="12"/>
  <c r="S72" i="12" s="1"/>
  <c r="T72" i="12" s="1"/>
  <c r="U72" i="12" s="1"/>
  <c r="R73" i="12"/>
  <c r="S73" i="12" s="1"/>
  <c r="T73" i="12" s="1"/>
  <c r="U73" i="12" s="1"/>
  <c r="S71" i="12"/>
  <c r="N8" i="17" s="1"/>
  <c r="Y8" i="17" s="1"/>
  <c r="Y9" i="17" s="1"/>
  <c r="M14" i="17" l="1"/>
  <c r="S111" i="12"/>
  <c r="AI107" i="12"/>
  <c r="AI108" i="12" s="1"/>
  <c r="AH107" i="12"/>
  <c r="AH108" i="12" s="1"/>
  <c r="AL105" i="12"/>
  <c r="AP105" i="12"/>
  <c r="AQ105" i="12" s="1"/>
  <c r="AK105" i="12"/>
  <c r="AM105" i="12"/>
  <c r="AK99" i="12"/>
  <c r="AP99" i="12"/>
  <c r="AQ99" i="12" s="1"/>
  <c r="AM99" i="12"/>
  <c r="AL99" i="12"/>
  <c r="AE107" i="12"/>
  <c r="AE108" i="12" s="1"/>
  <c r="AH100" i="12"/>
  <c r="AH101" i="12" s="1"/>
  <c r="AI100" i="12"/>
  <c r="AI101" i="12" s="1"/>
  <c r="AT93" i="12"/>
  <c r="AT94" i="12" s="1"/>
  <c r="AP98" i="12"/>
  <c r="AQ98" i="12" s="1"/>
  <c r="AL98" i="12"/>
  <c r="AK98" i="12"/>
  <c r="AM98" i="12"/>
  <c r="AK106" i="12"/>
  <c r="AL106" i="12"/>
  <c r="AP106" i="12"/>
  <c r="AQ106" i="12" s="1"/>
  <c r="AM106" i="12"/>
  <c r="AE100" i="12"/>
  <c r="AE101" i="12" s="1"/>
  <c r="AN93" i="12"/>
  <c r="AN94" i="12" s="1"/>
  <c r="AJ72" i="12"/>
  <c r="AF72" i="12"/>
  <c r="AH72" i="12" s="1"/>
  <c r="AG72" i="12"/>
  <c r="AI72" i="12" s="1"/>
  <c r="AE72" i="12"/>
  <c r="AJ71" i="12"/>
  <c r="AG71" i="12"/>
  <c r="AI71" i="12" s="1"/>
  <c r="AF71" i="12"/>
  <c r="AH71" i="12" s="1"/>
  <c r="AE71" i="12"/>
  <c r="AG78" i="12"/>
  <c r="AI78" i="12" s="1"/>
  <c r="AF78" i="12"/>
  <c r="AH78" i="12" s="1"/>
  <c r="AF79" i="12"/>
  <c r="AH79" i="12" s="1"/>
  <c r="AG79" i="12"/>
  <c r="AI79" i="12" s="1"/>
  <c r="E21" i="17"/>
  <c r="E22" i="17"/>
  <c r="AO93" i="12"/>
  <c r="AO94" i="12" s="1"/>
  <c r="AU93" i="12"/>
  <c r="AU94" i="12" s="1"/>
  <c r="Y80" i="12"/>
  <c r="Y81" i="12" s="1"/>
  <c r="AC80" i="12"/>
  <c r="AC81" i="12" s="1"/>
  <c r="P15" i="17"/>
  <c r="AJ15" i="17" s="1"/>
  <c r="AU15" i="17" s="1"/>
  <c r="AA15" i="17"/>
  <c r="AE79" i="12"/>
  <c r="AJ79" i="12"/>
  <c r="AB80" i="12"/>
  <c r="AB81" i="12" s="1"/>
  <c r="AC73" i="12"/>
  <c r="AC74" i="12" s="1"/>
  <c r="AE78" i="12"/>
  <c r="AJ78" i="12"/>
  <c r="Y73" i="12"/>
  <c r="Y74" i="12" s="1"/>
  <c r="AB73" i="12"/>
  <c r="AB74" i="12" s="1"/>
  <c r="T71" i="12"/>
  <c r="O8" i="17" s="1"/>
  <c r="Z8" i="17" s="1"/>
  <c r="Z9" i="17" s="1"/>
  <c r="AK100" i="12" l="1"/>
  <c r="AK101" i="12" s="1"/>
  <c r="T111" i="12"/>
  <c r="N14" i="17"/>
  <c r="AK107" i="12"/>
  <c r="AK108" i="12" s="1"/>
  <c r="AS98" i="12"/>
  <c r="AU98" i="12" s="1"/>
  <c r="AO98" i="12"/>
  <c r="AR99" i="12"/>
  <c r="AT99" i="12" s="1"/>
  <c r="AN99" i="12"/>
  <c r="AS99" i="12"/>
  <c r="AU99" i="12" s="1"/>
  <c r="AO99" i="12"/>
  <c r="AN98" i="12"/>
  <c r="AR98" i="12"/>
  <c r="AT98" i="12" s="1"/>
  <c r="AQ100" i="12"/>
  <c r="AO105" i="12"/>
  <c r="AS105" i="12"/>
  <c r="AU105" i="12" s="1"/>
  <c r="AS106" i="12"/>
  <c r="AU106" i="12" s="1"/>
  <c r="AO106" i="12"/>
  <c r="AR106" i="12"/>
  <c r="AT106" i="12" s="1"/>
  <c r="AN106" i="12"/>
  <c r="AQ107" i="12"/>
  <c r="AR105" i="12"/>
  <c r="AT105" i="12" s="1"/>
  <c r="AN105" i="12"/>
  <c r="AM79" i="12"/>
  <c r="AS79" i="12" s="1"/>
  <c r="AL79" i="12"/>
  <c r="AR79" i="12" s="1"/>
  <c r="AL71" i="12"/>
  <c r="AM71" i="12"/>
  <c r="AK71" i="12"/>
  <c r="AL78" i="12"/>
  <c r="AR78" i="12" s="1"/>
  <c r="AM78" i="12"/>
  <c r="AS78" i="12" s="1"/>
  <c r="AP72" i="12"/>
  <c r="AQ72" i="12" s="1"/>
  <c r="AK72" i="12"/>
  <c r="AL72" i="12"/>
  <c r="AM72" i="12"/>
  <c r="E23" i="17"/>
  <c r="AH80" i="12"/>
  <c r="AH81" i="12" s="1"/>
  <c r="R107" i="12"/>
  <c r="R99" i="12"/>
  <c r="S99" i="12" s="1"/>
  <c r="T99" i="12" s="1"/>
  <c r="U99" i="12" s="1"/>
  <c r="R108" i="12"/>
  <c r="AG14" i="17" s="1"/>
  <c r="AI80" i="12"/>
  <c r="AI81" i="12" s="1"/>
  <c r="AE80" i="12"/>
  <c r="AE81" i="12" s="1"/>
  <c r="AE73" i="12"/>
  <c r="AE74" i="12" s="1"/>
  <c r="AK79" i="12"/>
  <c r="AP79" i="12"/>
  <c r="AQ79" i="12" s="1"/>
  <c r="AP71" i="12"/>
  <c r="S100" i="12"/>
  <c r="T100" i="12" s="1"/>
  <c r="U100" i="12" s="1"/>
  <c r="R98" i="12"/>
  <c r="AG8" i="17" s="1"/>
  <c r="AK78" i="12"/>
  <c r="AP78" i="12"/>
  <c r="AQ78" i="12" s="1"/>
  <c r="AH73" i="12"/>
  <c r="AH74" i="12" s="1"/>
  <c r="AI73" i="12"/>
  <c r="AI74" i="12" s="1"/>
  <c r="U71" i="12"/>
  <c r="P8" i="17" s="1"/>
  <c r="AA8" i="17" s="1"/>
  <c r="AA9" i="17" s="1"/>
  <c r="AG18" i="17" l="1"/>
  <c r="AR8" i="17"/>
  <c r="AR9" i="17" s="1"/>
  <c r="AR11" i="17" s="1"/>
  <c r="AG11" i="17"/>
  <c r="U111" i="12"/>
  <c r="P14" i="17" s="1"/>
  <c r="O14" i="17"/>
  <c r="AN100" i="12"/>
  <c r="AN101" i="12" s="1"/>
  <c r="AU107" i="12"/>
  <c r="AU108" i="12" s="1"/>
  <c r="AT100" i="12"/>
  <c r="AT101" i="12" s="1"/>
  <c r="AO107" i="12"/>
  <c r="AO108" i="12" s="1"/>
  <c r="AN107" i="12"/>
  <c r="AN108" i="12" s="1"/>
  <c r="AO100" i="12"/>
  <c r="AO101" i="12" s="1"/>
  <c r="AT107" i="12"/>
  <c r="AT108" i="12" s="1"/>
  <c r="AU100" i="12"/>
  <c r="AU101" i="12" s="1"/>
  <c r="L11" i="17"/>
  <c r="AQ71" i="12"/>
  <c r="AQ73" i="12" s="1"/>
  <c r="AS72" i="12"/>
  <c r="AU72" i="12" s="1"/>
  <c r="AO72" i="12"/>
  <c r="AS71" i="12"/>
  <c r="AU71" i="12" s="1"/>
  <c r="AO71" i="12"/>
  <c r="AN72" i="12"/>
  <c r="AR72" i="12"/>
  <c r="AT72" i="12" s="1"/>
  <c r="AN71" i="12"/>
  <c r="AR71" i="12"/>
  <c r="AT71" i="12" s="1"/>
  <c r="S107" i="12"/>
  <c r="AK80" i="12"/>
  <c r="AK81" i="12" s="1"/>
  <c r="AK73" i="12"/>
  <c r="AK74" i="12" s="1"/>
  <c r="AN79" i="12"/>
  <c r="AT79" i="12"/>
  <c r="AN78" i="12"/>
  <c r="AT78" i="12"/>
  <c r="S98" i="12"/>
  <c r="AH8" i="17" s="1"/>
  <c r="AO79" i="12"/>
  <c r="AU79" i="12"/>
  <c r="AQ80" i="12"/>
  <c r="AO78" i="12"/>
  <c r="AU78" i="12"/>
  <c r="AS8" i="17" l="1"/>
  <c r="AS9" i="17" s="1"/>
  <c r="AS11" i="17" s="1"/>
  <c r="AH18" i="17"/>
  <c r="AH11" i="17"/>
  <c r="AR12" i="17"/>
  <c r="AR18" i="17"/>
  <c r="AR20" i="17" s="1"/>
  <c r="AR21" i="17" s="1"/>
  <c r="AR22" i="17" s="1"/>
  <c r="T107" i="12"/>
  <c r="AU80" i="12"/>
  <c r="AU81" i="12" s="1"/>
  <c r="AT80" i="12"/>
  <c r="AT81" i="12" s="1"/>
  <c r="W12" i="17"/>
  <c r="X11" i="17"/>
  <c r="X18" i="17" s="1"/>
  <c r="X20" i="17" s="1"/>
  <c r="Y11" i="17"/>
  <c r="Y18" i="17" s="1"/>
  <c r="Y20" i="17" s="1"/>
  <c r="AO73" i="12"/>
  <c r="AO74" i="12" s="1"/>
  <c r="AO80" i="12"/>
  <c r="AO81" i="12" s="1"/>
  <c r="AT73" i="12"/>
  <c r="AT74" i="12" s="1"/>
  <c r="AU73" i="12"/>
  <c r="AU74" i="12" s="1"/>
  <c r="AN73" i="12"/>
  <c r="AN74" i="12" s="1"/>
  <c r="T98" i="12"/>
  <c r="AI8" i="17" s="1"/>
  <c r="AN80" i="12"/>
  <c r="AN81" i="12" s="1"/>
  <c r="AT8" i="17" l="1"/>
  <c r="AT9" i="17" s="1"/>
  <c r="AT11" i="17" s="1"/>
  <c r="AI18" i="17"/>
  <c r="AI11" i="17"/>
  <c r="AS12" i="17"/>
  <c r="AS18" i="17"/>
  <c r="AS20" i="17" s="1"/>
  <c r="AS21" i="17" s="1"/>
  <c r="AS22" i="17" s="1"/>
  <c r="U107" i="12"/>
  <c r="N11" i="17"/>
  <c r="N18" i="17"/>
  <c r="M11" i="17"/>
  <c r="M18" i="17"/>
  <c r="M21" i="17" s="1"/>
  <c r="Y12" i="17"/>
  <c r="X12" i="17"/>
  <c r="Z11" i="17"/>
  <c r="Z18" i="17" s="1"/>
  <c r="Z20" i="17" s="1"/>
  <c r="S108" i="12"/>
  <c r="AH14" i="17" s="1"/>
  <c r="U98" i="12"/>
  <c r="AJ8" i="17" s="1"/>
  <c r="AU8" i="17" l="1"/>
  <c r="AU9" i="17" s="1"/>
  <c r="AU11" i="17" s="1"/>
  <c r="AJ18" i="17"/>
  <c r="AJ11" i="17"/>
  <c r="AT12" i="17"/>
  <c r="AT18" i="17"/>
  <c r="AT20" i="17" s="1"/>
  <c r="AT21" i="17" s="1"/>
  <c r="AT22" i="17" s="1"/>
  <c r="N21" i="17"/>
  <c r="N22" i="17" s="1"/>
  <c r="K29" i="17" s="1"/>
  <c r="M22" i="17"/>
  <c r="K28" i="17" s="1"/>
  <c r="X21" i="17"/>
  <c r="X22" i="17" s="1"/>
  <c r="Y21" i="17"/>
  <c r="Y22" i="17" s="1"/>
  <c r="O11" i="17"/>
  <c r="O18" i="17"/>
  <c r="Z12" i="17"/>
  <c r="T108" i="12"/>
  <c r="AI14" i="17" s="1"/>
  <c r="AU12" i="17" l="1"/>
  <c r="AU18" i="17"/>
  <c r="AU20" i="17" s="1"/>
  <c r="AU21" i="17" s="1"/>
  <c r="AU22" i="17" s="1"/>
  <c r="O21" i="17"/>
  <c r="O22" i="17" s="1"/>
  <c r="Z21" i="17"/>
  <c r="Z22" i="17" s="1"/>
  <c r="AA11" i="17"/>
  <c r="AA18" i="17" s="1"/>
  <c r="AA20" i="17" s="1"/>
  <c r="U108" i="12"/>
  <c r="AJ14" i="17" s="1"/>
  <c r="P11" i="17" l="1"/>
  <c r="P18" i="17"/>
  <c r="P21" i="17" s="1"/>
  <c r="AA12" i="17"/>
  <c r="K30" i="17"/>
  <c r="P22" i="17" l="1"/>
  <c r="AA21" i="17"/>
  <c r="AA22" i="17" s="1"/>
  <c r="K31" i="17" l="1"/>
  <c r="L19" i="17"/>
  <c r="W18" i="17"/>
  <c r="W20" i="17" s="1"/>
  <c r="L21" i="17" l="1"/>
  <c r="L22" i="17" s="1"/>
  <c r="K27" i="17" s="1"/>
  <c r="K36" i="17" s="1"/>
  <c r="AF19" i="17"/>
  <c r="AQ17" i="17" s="1"/>
  <c r="AQ18" i="17" s="1"/>
  <c r="AQ20" i="17" s="1"/>
  <c r="AQ21" i="17" s="1"/>
  <c r="AQ22" i="17" s="1"/>
  <c r="W21" i="17"/>
  <c r="W22" i="17" s="1"/>
  <c r="K33" i="17" s="1"/>
  <c r="K34" i="17" l="1"/>
  <c r="K37" i="17"/>
  <c r="L27" i="17"/>
  <c r="K35" i="17" l="1"/>
  <c r="L28" i="17"/>
  <c r="L29" i="17" s="1"/>
  <c r="L30" i="17" s="1"/>
  <c r="L31" i="17" s="1"/>
  <c r="K38" i="17"/>
  <c r="AF21" i="17" l="1"/>
  <c r="AF22" i="17" s="1"/>
  <c r="AE27" i="17" s="1"/>
  <c r="AF27" i="17" l="1"/>
  <c r="AE33" i="17" l="1"/>
  <c r="AJ21" i="17"/>
  <c r="AJ22" i="17" s="1"/>
  <c r="AE31" i="17" s="1"/>
  <c r="AI21" i="17"/>
  <c r="AI22" i="17" s="1"/>
  <c r="AE30" i="17" s="1"/>
  <c r="AH21" i="17"/>
  <c r="AH22" i="17" s="1"/>
  <c r="AG21" i="17"/>
  <c r="AG22" i="17" s="1"/>
  <c r="AE28" i="17" s="1"/>
  <c r="AE36" i="17" s="1"/>
  <c r="AE38" i="17" l="1"/>
  <c r="AE29" i="17"/>
  <c r="AE37" i="17"/>
  <c r="AF28" i="17"/>
  <c r="AE34" i="17"/>
  <c r="AF29" i="17" l="1"/>
  <c r="AF30" i="17" s="1"/>
  <c r="AF31" i="17" s="1"/>
  <c r="AE3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Milena Vargas</author>
  </authors>
  <commentList>
    <comment ref="C21" authorId="0" shapeId="0" xr:uid="{AA72ACCC-0FA5-47F8-89AA-EF71468ECB1C}">
      <text>
        <r>
          <rPr>
            <b/>
            <sz val="9"/>
            <color indexed="81"/>
            <rFont val="Tahoma"/>
            <charset val="1"/>
          </rPr>
          <t>Milena Vargas:</t>
        </r>
        <r>
          <rPr>
            <sz val="9"/>
            <color indexed="81"/>
            <rFont val="Tahoma"/>
            <charset val="1"/>
          </rPr>
          <t xml:space="preserve">
3 CORTAS</t>
        </r>
      </text>
    </comment>
    <comment ref="F21" authorId="0" shapeId="0" xr:uid="{B47178BA-8191-48B9-B7C9-3E6309CAC0E7}">
      <text>
        <r>
          <rPr>
            <b/>
            <sz val="9"/>
            <color indexed="81"/>
            <rFont val="Tahoma"/>
            <charset val="1"/>
          </rPr>
          <t>Milena Vargas:</t>
        </r>
        <r>
          <rPr>
            <sz val="9"/>
            <color indexed="81"/>
            <rFont val="Tahoma"/>
            <charset val="1"/>
          </rPr>
          <t xml:space="preserve">
1 CORTA</t>
        </r>
      </text>
    </comment>
    <comment ref="I21" authorId="0" shapeId="0" xr:uid="{47F00767-5161-45ED-9538-57826593EB51}">
      <text>
        <r>
          <rPr>
            <b/>
            <sz val="9"/>
            <color indexed="81"/>
            <rFont val="Tahoma"/>
            <charset val="1"/>
          </rPr>
          <t>Milena Vargas:</t>
        </r>
        <r>
          <rPr>
            <sz val="9"/>
            <color indexed="81"/>
            <rFont val="Tahoma"/>
            <charset val="1"/>
          </rPr>
          <t xml:space="preserve">
1 LARGA, 1 RELLENA, 2 CORTAS</t>
        </r>
      </text>
    </comment>
    <comment ref="L21" authorId="0" shapeId="0" xr:uid="{7C821C5C-234A-4F4D-A86E-1707DC76BDDD}">
      <text>
        <r>
          <rPr>
            <b/>
            <sz val="9"/>
            <color indexed="81"/>
            <rFont val="Tahoma"/>
            <charset val="1"/>
          </rPr>
          <t>Milena Vargas:</t>
        </r>
        <r>
          <rPr>
            <sz val="9"/>
            <color indexed="81"/>
            <rFont val="Tahoma"/>
            <charset val="1"/>
          </rPr>
          <t xml:space="preserve">
3 CORTAS</t>
        </r>
      </text>
    </comment>
    <comment ref="O21" authorId="0" shapeId="0" xr:uid="{8E656D6A-17E5-4FE3-ADD2-8C43317769E1}">
      <text>
        <r>
          <rPr>
            <b/>
            <sz val="9"/>
            <color indexed="81"/>
            <rFont val="Tahoma"/>
            <charset val="1"/>
          </rPr>
          <t>Milena Vargas:</t>
        </r>
        <r>
          <rPr>
            <sz val="9"/>
            <color indexed="81"/>
            <rFont val="Tahoma"/>
            <charset val="1"/>
          </rPr>
          <t xml:space="preserve">
3 RELLENAS, 3 CORTAS, 1 LARGA
</t>
        </r>
      </text>
    </comment>
    <comment ref="R21" authorId="0" shapeId="0" xr:uid="{765E0FB9-6756-4DE7-8DC4-C2AA34228B7E}">
      <text>
        <r>
          <rPr>
            <b/>
            <sz val="9"/>
            <color indexed="81"/>
            <rFont val="Tahoma"/>
            <charset val="1"/>
          </rPr>
          <t>Milena Vargas:</t>
        </r>
        <r>
          <rPr>
            <sz val="9"/>
            <color indexed="81"/>
            <rFont val="Tahoma"/>
            <charset val="1"/>
          </rPr>
          <t xml:space="preserve">
6 LARGAS, 3 CORTAS, 2 RELLENAS
</t>
        </r>
      </text>
    </comment>
    <comment ref="U21" authorId="0" shapeId="0" xr:uid="{EA9B638D-A4D2-4E20-8490-A414065CCB9D}">
      <text>
        <r>
          <rPr>
            <b/>
            <sz val="9"/>
            <color indexed="81"/>
            <rFont val="Tahoma"/>
            <charset val="1"/>
          </rPr>
          <t>Milena Vargas:</t>
        </r>
        <r>
          <rPr>
            <sz val="9"/>
            <color indexed="81"/>
            <rFont val="Tahoma"/>
            <charset val="1"/>
          </rPr>
          <t xml:space="preserve">
2 CORTAS, 1 LARGA, 4 RELLENAS</t>
        </r>
      </text>
    </comment>
    <comment ref="C22" authorId="0" shapeId="0" xr:uid="{5AD91C2D-0DB2-4DF4-B29C-891B29403919}">
      <text>
        <r>
          <rPr>
            <b/>
            <sz val="9"/>
            <color indexed="81"/>
            <rFont val="Tahoma"/>
            <charset val="1"/>
          </rPr>
          <t>Milena Vargas:</t>
        </r>
        <r>
          <rPr>
            <sz val="9"/>
            <color indexed="81"/>
            <rFont val="Tahoma"/>
            <charset val="1"/>
          </rPr>
          <t xml:space="preserve">
1 RELLENA, 2 CORTAS</t>
        </r>
      </text>
    </comment>
    <comment ref="F22" authorId="0" shapeId="0" xr:uid="{ED6130D7-8BD4-4839-85D7-28F920E2485B}">
      <text>
        <r>
          <rPr>
            <b/>
            <sz val="9"/>
            <color indexed="81"/>
            <rFont val="Tahoma"/>
            <charset val="1"/>
          </rPr>
          <t>Milena Vargas:</t>
        </r>
        <r>
          <rPr>
            <sz val="9"/>
            <color indexed="81"/>
            <rFont val="Tahoma"/>
            <charset val="1"/>
          </rPr>
          <t xml:space="preserve">
1 RELLENA, 4 CORTAS</t>
        </r>
      </text>
    </comment>
    <comment ref="I22" authorId="0" shapeId="0" xr:uid="{A9E1CFEA-A062-4AB2-A051-A0B14D0F7317}">
      <text>
        <r>
          <rPr>
            <b/>
            <sz val="9"/>
            <color indexed="81"/>
            <rFont val="Tahoma"/>
            <charset val="1"/>
          </rPr>
          <t>Milena Vargas:</t>
        </r>
        <r>
          <rPr>
            <sz val="9"/>
            <color indexed="81"/>
            <rFont val="Tahoma"/>
            <charset val="1"/>
          </rPr>
          <t xml:space="preserve">
1 RELLENA, 3 CORTAS</t>
        </r>
      </text>
    </comment>
    <comment ref="L22" authorId="0" shapeId="0" xr:uid="{7A587C06-39F5-4229-B9BA-AC721FC95BF5}">
      <text>
        <r>
          <rPr>
            <b/>
            <sz val="9"/>
            <color indexed="81"/>
            <rFont val="Tahoma"/>
            <charset val="1"/>
          </rPr>
          <t>Milena Vargas:</t>
        </r>
        <r>
          <rPr>
            <sz val="9"/>
            <color indexed="81"/>
            <rFont val="Tahoma"/>
            <charset val="1"/>
          </rPr>
          <t xml:space="preserve">
1 CORTA, 2 LARGAS, 1 RELLENA</t>
        </r>
      </text>
    </comment>
    <comment ref="O22" authorId="0" shapeId="0" xr:uid="{799CE985-70DF-4146-A823-6CAF55D50103}">
      <text>
        <r>
          <rPr>
            <b/>
            <sz val="9"/>
            <color indexed="81"/>
            <rFont val="Tahoma"/>
            <charset val="1"/>
          </rPr>
          <t>Milena Vargas:</t>
        </r>
        <r>
          <rPr>
            <sz val="9"/>
            <color indexed="81"/>
            <rFont val="Tahoma"/>
            <charset val="1"/>
          </rPr>
          <t xml:space="preserve">
4 CORTAS, 3 RELLENAS</t>
        </r>
      </text>
    </comment>
    <comment ref="R22" authorId="0" shapeId="0" xr:uid="{885CA0CC-A4A7-4E4E-8354-B0F010BF028D}">
      <text>
        <r>
          <rPr>
            <b/>
            <sz val="9"/>
            <color indexed="81"/>
            <rFont val="Tahoma"/>
            <charset val="1"/>
          </rPr>
          <t>Milena Vargas:</t>
        </r>
        <r>
          <rPr>
            <sz val="9"/>
            <color indexed="81"/>
            <rFont val="Tahoma"/>
            <charset val="1"/>
          </rPr>
          <t xml:space="preserve">
2 LARGAS, 3 CORTAS, 3 RELLENAS</t>
        </r>
      </text>
    </comment>
    <comment ref="U22" authorId="0" shapeId="0" xr:uid="{12117E24-2872-40C5-ACFF-2156E1C27906}">
      <text>
        <r>
          <rPr>
            <b/>
            <sz val="9"/>
            <color indexed="81"/>
            <rFont val="Tahoma"/>
            <charset val="1"/>
          </rPr>
          <t>Milena Vargas:</t>
        </r>
        <r>
          <rPr>
            <sz val="9"/>
            <color indexed="81"/>
            <rFont val="Tahoma"/>
            <charset val="1"/>
          </rPr>
          <t xml:space="preserve">
1 LARGA, 6 CORTAS, 2 RELLENAS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Julian Acero</author>
  </authors>
  <commentList>
    <comment ref="GH8" authorId="0" shapeId="0" xr:uid="{641D8468-A344-48BF-BB1B-1A59B0E5EC42}">
      <text>
        <r>
          <rPr>
            <b/>
            <sz val="9"/>
            <color indexed="81"/>
            <rFont val="Tahoma"/>
            <charset val="1"/>
          </rPr>
          <t>Julian Acero:</t>
        </r>
        <r>
          <rPr>
            <sz val="9"/>
            <color indexed="81"/>
            <rFont val="Tahoma"/>
            <charset val="1"/>
          </rPr>
          <t xml:space="preserve">
Tagliatelle con pesto calabrese</t>
        </r>
      </text>
    </comment>
    <comment ref="DD24" authorId="0" shapeId="0" xr:uid="{3CA12440-0C57-4010-B7D9-D99010A8E7CF}">
      <text>
        <r>
          <rPr>
            <b/>
            <sz val="9"/>
            <color indexed="81"/>
            <rFont val="Tahoma"/>
            <charset val="1"/>
          </rPr>
          <t>Julian Acero:</t>
        </r>
        <r>
          <rPr>
            <sz val="9"/>
            <color indexed="81"/>
            <rFont val="Tahoma"/>
            <charset val="1"/>
          </rPr>
          <t xml:space="preserve">
+Nuez moscada</t>
        </r>
      </text>
    </comment>
    <comment ref="I100" authorId="0" shapeId="0" xr:uid="{616D94EE-C102-42B0-9776-88A86876FE21}">
      <text>
        <r>
          <rPr>
            <b/>
            <sz val="9"/>
            <color indexed="81"/>
            <rFont val="Tahoma"/>
            <charset val="1"/>
          </rPr>
          <t>Julian Acero:</t>
        </r>
        <r>
          <rPr>
            <sz val="9"/>
            <color indexed="81"/>
            <rFont val="Tahoma"/>
            <charset val="1"/>
          </rPr>
          <t xml:space="preserve">
Minestrone 
*Osea sopa de verduras con pasta*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Milena Vargas</author>
    <author>Julian Acero</author>
  </authors>
  <commentList>
    <comment ref="AB73" authorId="0" shapeId="0" xr:uid="{29DFC2A6-2007-4963-94D7-04C0DE5C7ABF}">
      <text>
        <r>
          <rPr>
            <b/>
            <sz val="9"/>
            <color indexed="81"/>
            <rFont val="Tahoma"/>
            <charset val="1"/>
          </rPr>
          <t>Milena Vargas:</t>
        </r>
        <r>
          <rPr>
            <sz val="9"/>
            <color indexed="81"/>
            <rFont val="Tahoma"/>
            <charset val="1"/>
          </rPr>
          <t xml:space="preserve">
Se divide en dos, porqye la masa y la proteína o el vegetal tiene su propio costo de mano de obra directa, así, solo queda salsa y aderezos.</t>
        </r>
      </text>
    </comment>
    <comment ref="F338" authorId="1" shapeId="0" xr:uid="{DBC8BE1B-3438-46B7-96CA-AB418E829321}">
      <text>
        <r>
          <rPr>
            <b/>
            <sz val="9"/>
            <color indexed="81"/>
            <rFont val="Tahoma"/>
            <charset val="1"/>
          </rPr>
          <t>Julian Acero:</t>
        </r>
        <r>
          <rPr>
            <sz val="9"/>
            <color indexed="81"/>
            <rFont val="Tahoma"/>
            <charset val="1"/>
          </rPr>
          <t xml:space="preserve">
+Nuez moscada</t>
        </r>
      </text>
    </comment>
    <comment ref="F532" authorId="1" shapeId="0" xr:uid="{B46B30FE-9E7F-4F8F-B38C-CA3B77C7B39F}">
      <text>
        <r>
          <rPr>
            <b/>
            <sz val="9"/>
            <color indexed="81"/>
            <rFont val="Tahoma"/>
            <charset val="1"/>
          </rPr>
          <t>Julian Acero:</t>
        </r>
        <r>
          <rPr>
            <sz val="9"/>
            <color indexed="81"/>
            <rFont val="Tahoma"/>
            <charset val="1"/>
          </rPr>
          <t xml:space="preserve">
Tagliatelle con pesto calabrese</t>
        </r>
      </text>
    </comment>
    <comment ref="F1131" authorId="1" shapeId="0" xr:uid="{BF4D9694-1E56-406B-9095-6E9B270130DF}">
      <text>
        <r>
          <rPr>
            <b/>
            <sz val="9"/>
            <color indexed="81"/>
            <rFont val="Tahoma"/>
            <charset val="1"/>
          </rPr>
          <t>Julian Acero:</t>
        </r>
        <r>
          <rPr>
            <sz val="9"/>
            <color indexed="81"/>
            <rFont val="Tahoma"/>
            <charset val="1"/>
          </rPr>
          <t xml:space="preserve">
Minestrone 
*Osea sopa de verduras con pasta*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Milena Vargas</author>
  </authors>
  <commentList>
    <comment ref="AF18" authorId="0" shapeId="0" xr:uid="{954181D0-ABCE-40D8-A3FC-085F108D5D5D}">
      <text>
        <r>
          <rPr>
            <b/>
            <sz val="9"/>
            <color indexed="81"/>
            <rFont val="Tahoma"/>
            <family val="2"/>
          </rPr>
          <t>Milena Vargas:</t>
        </r>
        <r>
          <rPr>
            <sz val="9"/>
            <color indexed="81"/>
            <rFont val="Tahoma"/>
            <family val="2"/>
          </rPr>
          <t xml:space="preserve">
ACTIVIDADES EN SIMULTÁNEO</t>
        </r>
      </text>
    </comment>
    <comment ref="Z59" authorId="0" shapeId="0" xr:uid="{45BFD7B1-EEB9-4034-9883-F2D8DCDB21D7}">
      <text>
        <r>
          <rPr>
            <b/>
            <sz val="9"/>
            <color indexed="81"/>
            <rFont val="Tahoma"/>
            <charset val="1"/>
          </rPr>
          <t>Milena Vargas:</t>
        </r>
        <r>
          <rPr>
            <sz val="9"/>
            <color indexed="81"/>
            <rFont val="Tahoma"/>
            <charset val="1"/>
          </rPr>
          <t xml:space="preserve">
Incluye:
Visita bomberos
Uso del suelo
Registro mercantil
Libros y documentos
Certificado manipulación de alimentos
Firmas ante notaria
RUE
Registro ante Cámara de Comercio
Existencia de representante legal
permiso Sanitario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Milena Vargas</author>
  </authors>
  <commentList>
    <comment ref="X10" authorId="0" shapeId="0" xr:uid="{8930E03F-8828-43A3-BC35-9C8E3331E057}">
      <text>
        <r>
          <rPr>
            <b/>
            <sz val="9"/>
            <color indexed="81"/>
            <rFont val="Tahoma"/>
            <family val="2"/>
          </rPr>
          <t>Milena Vargas:</t>
        </r>
        <r>
          <rPr>
            <sz val="9"/>
            <color indexed="81"/>
            <rFont val="Tahoma"/>
            <family val="2"/>
          </rPr>
          <t xml:space="preserve">
ACTIVIDADES EN SIMULTÁNEO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tc={467C72C4-505C-4C7A-B29D-CC89A9805690}</author>
  </authors>
  <commentList>
    <comment ref="O9" authorId="0" shapeId="0" xr:uid="{467C72C4-505C-4C7A-B29D-CC89A980569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horarios, para poder realizar producciones, tipo 2 horarios. 8-4 y 12 cierre, rotativos</t>
      </text>
    </comment>
  </commentList>
</comments>
</file>

<file path=xl/sharedStrings.xml><?xml version="1.0" encoding="utf-8"?>
<sst xmlns="http://schemas.openxmlformats.org/spreadsheetml/2006/main" count="17501" uniqueCount="2355">
  <si>
    <t>Item</t>
  </si>
  <si>
    <t>Descripción</t>
  </si>
  <si>
    <t>Producto específico</t>
  </si>
  <si>
    <t>Nombre comercial</t>
  </si>
  <si>
    <t>Unidad de medida*</t>
  </si>
  <si>
    <t>Descripción general</t>
  </si>
  <si>
    <t>Condiciones especiales</t>
  </si>
  <si>
    <t>Composición</t>
  </si>
  <si>
    <t xml:space="preserve">FICHA TÉCNICA </t>
  </si>
  <si>
    <t>NO APLICA</t>
  </si>
  <si>
    <t>Spaguetti con trozos de pollo, bañada 
en salsa alfredo</t>
  </si>
  <si>
    <t>Spaghetti con salsa Bechamel y pollo</t>
  </si>
  <si>
    <t>Spaghetti con salsa alfredo y pollo</t>
  </si>
  <si>
    <t>Spaguetti con pollo desmechado, bañada 
en salsa bechamel</t>
  </si>
  <si>
    <t>Spaghetti con salsa amatriciana y carne</t>
  </si>
  <si>
    <t>Gramos</t>
  </si>
  <si>
    <t>Spaguetti con carne desmechada, bañada 
en salsa amatriciana</t>
  </si>
  <si>
    <t>https://www.directoalpaladar.com/recetario/te-gusta-pasta-estas-nueve-salsas-pasta-basicas-que-hay-que-dominar-que-no-haces</t>
  </si>
  <si>
    <t>Spaghetti alla bolognese e carne</t>
  </si>
  <si>
    <t>Spaguetti con bolas de carne, bañada 
en salsa boloñesa</t>
  </si>
  <si>
    <t>Spaghetti con salsa boloñesa y carne</t>
  </si>
  <si>
    <t>Spaghetti con salsa carbonara y panceta</t>
  </si>
  <si>
    <t>Spaghetti alla carbonara e pancetta</t>
  </si>
  <si>
    <t>Spaguetti con trozos de panceta, bañada 
en salsa carbonara</t>
  </si>
  <si>
    <t>Spaghetti all'amatriciana e carne</t>
  </si>
  <si>
    <t>Spaghetti con salsa napolitana y carne</t>
  </si>
  <si>
    <t>Spaghetti al ragù napoletano e carne</t>
  </si>
  <si>
    <t>Spaguetti con trozos de carne, bañada 
en salsa napolitana.</t>
  </si>
  <si>
    <t>Spaghetti con salsa puttanesca y carne</t>
  </si>
  <si>
    <t>Spaghetti alla puttanesca e carne</t>
  </si>
  <si>
    <t>Spaguetti con trozos de carne, bañada 
en salsa puttanesca.</t>
  </si>
  <si>
    <t>Spaghetti con salsa funghi, pollo y panceta</t>
  </si>
  <si>
    <t>Spaghetti con salsa di funghi, pollo e pancetta</t>
  </si>
  <si>
    <t>Spaguetti con trozos de pollo, bañada 
en salsa funghi.</t>
  </si>
  <si>
    <t>Spaguetti con pollo desmechado, bañada 
en una mezcla entre salsa de tomate y leche.</t>
  </si>
  <si>
    <t>Spaghetti con camarones y salsa napolitana</t>
  </si>
  <si>
    <t>Spaghetti con gamberi e salsa napoletana</t>
  </si>
  <si>
    <t>Spaguetti con camarones, bañada 
en salsa napolitana.</t>
  </si>
  <si>
    <t>Spaghetti con salsa alfredo, pollo, panceta y brocoli</t>
  </si>
  <si>
    <t>Spaghetti con salsa Alfredo, pollo, pancetta e broccoli</t>
  </si>
  <si>
    <t>Spaguetti con trozos de pollo, de panceta y brocoli, bañada en salsa alfredo</t>
  </si>
  <si>
    <t>Rollos de spaghetti jamón, queso y salsa bechamel</t>
  </si>
  <si>
    <t>Involtini di spaghetti prosciutto, formaggio e besciamella</t>
  </si>
  <si>
    <t>Spaghetti envuelto en jamon y queso bañado en salsa bechamel.</t>
  </si>
  <si>
    <t>Spahetti con mejillones y tomate</t>
  </si>
  <si>
    <t>Spaghetti cozze e pomodoro</t>
  </si>
  <si>
    <t>Spaguetti con mejillones y tomate cherry.</t>
  </si>
  <si>
    <t>Spaguetti con almejas, langostinos, calamar y pescado en salsa marinara.</t>
  </si>
  <si>
    <t>https://danzadefogones.com/salsa-marinara-casera/</t>
  </si>
  <si>
    <t xml:space="preserve">
Spaghetti con mozzarella, cheddar e polpette di carne.</t>
  </si>
  <si>
    <t>Spaguetti con bolas de carne, en salsa picante con queso cheddar y mozzrella.</t>
  </si>
  <si>
    <t>Spaghetti a los tres pimentones.</t>
  </si>
  <si>
    <t>Spaghetti ai tre peperoni.</t>
  </si>
  <si>
    <t>Spaguetti bañado en crema, con una mezcla de pimentones y carne.</t>
  </si>
  <si>
    <t>https://www.miarevista.es/hogar/fotos/conoces-los-diferentes-tipos-de-pasta/11-tortellini</t>
  </si>
  <si>
    <t>GNOCCHI</t>
  </si>
  <si>
    <t>LASAGNA</t>
  </si>
  <si>
    <t>CANNELONI</t>
  </si>
  <si>
    <t>FIDEOS DE ARROZ</t>
  </si>
  <si>
    <t>Ensalada con fusilli</t>
  </si>
  <si>
    <t>Insalata con fusilli</t>
  </si>
  <si>
    <t>Fusilli, con tomate, atún, cebolla y mayonesa.</t>
  </si>
  <si>
    <t>Fusilli a la carbonara</t>
  </si>
  <si>
    <t>Fusilli alla carbonara</t>
  </si>
  <si>
    <t>Fusilli con trozos de pollo bañados con salsa carbonara</t>
  </si>
  <si>
    <t>Fusilli con pollo y champiñones en tres quesos</t>
  </si>
  <si>
    <t>Fusilli con pollo e funghi in tre formaggi</t>
  </si>
  <si>
    <t>Fusilli con trozos de pollo y champiñones bañados en salsa de tres quesos</t>
  </si>
  <si>
    <t>Fusilli con camarones</t>
  </si>
  <si>
    <t>Fusilli con gamberi</t>
  </si>
  <si>
    <t>Fusilli con camarones bañados en crema</t>
  </si>
  <si>
    <t>Pasta, sal, ajo, mantequilla, camarones, especias, crema y perejil.</t>
  </si>
  <si>
    <t>Fusilli con salsa puttanesca</t>
  </si>
  <si>
    <t>Fusilli alla puttanesca</t>
  </si>
  <si>
    <t>Fusilli con trozos de carne en salsa puttanesca</t>
  </si>
  <si>
    <t>Fusilli al pesto</t>
  </si>
  <si>
    <t>Fusilli con pesto y queso</t>
  </si>
  <si>
    <t>Farfalle con pollo desmechado</t>
  </si>
  <si>
    <t>Farfalle con pollo grattugiato</t>
  </si>
  <si>
    <t>Rigattoni con tomate y queso</t>
  </si>
  <si>
    <t>Rigattoni con pomodoro e formaggio</t>
  </si>
  <si>
    <t>Rigattoni con tomate cherry y bolas de queso</t>
  </si>
  <si>
    <t>Caracolas rellenas de atún</t>
  </si>
  <si>
    <t>Conchiglie ripiene di tonno</t>
  </si>
  <si>
    <t>Caracolas rellenas de pollo</t>
  </si>
  <si>
    <t>Conchiglie ripiene di pollo</t>
  </si>
  <si>
    <t xml:space="preserve">Caracolas rellenas de atún </t>
  </si>
  <si>
    <t>Caracolas rellenas de carne</t>
  </si>
  <si>
    <t>Conchiglie ripiene di carne</t>
  </si>
  <si>
    <t>Caracolas rellenas de jamón</t>
  </si>
  <si>
    <t>Conchiglie ripiene di prosciutto</t>
  </si>
  <si>
    <t>Caracolas rellenas de queso</t>
  </si>
  <si>
    <t>Conchiglie ripiene di formaggio</t>
  </si>
  <si>
    <t>Caracolas rellenas de queso bañadas en salsa</t>
  </si>
  <si>
    <t>https://cookpad.com/co/buscar/fetuccini</t>
  </si>
  <si>
    <t>Fettuccine con camarones</t>
  </si>
  <si>
    <t>Fettuccine ai gamberi</t>
  </si>
  <si>
    <t>Fettucchini con camarones y salsa de ostras</t>
  </si>
  <si>
    <t>Fettuccine con cerdo</t>
  </si>
  <si>
    <t>Fettuccine al maiale</t>
  </si>
  <si>
    <t>Spaghetti con cerdo y salsa boloñesa.</t>
  </si>
  <si>
    <t>Spaghetti con carne di maiale e ragù alla bolognese</t>
  </si>
  <si>
    <t>Spaguetti bañado salsa bolñesa, con lomo de cerdo picado.</t>
  </si>
  <si>
    <t>Tagliatelle con pesto alla calabrese</t>
  </si>
  <si>
    <t>Tagliatelle con salsa pesto, carne y salchichas.</t>
  </si>
  <si>
    <t>https://www.directoalpaladar.com/recetas-de-pasta/tagliatelle-con-pesto-alla-calabrese-receta-de-pasta</t>
  </si>
  <si>
    <t>Raviolis rellenos de pollo</t>
  </si>
  <si>
    <t>Raviolis rellenos de queso</t>
  </si>
  <si>
    <t>Raviolis rellenos de jamón y queso</t>
  </si>
  <si>
    <t>Raviolis rellenos de cerdo</t>
  </si>
  <si>
    <t>Caracolas rellenas de cerdo bañadas en salsa alfredo</t>
  </si>
  <si>
    <t>Ravioli ripieni di pollo</t>
  </si>
  <si>
    <t>Ravioli ripieni di prosciutto e formaggio</t>
  </si>
  <si>
    <t>Ravioli ripieni di formaggio</t>
  </si>
  <si>
    <t>Ravioli ripieni di maiale</t>
  </si>
  <si>
    <t>Raviolis rellenos de pollo en salsa bechamel</t>
  </si>
  <si>
    <t>Raviolis rellenos de pollo en salsa boloñesa</t>
  </si>
  <si>
    <t>Raviolis rellenos de jamón y queso en salsa alfredo</t>
  </si>
  <si>
    <t>Raviolis rellenos de cerdo en salsa de la casa</t>
  </si>
  <si>
    <t>Tortellini con salsa cremosa de tomates</t>
  </si>
  <si>
    <t xml:space="preserve">
Tortellini con salsa di pomodoro cremosa</t>
  </si>
  <si>
    <t>Tortellini con salsa cremosa de tomates, espinaca y pollo o carne</t>
  </si>
  <si>
    <t>https://gastronomiaycia.republica.com/2017/05/23/tortellini-con-salsa-cremosa-de-tomates-secos-y-espinacas/</t>
  </si>
  <si>
    <t>Macarrones en salsa de tres quesos</t>
  </si>
  <si>
    <t>Maccheroni in salsa ai tre formaggi</t>
  </si>
  <si>
    <t>Macarrones en salsa de tres quesos y trozos de panceta</t>
  </si>
  <si>
    <t>Gnocchi de queso brie</t>
  </si>
  <si>
    <t>Gnocchi al formaggio Brie</t>
  </si>
  <si>
    <t>Gnocchi con queso brie, crema de leche y proteína</t>
  </si>
  <si>
    <t>Sopa de fideos</t>
  </si>
  <si>
    <t>Sopa de fideos y proteína</t>
  </si>
  <si>
    <t>Arroz con fideos, arvejas y proteína.</t>
  </si>
  <si>
    <t>Cannelonis rellenos de carne</t>
  </si>
  <si>
    <t>Cannelloni ripieni di carne</t>
  </si>
  <si>
    <t>Cannellonis rellenos de carne en salsa boloñesa</t>
  </si>
  <si>
    <t>Penne con salmón</t>
  </si>
  <si>
    <t>Penne al salmone</t>
  </si>
  <si>
    <t>Penne con salmón y salsa marinara</t>
  </si>
  <si>
    <t>Ramén</t>
  </si>
  <si>
    <t>Lasaña de pollo</t>
  </si>
  <si>
    <t>Lasaña de pollo y carne</t>
  </si>
  <si>
    <t>Lasaña de carne</t>
  </si>
  <si>
    <t>Lasaña de pescado</t>
  </si>
  <si>
    <t>Lasaña de queso y jamón</t>
  </si>
  <si>
    <t>Lasaña de frutas</t>
  </si>
  <si>
    <t>Lasaña de cerdo y carne</t>
  </si>
  <si>
    <t>Lasaña mixta</t>
  </si>
  <si>
    <t>Lasagne di pollo</t>
  </si>
  <si>
    <t>Lasagne di pollo e manzo</t>
  </si>
  <si>
    <t>Lasagne di carne</t>
  </si>
  <si>
    <t>Lasagne di pesce</t>
  </si>
  <si>
    <t>Lasagne al prosciutto e formaggio</t>
  </si>
  <si>
    <t>Lasagne di maiale e carne</t>
  </si>
  <si>
    <t>Lasagne miste</t>
  </si>
  <si>
    <t>Lasagne alla frutta</t>
  </si>
  <si>
    <t>Lasaña de pollo y carne con salsa bechamel y boloñesa</t>
  </si>
  <si>
    <t>Lasaña de carne y salsa boloñesa o amatricciana</t>
  </si>
  <si>
    <t>Lasaña de pescado y salsa marinara</t>
  </si>
  <si>
    <t>Lasaña de pollo y salsa de la casa</t>
  </si>
  <si>
    <t>Lasaña de carne y cerdo con salsa napolitana</t>
  </si>
  <si>
    <t>Lasaña de pollo, carne y cerdo.</t>
  </si>
  <si>
    <t>Lasaña de frutas con crema de tres leches.</t>
  </si>
  <si>
    <t>Pasta, frutas, crema de tres leches y azúcar.</t>
  </si>
  <si>
    <t>Bucatini a la napolitana</t>
  </si>
  <si>
    <t>Bucatini alla napoletana</t>
  </si>
  <si>
    <t>Bucatini con salsa napolitana y bolas de carne</t>
  </si>
  <si>
    <t>Ramen</t>
  </si>
  <si>
    <t>Ramen japonés</t>
  </si>
  <si>
    <t>https://www.recetasdeescandalo.com/receta-de-ramen-casero-una-sopa-japonesa-deliciosa-y-reconfortante/</t>
  </si>
  <si>
    <t>SPAGHETTI, FETTUCCINE O TAGLIATELI</t>
  </si>
  <si>
    <t>FIDEOS O PASTINA</t>
  </si>
  <si>
    <t>Spaghetti con salmón y espinacas</t>
  </si>
  <si>
    <t>Spaghetti al salmone e spinaci</t>
  </si>
  <si>
    <t>Spaguetti con trozos de salmón, bañada 
en salsa de pescado.</t>
  </si>
  <si>
    <t>Precio</t>
  </si>
  <si>
    <t>Tipo de activo</t>
  </si>
  <si>
    <t>Cantidad</t>
  </si>
  <si>
    <t>Valor Unitario</t>
  </si>
  <si>
    <t>Requisitos técnicos</t>
  </si>
  <si>
    <t>Infraestructura y adecuaciones</t>
  </si>
  <si>
    <t>Local</t>
  </si>
  <si>
    <t>Sillas</t>
  </si>
  <si>
    <t>Licuadora</t>
  </si>
  <si>
    <t>Batidor</t>
  </si>
  <si>
    <t>Muebles y enseres</t>
  </si>
  <si>
    <t>Lámparas</t>
  </si>
  <si>
    <t>Centros de mesa</t>
  </si>
  <si>
    <t>Equipos de computación</t>
  </si>
  <si>
    <t>Computador</t>
  </si>
  <si>
    <t>Registradora</t>
  </si>
  <si>
    <t>Maccheroni vegani</t>
  </si>
  <si>
    <t>Macarrones veganos</t>
  </si>
  <si>
    <t>Macarrones en salsa de queso con vegetales</t>
  </si>
  <si>
    <t>Insalata con fusilli vegani</t>
  </si>
  <si>
    <t>Fusilli, con tomate, cebolla y mayonesa.</t>
  </si>
  <si>
    <t>Pasta, tomate, cebolla, arvejas, mazorca, zuccini.</t>
  </si>
  <si>
    <t>Farfalle con espinacas, berenjena y zuccini</t>
  </si>
  <si>
    <t>Farfalle alla ratatouille</t>
  </si>
  <si>
    <t>Spaguetti con bolas de garbanzos, bañada 
en salsa napolitana.</t>
  </si>
  <si>
    <t>Spaghetti con pesto y verduras</t>
  </si>
  <si>
    <t>Spaghetti al pesto e verdure</t>
  </si>
  <si>
    <t>Spaguetti con tomate cherry, bañada 
en salsa pesto.</t>
  </si>
  <si>
    <t>Caracolas rellenas de champiñones y espinaca</t>
  </si>
  <si>
    <t>Conchiglie ripiene di funghi e spinaci</t>
  </si>
  <si>
    <t>Caracolas rellenas de champiñones y espinaca bañadas en vino blanco y crema agria.</t>
  </si>
  <si>
    <t>Raviolis rellenos de zanahoria con champiñones</t>
  </si>
  <si>
    <t>Ravioli ripieni di carote e funghi</t>
  </si>
  <si>
    <t>Raviolis rellenos de zanahoria con champiñones en pasta de tomate</t>
  </si>
  <si>
    <t>Pasta, sal, ajo, zanahoria, champiñones, pasta de tomate, perejil.</t>
  </si>
  <si>
    <t>Gnocchi de verduras</t>
  </si>
  <si>
    <t>Gnocchi di verdure</t>
  </si>
  <si>
    <t>Gnocchi con pesto y verduras.</t>
  </si>
  <si>
    <t>Pasta, zanahoria, ajo, apio, arvejas, mazorca, cebolla, cilantro</t>
  </si>
  <si>
    <t>Riso vegano con tagliatelle</t>
  </si>
  <si>
    <t>Pasta, arroz, arveja, ajo, cebolla, brocoli y zanahoria.</t>
  </si>
  <si>
    <t>Lasaña de verduras</t>
  </si>
  <si>
    <t>Lasagne alle verdure</t>
  </si>
  <si>
    <t>Lasaña de verduras y lentejas</t>
  </si>
  <si>
    <t>Lasagne di verdure e lenticchie</t>
  </si>
  <si>
    <t>Pasta, hamburguesa de lentejas, pimenton, ajo, queso vegano, berenjena, zanahoria.</t>
  </si>
  <si>
    <t>Cannelonis rellenos de verduras</t>
  </si>
  <si>
    <t>Cannelloni ripieni di verdure</t>
  </si>
  <si>
    <t>Cannellonis rellenos de verduras en salsa de la casa</t>
  </si>
  <si>
    <t>Arroz con fideos vegano</t>
  </si>
  <si>
    <t>Bucatini al pesto</t>
  </si>
  <si>
    <t>Bucatini con pesto, queso y trozos de pollo</t>
  </si>
  <si>
    <t>Entradas</t>
  </si>
  <si>
    <t>Empanadas</t>
  </si>
  <si>
    <t>Lasaña en forma de empanada rellena</t>
  </si>
  <si>
    <t>Rigattoni relleno</t>
  </si>
  <si>
    <t>Rigattoni ripieni</t>
  </si>
  <si>
    <t>Ragattoni relleno de jamón y queso</t>
  </si>
  <si>
    <t>Pasta tostada</t>
  </si>
  <si>
    <t>Pasta tostata</t>
  </si>
  <si>
    <t>Pasta tipo lasaña cortada en triángulos con hogao</t>
  </si>
  <si>
    <t>Pasta, tomate, cebolla, ajo, sal, pimienta.</t>
  </si>
  <si>
    <t>Mini sandwich con queso</t>
  </si>
  <si>
    <t>Mini panino con formaggio</t>
  </si>
  <si>
    <t>Pasta tipo lasaña con queso</t>
  </si>
  <si>
    <t>Pasta, queso, salsa, sal.</t>
  </si>
  <si>
    <t>Nombre del cargo</t>
  </si>
  <si>
    <t>Funciones principales</t>
  </si>
  <si>
    <t>Perfil requerido</t>
  </si>
  <si>
    <t>Formación</t>
  </si>
  <si>
    <t>Experiencia General</t>
  </si>
  <si>
    <t>Experiencia Específica</t>
  </si>
  <si>
    <t>Tipo de contratación</t>
  </si>
  <si>
    <t>Dedicación de tiempos</t>
  </si>
  <si>
    <t>Unidad</t>
  </si>
  <si>
    <t>Valor de remuneración</t>
  </si>
  <si>
    <t>Mes de vinculación</t>
  </si>
  <si>
    <t>Sous chef</t>
  </si>
  <si>
    <t>Gerente General</t>
  </si>
  <si>
    <t>Server</t>
  </si>
  <si>
    <t>Especieros</t>
  </si>
  <si>
    <t>Rallador</t>
  </si>
  <si>
    <t xml:space="preserve">Administrador </t>
  </si>
  <si>
    <t>https://www.cursosgastronomia.com.mx/blog/consejos/personal-de-restaurante/</t>
  </si>
  <si>
    <t>https://foodandwineespanol.com/puestos-de-un-restaurante/</t>
  </si>
  <si>
    <t>Bachiller</t>
  </si>
  <si>
    <t>Mesas 2</t>
  </si>
  <si>
    <t>Grado IP
IP20
Garantía
2 Años
Largo del cable (cm)
80
Tendencia
Glam
Ajustable
Si
Número de luces
1
Material
Acero y plastico
Uso
Interior
Ancho (cm)
38
Largo (cm)
45
Color
Dorado
Altura (cm)
48,5
Incluye bombillo
No
Tipo de Rosca
G9
Potencia (W)
30
Voltaje (V)
110 V
Peso (Kg)
0,8</t>
  </si>
  <si>
    <t>https://www.homecenter.com.co/homecenter-co/product/460123/?cid=494566&amp;=INTERNA</t>
  </si>
  <si>
    <t>https://www.homecenter.com.co/homecenter-co/product/215837/?cid=494566&amp;=INTERNA</t>
  </si>
  <si>
    <t>Tipo
Centros de mesa
Características
Accesorio decoración, tipo centro de mesa, pequeño, forma cuadrado.
Capacidad
300 ml
Largo
8 cm
Alto
8,5 cm
Material
Vidrio
Uso
Decorativo
Ancho
8 cm
Color
Transparente</t>
  </si>
  <si>
    <t>https://www.alkosto.com/all-in-one-asus-vivo-aio-23-8-pulgadas-m241dak-ba029t-amd-athlon-gold-4gb-ram-disco-duro-1tb-negro?fuente=google&amp;medio=cpc&amp;campaign=AK_COL_SMARTGSHP_PEF_CPC_SMARTGSHP_EST_COMP_AMD-Q3-Jul14_EXP_JUL&amp;keyword=&amp;gclid=Cj0KCQiAoab_BRCxARIsANMx4S4DNXc7JK0EkrN9jyiTMi7JPNeVSFi5etineT1oCm_2ZN9voGF6myoaAnxHEALw_wcB#review-yotpo</t>
  </si>
  <si>
    <t> Procesador: AMD Athlon Gold 3150U Processor 2.4 GHz (1M Cache, up to 3.3 GHz)
 Sistema Operativo: Windows 10 Home - 64bit
 Memoria RAM 4 GB
 Disco Duro: 1TB
 Pantalla: 23,8" Pulgadas</t>
  </si>
  <si>
    <t>https://www.homecenter.com.co/homecenter-co/product/335269/caja-registradora-pcr-t280-termica-1200-plus-20-departamentos</t>
  </si>
  <si>
    <t>Ancho
39cm
Garantía
1 Año
Observaciones
La foto de este producto ha sido ambientada, por lo cual no incluye ningún adorno, ni accesorios, ni piezas adicionales ni ningún otro elemento que lo acompañan. El color presentado en la fotografía es una aproximación al color real.
Alto
26cm
Material
Pasta / Metal
Uso
Punto de venta
Modelo
PCR-T280 
Color
Negro
Tipo
Caja registradora
Características
Capacidad de rastrear hasta 1200 PLUS. 20 Departamentos. Impresora térmica de 58 mm. Número de operadores: 8 empleados. 4 tablas de impuestos. Cajón monedero con 4 compartimientos de billetes y 5 de monedas.
Largo
40,5cm
Familia
Electrohogar</t>
  </si>
  <si>
    <t>https://www.fincaraiz.com.co/local-en-arriendo/bogota/san_diego_santa-det-5925876.aspx</t>
  </si>
  <si>
    <t>Área privada:
58,00 m²
Área Const.:
58,00 m²
Precio m²:
32.759/m²
Estrato:
4
Estado:
Bueno
Antigüedad:
16 a 30 años
Sector:
Zona Centro</t>
  </si>
  <si>
    <t>https://www.metrocuadrado.com/locales/venta/bogota/san-diego/</t>
  </si>
  <si>
    <t>Nómina</t>
  </si>
  <si>
    <t>Personal de aseo</t>
  </si>
  <si>
    <t>2 años</t>
  </si>
  <si>
    <t>3 años</t>
  </si>
  <si>
    <t>1 año</t>
  </si>
  <si>
    <t>Bien/Servicio</t>
  </si>
  <si>
    <t>Unidades a producir</t>
  </si>
  <si>
    <t>Actividades del proceso</t>
  </si>
  <si>
    <t>Cargos que participan en la actividad</t>
  </si>
  <si>
    <t>Número de personas que intervienen por cargo</t>
  </si>
  <si>
    <t>Equipos que se usan y capacidad</t>
  </si>
  <si>
    <t>Organización de puestos de trabajo y repartición de tareas</t>
  </si>
  <si>
    <t>Lavado de ingredientes</t>
  </si>
  <si>
    <t>Chef</t>
  </si>
  <si>
    <t>Limpieza</t>
  </si>
  <si>
    <t>Hervir agua y cocinar la pasta</t>
  </si>
  <si>
    <t xml:space="preserve">Añadir especias </t>
  </si>
  <si>
    <t>Spaghetti al pollo e besciamella</t>
  </si>
  <si>
    <t>Spaghetti al pollo e salsa alfredo</t>
  </si>
  <si>
    <t>Valor Total</t>
  </si>
  <si>
    <t>WEB</t>
  </si>
  <si>
    <t>Gastos</t>
  </si>
  <si>
    <t>Gas</t>
  </si>
  <si>
    <t>TOTAL</t>
  </si>
  <si>
    <t>Servir a los comensales</t>
  </si>
  <si>
    <t xml:space="preserve">Chef </t>
  </si>
  <si>
    <t>Ayudantes de cocina</t>
  </si>
  <si>
    <t>No aplica</t>
  </si>
  <si>
    <t>Ayudante de cocina</t>
  </si>
  <si>
    <t>Lavaplatos</t>
  </si>
  <si>
    <t>Actividad</t>
  </si>
  <si>
    <t>Costo</t>
  </si>
  <si>
    <t>Spaghetti con salsa aurora y jamón.</t>
  </si>
  <si>
    <t>Spahetti en salsa marinara y frutos del mar</t>
  </si>
  <si>
    <t>Spaghetti con queso mozarella, cheddar y albóndigas</t>
  </si>
  <si>
    <t>Tagliatelle con pesto calabrese</t>
  </si>
  <si>
    <t>Spaghetti con salsa aurora e prosciutto</t>
  </si>
  <si>
    <t>Spahetti in salsa marinara e frutti di mare</t>
  </si>
  <si>
    <t>Pasta, sal, ajo, mantequilla, tomate, albahaca, pimienta, aceite de oliva y salmón.</t>
  </si>
  <si>
    <t>Llevar o no crema</t>
  </si>
  <si>
    <t>Pasta, tomate, atún, cebolla, arvejas, huevo, mayonesa y salchichas.</t>
  </si>
  <si>
    <t>Caracolas rellenas de cerdo y parmeggiano</t>
  </si>
  <si>
    <t>Conchiglie ripiene di maiale e Parmeggiano</t>
  </si>
  <si>
    <t>Raviolis al ragú</t>
  </si>
  <si>
    <t>Ravioli al ragù</t>
  </si>
  <si>
    <t>Cambiar los tipos de queso</t>
  </si>
  <si>
    <t>Minestrone</t>
  </si>
  <si>
    <t>Riso italiano</t>
  </si>
  <si>
    <t>Fondo de cerdo, cebolla puerro, hondashi, huevo, panceta, huevo, fideos, cebollin, cerdo</t>
  </si>
  <si>
    <t>Spaghetti con pesto y brocoli</t>
  </si>
  <si>
    <t>Spaghetti con salsa marinara y verduras</t>
  </si>
  <si>
    <t>Spaghetti con salsa napolitana y bolas de lentejas.</t>
  </si>
  <si>
    <t>Spaghetti con salsa arrabbiata y perejil</t>
  </si>
  <si>
    <t>Spaghetti con salsa pesto y pimentones</t>
  </si>
  <si>
    <t>Spaghetti con pesto e broccoli</t>
  </si>
  <si>
    <t>Spaghetti alla marinara e verdure</t>
  </si>
  <si>
    <t>Spaghetti alla arrabbiata e prezzemolo</t>
  </si>
  <si>
    <t>Adicionar queso vegano</t>
  </si>
  <si>
    <t>Pasta, sal, perejil, ajo, pesto y brocoli</t>
  </si>
  <si>
    <t>Pasta, sal, salsa marinara, ajo, pimienta, zanahoria, zuccini, pimenton, brocoli y nuez moscada</t>
  </si>
  <si>
    <t>Pasta, sal, ajo, pimienta, berenjena, zuccini, pimentón, pasta o salsa de tomate cilantro.</t>
  </si>
  <si>
    <t>Minestrone vegana</t>
  </si>
  <si>
    <t>Pasta, sal, ajo, aceite de oliva, apio, zanahoria, tomate, pimienta, repollo y salsa de la casa.</t>
  </si>
  <si>
    <t>ENTRADAS</t>
  </si>
  <si>
    <t>Ingredientes</t>
  </si>
  <si>
    <t>Total</t>
  </si>
  <si>
    <t>Harina</t>
  </si>
  <si>
    <t>Huevos</t>
  </si>
  <si>
    <t>Sal</t>
  </si>
  <si>
    <t>Aceite</t>
  </si>
  <si>
    <t>Kg</t>
  </si>
  <si>
    <t>L</t>
  </si>
  <si>
    <t>Pasta</t>
  </si>
  <si>
    <t>Perejil</t>
  </si>
  <si>
    <t>Ajo</t>
  </si>
  <si>
    <t>Mantequilla</t>
  </si>
  <si>
    <t>Crema de leche</t>
  </si>
  <si>
    <t>Pollo</t>
  </si>
  <si>
    <t>PASTA</t>
  </si>
  <si>
    <t>SALSA ALFREDO</t>
  </si>
  <si>
    <t>SALSA BECHAMEL</t>
  </si>
  <si>
    <t>Salsa Alfredo</t>
  </si>
  <si>
    <t>Leche</t>
  </si>
  <si>
    <t>Salsa Bechamel</t>
  </si>
  <si>
    <t>Nuez moscada</t>
  </si>
  <si>
    <t>Tipo de pasta</t>
  </si>
  <si>
    <t>Elección</t>
  </si>
  <si>
    <t>Salsa</t>
  </si>
  <si>
    <t>Proteína</t>
  </si>
  <si>
    <t>Vegetales</t>
  </si>
  <si>
    <t>Rellena</t>
  </si>
  <si>
    <t xml:space="preserve">Pansotti  </t>
  </si>
  <si>
    <t>Carne de res, pollo, jamón, queso</t>
  </si>
  <si>
    <t>Champiñones, queso vegano, espinacas</t>
  </si>
  <si>
    <t>Tortellini</t>
  </si>
  <si>
    <t>Larga</t>
  </si>
  <si>
    <t xml:space="preserve">Spaghetti </t>
  </si>
  <si>
    <t>Fettuccine</t>
  </si>
  <si>
    <t>Corta</t>
  </si>
  <si>
    <t xml:space="preserve">Gnocchi  </t>
  </si>
  <si>
    <t>Penne</t>
  </si>
  <si>
    <t xml:space="preserve">Ravioli </t>
  </si>
  <si>
    <t>Spaghetti</t>
  </si>
  <si>
    <t>Bucattini</t>
  </si>
  <si>
    <t>Maccheroni</t>
  </si>
  <si>
    <t>Fusilli</t>
  </si>
  <si>
    <t>Agnolotti</t>
  </si>
  <si>
    <t>Tagliatelle</t>
  </si>
  <si>
    <t>Rigattoni</t>
  </si>
  <si>
    <t>Farfalle</t>
  </si>
  <si>
    <t xml:space="preserve">Pansotti </t>
  </si>
  <si>
    <t>Pollo, jamón, carne de res y cerdo</t>
  </si>
  <si>
    <t>Ravioli</t>
  </si>
  <si>
    <t>Pansotti</t>
  </si>
  <si>
    <t>Cannelonis</t>
  </si>
  <si>
    <t>Pimentón rojo, frijoles, espárragos</t>
  </si>
  <si>
    <t>Fideos</t>
  </si>
  <si>
    <t>Capelli d’angelo</t>
  </si>
  <si>
    <t>Pollo, jamón, carne de res y carne de cerdo</t>
  </si>
  <si>
    <t>Diseño</t>
  </si>
  <si>
    <t>Ingredientes de la interfaz</t>
  </si>
  <si>
    <t>Emoticones</t>
  </si>
  <si>
    <t>Carita feliz</t>
  </si>
  <si>
    <t>Cabeza: Pasta con salsa acorde a los días</t>
  </si>
  <si>
    <t>Corazón</t>
  </si>
  <si>
    <t>Corazón: Pasta con salsa acorde a los días, con pollo, carne, salchichas, tomate Cherry, zucchini.</t>
  </si>
  <si>
    <t>Guiño</t>
  </si>
  <si>
    <t>Cara: Pasta con salsa acorde a los días</t>
  </si>
  <si>
    <t>Ojos y boca: Habichuelas, lentejas, pollo, carne, camarones</t>
  </si>
  <si>
    <t>Delicioso</t>
  </si>
  <si>
    <t>Ojos y boca: Habichuelas, zanahoria, garbanzos, pollo, carne, camarones</t>
  </si>
  <si>
    <t>Estrella</t>
  </si>
  <si>
    <t>Bordes: Zanahoria, tomate Cherry, jamón</t>
  </si>
  <si>
    <t>Luna</t>
  </si>
  <si>
    <t>Animales y flores</t>
  </si>
  <si>
    <t>León</t>
  </si>
  <si>
    <t>Ojos y boca: Aceitunas, zanahoria, jamón, salsas</t>
  </si>
  <si>
    <t>Melena: Pasta con salsa acorde a los días</t>
  </si>
  <si>
    <t>Sapo</t>
  </si>
  <si>
    <t>Ojos y boca: Pollo, carne, salchichas, zanahoria, coliflor.</t>
  </si>
  <si>
    <t>Pájaros</t>
  </si>
  <si>
    <t>Nido: Pasta con salsa acorde a los días</t>
  </si>
  <si>
    <t>Ojos y boca: Zanahoria, aceitunas, salsas.</t>
  </si>
  <si>
    <t>Oveja</t>
  </si>
  <si>
    <t>Ojos y boca: Jamón, carne, pollo, berenjena, zucchini, brócoli.</t>
  </si>
  <si>
    <t>Oso</t>
  </si>
  <si>
    <t>Pulpo</t>
  </si>
  <si>
    <t>Mar: Pasta con salsa acorde a los días</t>
  </si>
  <si>
    <t>Margarita</t>
  </si>
  <si>
    <t>Pétalos: Pasta con salsa acorde a los días</t>
  </si>
  <si>
    <t>Tallo: Habichuela, espárragos, carne, pollo, jamón</t>
  </si>
  <si>
    <t>Hojas: Brócoli, salsa</t>
  </si>
  <si>
    <t>Rosa</t>
  </si>
  <si>
    <t>Tallo: Habichuela, zanahoria, pescado, pollo, jamón</t>
  </si>
  <si>
    <t>https://www.pulzo.com/economia/lista-precios-alimentos-corabastos-PP872974</t>
  </si>
  <si>
    <t>Carne</t>
  </si>
  <si>
    <t>Salsa amatriciana</t>
  </si>
  <si>
    <t>Tomate</t>
  </si>
  <si>
    <t>Cebolla</t>
  </si>
  <si>
    <t>Guindilla</t>
  </si>
  <si>
    <t>Fondo de res</t>
  </si>
  <si>
    <t>Pimienta</t>
  </si>
  <si>
    <t>Aceite de oliva</t>
  </si>
  <si>
    <t>Apio</t>
  </si>
  <si>
    <t>Zanahoria</t>
  </si>
  <si>
    <t>Queso Pec</t>
  </si>
  <si>
    <t>Panceta</t>
  </si>
  <si>
    <t>Huevo</t>
  </si>
  <si>
    <t>Salsa Carbonara</t>
  </si>
  <si>
    <t>Salsa Napolitana</t>
  </si>
  <si>
    <t>Albahaca</t>
  </si>
  <si>
    <t>Azúcar</t>
  </si>
  <si>
    <t>Aceite de O</t>
  </si>
  <si>
    <t>Orégano</t>
  </si>
  <si>
    <t>Salsa puttanesca</t>
  </si>
  <si>
    <t>Anchoas</t>
  </si>
  <si>
    <t>Guindilla roja</t>
  </si>
  <si>
    <t>Alcaparras</t>
  </si>
  <si>
    <t>Pasta de tomate</t>
  </si>
  <si>
    <t>Agua</t>
  </si>
  <si>
    <t>Queso parmesano</t>
  </si>
  <si>
    <t>Salsa funghi</t>
  </si>
  <si>
    <t>Champiñones</t>
  </si>
  <si>
    <t>Vino blanco</t>
  </si>
  <si>
    <t>Queso M</t>
  </si>
  <si>
    <t>Salsa Aurora</t>
  </si>
  <si>
    <t>Jamón</t>
  </si>
  <si>
    <t>Camarones</t>
  </si>
  <si>
    <t>Salsa napotilana</t>
  </si>
  <si>
    <t>Brocoli</t>
  </si>
  <si>
    <t>Queso Mozarella</t>
  </si>
  <si>
    <t>Especias</t>
  </si>
  <si>
    <t>Salsa marinara</t>
  </si>
  <si>
    <t>Mejillones</t>
  </si>
  <si>
    <t>Almejas</t>
  </si>
  <si>
    <t>Langostinos</t>
  </si>
  <si>
    <t>Calamar</t>
  </si>
  <si>
    <t>Pescado</t>
  </si>
  <si>
    <t>Oregáno</t>
  </si>
  <si>
    <t>Salsa Picante</t>
  </si>
  <si>
    <t>Queso Che</t>
  </si>
  <si>
    <t>Crema</t>
  </si>
  <si>
    <t>Pimentón amarillo</t>
  </si>
  <si>
    <t>Pimentón rojo</t>
  </si>
  <si>
    <t>Pimentón verde</t>
  </si>
  <si>
    <t>Carne molida</t>
  </si>
  <si>
    <t>Carne de res</t>
  </si>
  <si>
    <t>Lomo de cerdo</t>
  </si>
  <si>
    <t>Salsa bolognesa</t>
  </si>
  <si>
    <t>Salsa de ostras</t>
  </si>
  <si>
    <t>Espinaca</t>
  </si>
  <si>
    <t>Salsa Pesto</t>
  </si>
  <si>
    <t>Cerdo</t>
  </si>
  <si>
    <t>Queso</t>
  </si>
  <si>
    <t>Salsa pesto calabrese</t>
  </si>
  <si>
    <t>Salchichas</t>
  </si>
  <si>
    <t>Salmón</t>
  </si>
  <si>
    <t>Atún</t>
  </si>
  <si>
    <t>Arvejas</t>
  </si>
  <si>
    <t>Mayonesa</t>
  </si>
  <si>
    <t>Salsa de tomate</t>
  </si>
  <si>
    <t>Cebolla blanca</t>
  </si>
  <si>
    <t>Pasta, sal, crema, perejil, tomate cherry, queso mozzarella, cebolla y ajo.</t>
  </si>
  <si>
    <t>Pasta, sal, mayonesa, tomate, cebolla, atún, especias, aceite de oliva y pimienta.</t>
  </si>
  <si>
    <t xml:space="preserve">Pimienta </t>
  </si>
  <si>
    <t>Pasta tomate</t>
  </si>
  <si>
    <t>Salsa bechamel</t>
  </si>
  <si>
    <t>Pasta, sal, queso mozzarella, perejil, albahaca y salsa bechamel</t>
  </si>
  <si>
    <t>Salsa Boloñesa</t>
  </si>
  <si>
    <t>Salsa alfredo</t>
  </si>
  <si>
    <t>Queso Goudda</t>
  </si>
  <si>
    <t>Salsa casa</t>
  </si>
  <si>
    <t>Salsa cremosa</t>
  </si>
  <si>
    <t>Pimentón</t>
  </si>
  <si>
    <t>Queso brie</t>
  </si>
  <si>
    <t>Crema leche</t>
  </si>
  <si>
    <t>Papa</t>
  </si>
  <si>
    <t>Pasta, sal, zanahoria, ajo, apio, arvejas, mazorca, cebolla, cilantro y proteína.</t>
  </si>
  <si>
    <t>Mazorca</t>
  </si>
  <si>
    <t>Cilantro</t>
  </si>
  <si>
    <t>Arroz a la italiana</t>
  </si>
  <si>
    <t>Pasta, arroz, sal, arveja, ajo, cebolla, proteína.</t>
  </si>
  <si>
    <t>Arroz</t>
  </si>
  <si>
    <t>Arveja</t>
  </si>
  <si>
    <t>Salsa boloñesa</t>
  </si>
  <si>
    <t xml:space="preserve">Queso </t>
  </si>
  <si>
    <t>Salsa de la casa</t>
  </si>
  <si>
    <t>Frutas</t>
  </si>
  <si>
    <t>Crema tres leches</t>
  </si>
  <si>
    <t>Salsa pesto</t>
  </si>
  <si>
    <t>Fondo de cerdo</t>
  </si>
  <si>
    <t>Cebolla puerro</t>
  </si>
  <si>
    <t>Hondashi</t>
  </si>
  <si>
    <t>Cebollin</t>
  </si>
  <si>
    <t>Spaguetti con brocoli, bañada 
en salsa pesto</t>
  </si>
  <si>
    <t>Salsa Marinara</t>
  </si>
  <si>
    <t>Pimetón</t>
  </si>
  <si>
    <t>Zuccini</t>
  </si>
  <si>
    <t>Spaguetti con perejil picado, bañada 
en salsa arrabbiata</t>
  </si>
  <si>
    <t>Lentejas</t>
  </si>
  <si>
    <t>Salsa arrabbiata</t>
  </si>
  <si>
    <t>Garbanzos</t>
  </si>
  <si>
    <t>Spaguetti con pimentones picados, bañada 
en salsa pesto.</t>
  </si>
  <si>
    <t>Spaghetti alla pesto e peperoni</t>
  </si>
  <si>
    <t>Guindilla verde</t>
  </si>
  <si>
    <t>Aceitunas</t>
  </si>
  <si>
    <t>Pasta, sal, ajo, champiñones, aceite de oliva, vino blanco, tomate cherry y salsa pesto.</t>
  </si>
  <si>
    <t>Berenjena</t>
  </si>
  <si>
    <t>Espinacas</t>
  </si>
  <si>
    <t>Queso vegano</t>
  </si>
  <si>
    <t>Pimentones</t>
  </si>
  <si>
    <t>Vinare Blanco</t>
  </si>
  <si>
    <t>Calabaza</t>
  </si>
  <si>
    <t>Repollo</t>
  </si>
  <si>
    <t>Aceite de Oliva</t>
  </si>
  <si>
    <t>Queso Parmesano</t>
  </si>
  <si>
    <t>Pasta, sal, perejil, ajo, queso parmesano, salsa alfredo y pollo</t>
  </si>
  <si>
    <t>https://www.vix.com/es/imj/gourmet/2011/01/10/como-hacer-salsa-alfredo</t>
  </si>
  <si>
    <t>Harina de trigo</t>
  </si>
  <si>
    <t>Leche entera</t>
  </si>
  <si>
    <t>https://www.directoalpaladar.com/curso-de-cocina/salsa-bechamel-receta-definitiva-siempre-te-quede-perfecta</t>
  </si>
  <si>
    <t>Pasta, sal, ajo, salsa bechamel y pollo.</t>
  </si>
  <si>
    <t>Pasta, sal, ajo, carne, salsa amatriciana, queso parmesano.</t>
  </si>
  <si>
    <t>SALSA BOLOÑESA</t>
  </si>
  <si>
    <t>https://www.directoalpaladar.com/recetas-de-pasta/la-receta-de-la-salsa-bolonesa-autentica</t>
  </si>
  <si>
    <t>Pasta, sal, ajo, aceite de oliva, pimienta, salsa boloñesa y carne.</t>
  </si>
  <si>
    <t>https://www.recetasdeescandalo.com/salsa-carbonara-la-receta-original-y-la-version-con-nata/</t>
  </si>
  <si>
    <t>Queso Pecorino</t>
  </si>
  <si>
    <t>Pasta, sal, salsa carbonara, queso pecorino y queso parmesano.</t>
  </si>
  <si>
    <t>Pimienta negra</t>
  </si>
  <si>
    <t>Pasta, sal, ajo, guindilla, salsa napolitana y carne.</t>
  </si>
  <si>
    <t>Pasta, sal,  salsa puttanesca y carne.</t>
  </si>
  <si>
    <t>https://www.recetasgratis.net/receta-de-salsa-puttanesca-57484.html</t>
  </si>
  <si>
    <t>Pasta, sal,salsa funghi, queso parmesano, pollo y panceta.</t>
  </si>
  <si>
    <t>Caldo de pollo</t>
  </si>
  <si>
    <t>Pasta, sal, ajo, pimienta, perejil, queso mozarella, salsa aurora y jamón.</t>
  </si>
  <si>
    <t>Pasta, sal, ajo, pimienta, salsa napolitana y camarones.</t>
  </si>
  <si>
    <t>Pasta, sal, perejil, ajo, queso parmesano, salsa alfredo, panceta, pollo y brocoli.</t>
  </si>
  <si>
    <t>Pasta, sal, ajo, queso mozarella, salsa bechamel y 
jamón.</t>
  </si>
  <si>
    <t>Pasta, sal, ajo, tomate cherry, especias, mantequilla y mejillones.</t>
  </si>
  <si>
    <t>Tomate Cherry</t>
  </si>
  <si>
    <t>Pasta, sal, salsa marinara, mejillones, almejas, langostinos, calamar y  pescado.</t>
  </si>
  <si>
    <t>Pasta,  sal, pimienta, cebolla,  salsa picante, queso cheddar,queso mozarella, carne y especias.</t>
  </si>
  <si>
    <t>Pasta,  sal, ajo, especias, crema, queso cheddar, pimentón amarillo, rojo y verde y carne molida.</t>
  </si>
  <si>
    <t>Queso Cheddar</t>
  </si>
  <si>
    <t>Pasta, sal, ajo, salsa boloñesa, carne de res y lomo de cerdo.</t>
  </si>
  <si>
    <t>Pasta, sal, pimienta, queso parmesano, salsa de parmesano y leche  y pollo.</t>
  </si>
  <si>
    <t>Salsa de Parmesano</t>
  </si>
  <si>
    <t xml:space="preserve">Pasta, sal, ajo, pimienta, salsa de ostras, camarones, y espinacas. </t>
  </si>
  <si>
    <t>SALSA PESTO</t>
  </si>
  <si>
    <t>Pasta, sal, salsa pesto, queso parmesano, cerdo y especias.</t>
  </si>
  <si>
    <t xml:space="preserve">Fetticcine con salsa pesto y chuleta de cerdo </t>
  </si>
  <si>
    <t>https://www.directoalpaladar.com/recetas-de-salsas-y-guarniciones/pesto-de-albahaca-receta-tradicional-italiana</t>
  </si>
  <si>
    <t>Queso Ricotta</t>
  </si>
  <si>
    <t>Pasta, sal, ajo, pimienta, salsa pesto calarese,orégano,carne, salchichas,  y queso pecorino.</t>
  </si>
  <si>
    <t>Pasta, sal, ajo, salsa carbonara, queso pecorino, queso parmesano y pollo.</t>
  </si>
  <si>
    <t>Salsa de tres quesos</t>
  </si>
  <si>
    <t>Pasta, sal, ajo, mantequilla, champiñones, pollo,  perejil, salsa de tres quesos.</t>
  </si>
  <si>
    <t>Pasta, sal, ajo, salsa puttanesca y carne.</t>
  </si>
  <si>
    <t>Pasta, sal, salsa pesto, pimienta y queso parmesano</t>
  </si>
  <si>
    <t>Pasta, sal, tomate, ajo, oréngano, pimienta, albahaca y salmón.</t>
  </si>
  <si>
    <t>SALSA DE LA CASA</t>
  </si>
  <si>
    <t xml:space="preserve">Farfalle con pollo </t>
  </si>
  <si>
    <t>Pasta, sal, tomate, ajo, salsa de tomate, cebolla blanca, aceite de oliva, pimienta, pechuga de pollo y especias</t>
  </si>
  <si>
    <t>Pasta, sal, salsa bechamel, especias, queso mozarella y pollo.</t>
  </si>
  <si>
    <t>Pasta, sal, salsa boloñesa, carne y especias</t>
  </si>
  <si>
    <t>Pasta, sal, pasta de tomate, cebolla, jamón y queso gruyere.</t>
  </si>
  <si>
    <t>Queso Gruyere</t>
  </si>
  <si>
    <t>Queso Parmesa</t>
  </si>
  <si>
    <t>Pasta, sal, perejil, ajo, queso parmesano, salsa alfredo y cerdo.</t>
  </si>
  <si>
    <t>Pasta, sal, ajo, mantequilla, aceite de oliva, salsa boloñesa,  pimienta y carne.</t>
  </si>
  <si>
    <t>Pasta, sal, perejil, ajo, salsa alfredo, queso ricotta y jamón</t>
  </si>
  <si>
    <t>Queso ricotta</t>
  </si>
  <si>
    <t>Raviolis rellenos de queso en salsa de tres quesos</t>
  </si>
  <si>
    <t>Pasta, sal, ajo,  pimienta, salsa de tres quesos, queso de altra maduración (gouda o parmiggiano).</t>
  </si>
  <si>
    <t>https://www.recetasgratis.net/receta-de-salsa-tres-quesos-56026.html</t>
  </si>
  <si>
    <t>Pasta, sal, ajo, pimienta, salsa de la casa, perejil ycerdo</t>
  </si>
  <si>
    <t xml:space="preserve">Tomate </t>
  </si>
  <si>
    <t xml:space="preserve">Nata </t>
  </si>
  <si>
    <t>https://www.directoalpaladar.com/recetas-de-pasta/receta-de-espaguetis-con-salsa-cremosa-de-tomate</t>
  </si>
  <si>
    <t>Pasta, sal, ajo, queso mozzarella, salsa cremosa,  pimentón, pimienta, albahaca, orégano y espinacas.</t>
  </si>
  <si>
    <t>Pasta, sal, salsa de tres quesos, panceta, y perejil.</t>
  </si>
  <si>
    <t>Papa, sal, ajo, queso brie, crema de leche y proteína.</t>
  </si>
  <si>
    <t>Lasaña de pollo y salsa bechamel</t>
  </si>
  <si>
    <t>Pasta, sal, carne, queso mozarella, salsa boloñesa o amatriccina y jamón.</t>
  </si>
  <si>
    <t>Pasta, sal, pescado, queso goudda, salsa marinara y especias.</t>
  </si>
  <si>
    <t>Pasta, sal, queso, jamón, salsa de la casa, especias.</t>
  </si>
  <si>
    <t>Pasta, sal, carne, cerdo, salsa napolitana, queso parmesano.</t>
  </si>
  <si>
    <t>Queso mozarella</t>
  </si>
  <si>
    <t>Pasta, sal, ajo, salsa boloñesa, carne y queso mozzarella.</t>
  </si>
  <si>
    <t>Pasta, sal, salsa napolitana, carne, cebollas y especias</t>
  </si>
  <si>
    <t>Pasta, salsa pesto, pollo, ajo, pimienta, sal, queso goudda.</t>
  </si>
  <si>
    <t>Spaguetti con verduras finamente cortadas, bañada en salsa marinara</t>
  </si>
  <si>
    <t>Spaguetti con verduras</t>
  </si>
  <si>
    <t>Spaghetti all'a verdure</t>
  </si>
  <si>
    <t>Pasta, sal, ajo, tomate, cebolla, guindilla, champiñones y aceite de oliva.</t>
  </si>
  <si>
    <t>Pasta, sal, ajo, aceite de oliva, apio, zanahoria, tomate, pimienta y bolas de lentejas.</t>
  </si>
  <si>
    <t>Pasta, sal, ajo, salsa arrabbiata, perejil y especias.</t>
  </si>
  <si>
    <t>Spaghetti con salsa marinara y bolas de garbanzos.</t>
  </si>
  <si>
    <t>Pasta, sal, ajo, salsa marinara, bolas de garbanzos y aceite de oliva.</t>
  </si>
  <si>
    <t>Spaghetti al sugo marinara e polpette di ceci.</t>
  </si>
  <si>
    <t>Guindilla amarillo</t>
  </si>
  <si>
    <t>Pasta, sal, ajo, pesto, guindilla roja, verde y amarillo, alcaparras, aceitunas, tomate, aceite de oliva, pimienta.</t>
  </si>
  <si>
    <t>Tomate cherry</t>
  </si>
  <si>
    <t>Pasta, sal, champiñones, espinacas,  pimienta y vino blanco.</t>
  </si>
  <si>
    <t>Pasta, queso vegano, sal, brocoli, zanahoria, caldo vegano, pimentones, vinagre blanco,  pimienta.</t>
  </si>
  <si>
    <t>Caldo Vegano</t>
  </si>
  <si>
    <t>Papa, sal, pesto, zanahoria, y brocoli.</t>
  </si>
  <si>
    <t>Lasaña de verduras con salsa pesto y queso vegano.</t>
  </si>
  <si>
    <t>Pasta, zanahoria, berenjena, zuccini, calabaza, salsa pesto y queso vegano.</t>
  </si>
  <si>
    <t>Lasaña de verduras y lentejas con queso vegano</t>
  </si>
  <si>
    <t>Aceite Oliva</t>
  </si>
  <si>
    <t>Bucatini a la marinara con tomate y espinaca</t>
  </si>
  <si>
    <t>Bucatini alla marinara con pomodoro e spinaci</t>
  </si>
  <si>
    <t>Bucatini con salsa marinara con tomates y espinaca</t>
  </si>
  <si>
    <t>Pasta, sal, salsa, queso, proteína.</t>
  </si>
  <si>
    <t>Pasta, sal, queso y jamón</t>
  </si>
  <si>
    <t xml:space="preserve">Salsa </t>
  </si>
  <si>
    <t>Farfalle alla verdure</t>
  </si>
  <si>
    <t>Farfalle con coliflor, espárragos y zanahoria</t>
  </si>
  <si>
    <t>Colifor</t>
  </si>
  <si>
    <t>Espárragos</t>
  </si>
  <si>
    <t>Farfalle con frijol negro, tomate cherry y pimentón</t>
  </si>
  <si>
    <t>Farfalle alla frijole</t>
  </si>
  <si>
    <t>Pasta, sal, ajo, pimienta, frijol negro, tomate cherry y pimentón</t>
  </si>
  <si>
    <t>Frijol negro</t>
  </si>
  <si>
    <t>Pasta, sal, ajo, pimienta, colifor, espárragos y zanahoria</t>
  </si>
  <si>
    <t>Raviolis rellenos de espinaca</t>
  </si>
  <si>
    <t>Ravioli ripieni di espinaca</t>
  </si>
  <si>
    <t>Pasta, sal, ajo, espinaca, queso vegano y aceite de oliva.</t>
  </si>
  <si>
    <t>Minestrone de la casa</t>
  </si>
  <si>
    <t>Minestrone di casa</t>
  </si>
  <si>
    <t>Pasta, sal, habichuela, papa, zanahoria, mazorca, cebolla, espinaca.</t>
  </si>
  <si>
    <t>Habichuela</t>
  </si>
  <si>
    <t>Bucatini con frijol</t>
  </si>
  <si>
    <t>Bucatini alla frijole</t>
  </si>
  <si>
    <t>Bucatini con frijoles y espárragos</t>
  </si>
  <si>
    <t>Pasta, sal, frijoles, espárragos y aceite de oliba</t>
  </si>
  <si>
    <t>Frijoles</t>
  </si>
  <si>
    <t>Pasta, sal, salsa marinara, cebolla, tomate, ajo, espinaca.</t>
  </si>
  <si>
    <t>Brócoli</t>
  </si>
  <si>
    <t>Queso Vegano</t>
  </si>
  <si>
    <t>Frjoles</t>
  </si>
  <si>
    <t>Chorizo</t>
  </si>
  <si>
    <t>Salchicha</t>
  </si>
  <si>
    <t>Habichuelas</t>
  </si>
  <si>
    <t>Objetos y personajes</t>
  </si>
  <si>
    <t>Martillo</t>
  </si>
  <si>
    <t>Mango: Pasta con salsa acorde a los días</t>
  </si>
  <si>
    <t>Auto</t>
  </si>
  <si>
    <t>Carrocería: Pasta con salsa acorde a los días</t>
  </si>
  <si>
    <t>Llantas: Zanahoria, berenjena, zucchini, tomate</t>
  </si>
  <si>
    <t>Pantalón</t>
  </si>
  <si>
    <t>Pantalón: Pasta con salsa acorde a los días</t>
  </si>
  <si>
    <t>Botón: Albóndigas de pollo o carne, zanahoria, brócoli</t>
  </si>
  <si>
    <t>Vampiro</t>
  </si>
  <si>
    <t>Ojos, boca y nariz: Salsas, arroz, garbanzos, aceitunas</t>
  </si>
  <si>
    <t>Vaquero</t>
  </si>
  <si>
    <t>Sombrero: Garbanzos, zanahoria, habichuela</t>
  </si>
  <si>
    <t>Coliflor</t>
  </si>
  <si>
    <t>Chorizos</t>
  </si>
  <si>
    <t>FRUTAS</t>
  </si>
  <si>
    <t>VERDURAS</t>
  </si>
  <si>
    <t>PROTEÍNAS</t>
  </si>
  <si>
    <t>Carne de cerdo</t>
  </si>
  <si>
    <t>Lacteos</t>
  </si>
  <si>
    <t>Mariscos</t>
  </si>
  <si>
    <t>Cebolla larga</t>
  </si>
  <si>
    <t>Cebolla morada</t>
  </si>
  <si>
    <t>Pimetón amarillo</t>
  </si>
  <si>
    <t>Granos</t>
  </si>
  <si>
    <t>Naranja</t>
  </si>
  <si>
    <t>Fresa</t>
  </si>
  <si>
    <t>Caracolas</t>
  </si>
  <si>
    <t>Pappardelle</t>
  </si>
  <si>
    <t>Lasagna</t>
  </si>
  <si>
    <t>Gnocchi</t>
  </si>
  <si>
    <t>Capelli d'angelo</t>
  </si>
  <si>
    <t>Aceituina</t>
  </si>
  <si>
    <t>Otros</t>
  </si>
  <si>
    <t>Paprika</t>
  </si>
  <si>
    <t>Ajo molido</t>
  </si>
  <si>
    <t>Bicarbonato</t>
  </si>
  <si>
    <t>Color</t>
  </si>
  <si>
    <t>Azafrán</t>
  </si>
  <si>
    <t>Anis</t>
  </si>
  <si>
    <t>Canela</t>
  </si>
  <si>
    <t>Comino</t>
  </si>
  <si>
    <t>Curcuma</t>
  </si>
  <si>
    <t>Laurel</t>
  </si>
  <si>
    <t>Pimienta blanca</t>
  </si>
  <si>
    <t>Romero</t>
  </si>
  <si>
    <t>Tomillo</t>
  </si>
  <si>
    <t xml:space="preserve">Aceite </t>
  </si>
  <si>
    <t>Unidadd</t>
  </si>
  <si>
    <t>Vino Blsnco</t>
  </si>
  <si>
    <t>Salsa picante</t>
  </si>
  <si>
    <t>Nata</t>
  </si>
  <si>
    <t>Kiwi</t>
  </si>
  <si>
    <t>Banano</t>
  </si>
  <si>
    <t>Puerro</t>
  </si>
  <si>
    <t>Papaya</t>
  </si>
  <si>
    <t>Manzana</t>
  </si>
  <si>
    <t>Helado</t>
  </si>
  <si>
    <t>Mostaza</t>
  </si>
  <si>
    <t>Almendras</t>
  </si>
  <si>
    <t>Tocineta</t>
  </si>
  <si>
    <t>Pan blanco</t>
  </si>
  <si>
    <t>Lulo</t>
  </si>
  <si>
    <t>Limón</t>
  </si>
  <si>
    <t>Coco</t>
  </si>
  <si>
    <t>Mora</t>
  </si>
  <si>
    <t>Curuba</t>
  </si>
  <si>
    <t>Maracuyá</t>
  </si>
  <si>
    <t>Unidad2</t>
  </si>
  <si>
    <t>Precio3</t>
  </si>
  <si>
    <t>Unidad4</t>
  </si>
  <si>
    <t>Precio5</t>
  </si>
  <si>
    <t>Unidad6</t>
  </si>
  <si>
    <t>Precio7</t>
  </si>
  <si>
    <t>Unidad8</t>
  </si>
  <si>
    <t>Precio9</t>
  </si>
  <si>
    <t>Unidad10</t>
  </si>
  <si>
    <t>Precio11</t>
  </si>
  <si>
    <t>Unidad12</t>
  </si>
  <si>
    <t>Precio13</t>
  </si>
  <si>
    <t>Precio14</t>
  </si>
  <si>
    <t>Leche de almendras</t>
  </si>
  <si>
    <t>Salsa marinana</t>
  </si>
  <si>
    <t>Spaguetti con bolas de lentejas</t>
  </si>
  <si>
    <t>Spaghetti alla  polpette di lenticchie.</t>
  </si>
  <si>
    <t>https://www.demoslavueltaaldia.com/receta/salsa-amatriciana</t>
  </si>
  <si>
    <t>Ubicación</t>
  </si>
  <si>
    <t>Parqueaderos</t>
  </si>
  <si>
    <t>Ambiente</t>
  </si>
  <si>
    <t>Área</t>
  </si>
  <si>
    <t>Valor del canon</t>
  </si>
  <si>
    <t>Competencia</t>
  </si>
  <si>
    <t>Servicios Públicos</t>
  </si>
  <si>
    <t>Normatividad</t>
  </si>
  <si>
    <t>Locales</t>
  </si>
  <si>
    <t>La macarena</t>
  </si>
  <si>
    <t>Web</t>
  </si>
  <si>
    <t>https://www.fincaraiz.com.co/local-en-arriendo/bogota/macarena-det-5925876.aspx</t>
  </si>
  <si>
    <t>https://www.fincaraiz.com.co/local-en-arriendo/bogota/macarena-det-5668085.aspx</t>
  </si>
  <si>
    <t>https://www.fincaraiz.com.co/local-en-arriendo/bogota/macarena-det-6077904.aspx</t>
  </si>
  <si>
    <t>https://www.fincaraiz.com.co/local-en-arriendo/bogota/san_diego_santa-det-6192179.aspx</t>
  </si>
  <si>
    <t>San Diego</t>
  </si>
  <si>
    <t>https://www.fincaraiz.com.co/local-en-arriendo/bogota/san_diego-det-5749808.aspx</t>
  </si>
  <si>
    <t>https://www.fincaraiz.com.co/local-en-arriendo/bogota/san_diego-det-5639602.aspx</t>
  </si>
  <si>
    <t>https://www.fincaraiz.com.co/local-en-arriendo/bogota/san_diego-det-6022690.aspx</t>
  </si>
  <si>
    <t>https://www.fincaraiz.com.co/local-en-arriendo/bogota/san_diego_santa-det-5858573.aspx</t>
  </si>
  <si>
    <t>Calificación</t>
  </si>
  <si>
    <t>Canon</t>
  </si>
  <si>
    <t>Vías</t>
  </si>
  <si>
    <t>Estacionamiento</t>
  </si>
  <si>
    <t>No</t>
  </si>
  <si>
    <t>Si</t>
  </si>
  <si>
    <t>Valor del Canon</t>
  </si>
  <si>
    <t>Serv. Púb</t>
  </si>
  <si>
    <t>Normas</t>
  </si>
  <si>
    <t>Factores</t>
  </si>
  <si>
    <t>Nota</t>
  </si>
  <si>
    <t>Valor</t>
  </si>
  <si>
    <t>Porcentaje</t>
  </si>
  <si>
    <t xml:space="preserve">Sal </t>
  </si>
  <si>
    <t>Clavo</t>
  </si>
  <si>
    <t>Queso Mozzarella</t>
  </si>
  <si>
    <t>Total:</t>
  </si>
  <si>
    <t>Caldo de verduras</t>
  </si>
  <si>
    <t>Caldo de Verduras</t>
  </si>
  <si>
    <t>Leche Condesada</t>
  </si>
  <si>
    <t>Trucha</t>
  </si>
  <si>
    <t>Bagre</t>
  </si>
  <si>
    <t>Pescado, pollo, chorizo, salchicha.</t>
  </si>
  <si>
    <t>Moluscos, pescado, pollo y carne de res</t>
  </si>
  <si>
    <t>Moluscos</t>
  </si>
  <si>
    <t>Crustáceos</t>
  </si>
  <si>
    <t>Moluscos, carne de res y pollo</t>
  </si>
  <si>
    <t>Vidrios: Jamón, pescado, queso, queso vegano</t>
  </si>
  <si>
    <t>Traje y cabello: Carne, pescado, berenjena, lentejas</t>
  </si>
  <si>
    <t>Ojos, boca y nariz: Carne, pescado, berenjena, frijoles</t>
  </si>
  <si>
    <t>Cabeza: Carne, pollo, cerdo, pescado, zanahoria, habichuelas</t>
  </si>
  <si>
    <t xml:space="preserve">Cerdo </t>
  </si>
  <si>
    <t>Ojos y boca: Habichuelas, lentejas, pollo, carne, pescado.</t>
  </si>
  <si>
    <t>Estrella: Pasta con salsa acorde a los días con pollo o pescado, brócoli, habichuelas</t>
  </si>
  <si>
    <t>Luna: Pasta con salsa acorde a los días con pollo, pescado, brócoli, arvejas</t>
  </si>
  <si>
    <t>Cara: Pollo, pescado</t>
  </si>
  <si>
    <t>Cuerpo:  Carne, pollo, cerdo</t>
  </si>
  <si>
    <t>Ojos y boca: Jamón, carne, pollo, pescado, berenjena, zucchini, brócoli.</t>
  </si>
  <si>
    <t>Pulpos: Salchichas o chorizos, moluscos, zanahoria, habichuela, zucchini</t>
  </si>
  <si>
    <t>Succo di ananas</t>
  </si>
  <si>
    <t>Jugo con piña</t>
  </si>
  <si>
    <t>Mililitros</t>
  </si>
  <si>
    <t>Jugo de piña, banano y papaya</t>
  </si>
  <si>
    <t>Jugo con agua de coco</t>
  </si>
  <si>
    <t>Succo con acqua di cocco</t>
  </si>
  <si>
    <t>Jugo de sandía, agua de coco, limón verde y menta</t>
  </si>
  <si>
    <t>Agua o leche, azúcar morena,  sandía, agua de coco, limón verde y menta</t>
  </si>
  <si>
    <t>Succo di mirtilli</t>
  </si>
  <si>
    <t>Jugo con arándanos</t>
  </si>
  <si>
    <t>Jugo de arándanos, mango y banana</t>
  </si>
  <si>
    <t>Agua o leche, azúcar morena, arándanos, mango y banana</t>
  </si>
  <si>
    <t>Succo di mela</t>
  </si>
  <si>
    <t>Jugo con manzana</t>
  </si>
  <si>
    <t>Jugo de manzana, coco, almendras y canela</t>
  </si>
  <si>
    <t>Agua o leche, azúcar morena, manzana, coco, almendras y canela</t>
  </si>
  <si>
    <t>Smotohie con naranja</t>
  </si>
  <si>
    <t>Frullato all'arancia</t>
  </si>
  <si>
    <t>Smoothie con naranja, frutos del bosque, almendras, hielo, agua</t>
  </si>
  <si>
    <t>Agua, azúcar, naranja, frutos del bosque, almendras, hielo.</t>
  </si>
  <si>
    <t>Berry buono</t>
  </si>
  <si>
    <t>Berry Bueno</t>
  </si>
  <si>
    <t>Jugo con sandía, frutillas grandes, arándanos, miel</t>
  </si>
  <si>
    <t>Agua, azúcar, sandía, frutillas grandes, arándanos, miel, hielo</t>
  </si>
  <si>
    <t>Colpo di coriandolo</t>
  </si>
  <si>
    <t>Shot de cilantro</t>
  </si>
  <si>
    <t>Agua, azúcar, pepino, uva verde, cilantro, manzana verde, miel, hielo</t>
  </si>
  <si>
    <t>Colpo di prugna</t>
  </si>
  <si>
    <t>Shot de ciruela</t>
  </si>
  <si>
    <t>Jugo con melón, ciruela, leche semidescremada</t>
  </si>
  <si>
    <t>Agua, azúcar, melón, ciruela, leche semidescremada, hielo</t>
  </si>
  <si>
    <t>Fragola piccante</t>
  </si>
  <si>
    <t>Fresa spicy</t>
  </si>
  <si>
    <t>Jugo con frutillas grandes, limón, hierbabuena, pimienta negra, soda</t>
  </si>
  <si>
    <t>Agua, azúcar, frutillas grandes, limón, hierbabuena, pimienta negra, soda, hielo</t>
  </si>
  <si>
    <t>Basilico ananas e cocco</t>
  </si>
  <si>
    <t>Piña, albahaca y coco</t>
  </si>
  <si>
    <t>Jugo con albahaca, piña, leche de coco, limón</t>
  </si>
  <si>
    <t>Arancia marocchina</t>
  </si>
  <si>
    <t>Naranja marroquí</t>
  </si>
  <si>
    <t>Jugo con naranja, mandarina, zanahoria, cardamono</t>
  </si>
  <si>
    <t>Agua, azúcar, naranja, mandarina, zanahoria, cardamono, hielo</t>
  </si>
  <si>
    <t>Alveare della passione</t>
  </si>
  <si>
    <t>Colmena passion</t>
  </si>
  <si>
    <t>Jugo con maracuyá, té verde, limón, zanahoria, ginger ale</t>
  </si>
  <si>
    <t>Agua, azúcar, maracuyá, té verde, limón, zanahoria, ginger ale, hielo</t>
  </si>
  <si>
    <t>Almendra calameña</t>
  </si>
  <si>
    <t>Mandorla Calameña</t>
  </si>
  <si>
    <t>http://ventures.rise.agency/desarrollo/oster/pdf/Recetario-Frozen.pdf</t>
  </si>
  <si>
    <t>Estratto di passione rossa</t>
  </si>
  <si>
    <t>Jugo con betarraga</t>
  </si>
  <si>
    <t>Jugo de betarraga, manzana y maracuyá</t>
  </si>
  <si>
    <t>Succo di fragola e soursop</t>
  </si>
  <si>
    <t>Jugo fresa y guanábana</t>
  </si>
  <si>
    <t>Jugo de fresa, guanábana, mango y mandarina</t>
  </si>
  <si>
    <t>Agua, azúcar morena, fresa, guanábana, mango y mandarina</t>
  </si>
  <si>
    <t>Miscela floreale</t>
  </si>
  <si>
    <t>Mix floral</t>
  </si>
  <si>
    <t>Jugo de piña, manzana y pera</t>
  </si>
  <si>
    <t>Agua, azúcar morena, piña, manzana, pera, hielo y menta</t>
  </si>
  <si>
    <t>Diversión de coco</t>
  </si>
  <si>
    <t>Divertimento al cocco</t>
  </si>
  <si>
    <t>Jugo de coco</t>
  </si>
  <si>
    <t>Frutti pazzi</t>
  </si>
  <si>
    <t>Frutos locos</t>
  </si>
  <si>
    <t>Jugo de uva y piña pequeña</t>
  </si>
  <si>
    <t>Agua, azúcar morena, uvas, piña, duraznos, hielo</t>
  </si>
  <si>
    <t>Energia pura</t>
  </si>
  <si>
    <t>Energía pura</t>
  </si>
  <si>
    <t>Jugo de manzana y piña</t>
  </si>
  <si>
    <t>Agua, azúcar morena, piña, manzana, naranja, apio, limón, zanahoria, miel de abejas</t>
  </si>
  <si>
    <t>Succo tropicale</t>
  </si>
  <si>
    <t>Jugo tropical</t>
  </si>
  <si>
    <t>Jugo de fresa y tangelo</t>
  </si>
  <si>
    <t>Agua, azúcar morena, fresa, tangelo, mango, mandarina, limón y miel</t>
  </si>
  <si>
    <t>https://recetasoster.com/category/bebidas/</t>
  </si>
  <si>
    <t>Piña</t>
  </si>
  <si>
    <t>Sandía</t>
  </si>
  <si>
    <t xml:space="preserve">Limón </t>
  </si>
  <si>
    <t>Menta</t>
  </si>
  <si>
    <t>Arándanos</t>
  </si>
  <si>
    <t>Mango</t>
  </si>
  <si>
    <t>Bananos</t>
  </si>
  <si>
    <t>Manzana Verde</t>
  </si>
  <si>
    <t>Frutos del bosque</t>
  </si>
  <si>
    <t>Hielo</t>
  </si>
  <si>
    <t>Frutillas</t>
  </si>
  <si>
    <t>Miel</t>
  </si>
  <si>
    <t>Uva</t>
  </si>
  <si>
    <t>Uva verde</t>
  </si>
  <si>
    <t>Manzana verde</t>
  </si>
  <si>
    <t>Ciruela</t>
  </si>
  <si>
    <t>Pepino</t>
  </si>
  <si>
    <t>Jugo con uva verde, pepino, cilantro, manzana verde, miel</t>
  </si>
  <si>
    <t>Melón</t>
  </si>
  <si>
    <t>Leche semidescremada</t>
  </si>
  <si>
    <t>Hierbabuena</t>
  </si>
  <si>
    <t>Soda</t>
  </si>
  <si>
    <t>Frutillas grandes</t>
  </si>
  <si>
    <t xml:space="preserve">Albahaca </t>
  </si>
  <si>
    <t>Mandarina</t>
  </si>
  <si>
    <t>Cardamomo</t>
  </si>
  <si>
    <t>Té verde</t>
  </si>
  <si>
    <t>Ginger Ale</t>
  </si>
  <si>
    <t>Yogurt</t>
  </si>
  <si>
    <t>Durazno</t>
  </si>
  <si>
    <t>Jugo con durazno, melón, yogurt y leche de almendras</t>
  </si>
  <si>
    <t>Agua, azúcar, durazno, melón, yogurt, hielo y leche de almendras</t>
  </si>
  <si>
    <t>Remolacha</t>
  </si>
  <si>
    <t>Betarraga</t>
  </si>
  <si>
    <t>Guanábana</t>
  </si>
  <si>
    <t>Pera</t>
  </si>
  <si>
    <t>Tangelo</t>
  </si>
  <si>
    <t>FUSILLI, PENNE, FARFALLE, RIGATTONI, MACCHERONI</t>
  </si>
  <si>
    <t>BEBIDAS</t>
  </si>
  <si>
    <t>Bucatini a los tres quesos</t>
  </si>
  <si>
    <t>Tri queso bucattini</t>
  </si>
  <si>
    <t>Bucatini con salsa de tres quesos y trozos de chorizo</t>
  </si>
  <si>
    <t>Pasta, salsa tres quesos, chorizo, ajo, pimienta, sal.</t>
  </si>
  <si>
    <t>Salsa tres quesos</t>
  </si>
  <si>
    <t xml:space="preserve">Spaghetti o bucattini con verduras </t>
  </si>
  <si>
    <t>Farfalle o macarron con verdura</t>
  </si>
  <si>
    <t>Farfalle o macarron con frijol negro, tomate cherry y pimentón</t>
  </si>
  <si>
    <t>Ensalada con fusilli o penne</t>
  </si>
  <si>
    <t>Fusilli o penne con camarones</t>
  </si>
  <si>
    <t>Farfalle, fusilli, o penne con pollo desmechado</t>
  </si>
  <si>
    <t>Pasta, queso, salsa, sal, jamón, atún, berenjena, zuccini, zanahoria</t>
  </si>
  <si>
    <t>Pasta, queso, jamón, zanahoria, espinacas, champiñones</t>
  </si>
  <si>
    <t>Pasta, salsa, queso, jamón, pollo, carne, zanhoria, espinacas, champiñones, lentejas.</t>
  </si>
  <si>
    <t>SPAGHETTI, FETTUCCINE,  TAGLIATELI, CAPELLI, BUCATTINI, PAPPARDELE</t>
  </si>
  <si>
    <t>Pasta, sal, tomate, ajo, oréngano, pimienta, albahaca, salsa marinara y  salmón.</t>
  </si>
  <si>
    <t>Pasta, sal, pollo, queso mozarlla, salsa alfredo, tomate, cebolla, especias y jamón.</t>
  </si>
  <si>
    <t>Pasta, sal, pollo, carne, queso ricotta, salsa alfredo, salsa boloñesa y jamón.</t>
  </si>
  <si>
    <t>Pasta, sal, pollo, carne, cerdo, queso mozarella, salsa alfredo, salsa napolitana, panceta, jamón y especias.</t>
  </si>
  <si>
    <t>Spaghetti con  bolas de lentejas.</t>
  </si>
  <si>
    <t>Salsas</t>
  </si>
  <si>
    <t>Cappelletti</t>
  </si>
  <si>
    <t>Pastina y fideos</t>
  </si>
  <si>
    <t>Bucatttini</t>
  </si>
  <si>
    <t>Capelli</t>
  </si>
  <si>
    <t>Alfredo</t>
  </si>
  <si>
    <t>Amatriciana</t>
  </si>
  <si>
    <t>Arrabiata</t>
  </si>
  <si>
    <t>Aurora</t>
  </si>
  <si>
    <t>Bechamel</t>
  </si>
  <si>
    <t>Bolognesa</t>
  </si>
  <si>
    <t>Carbonara</t>
  </si>
  <si>
    <t>Funghi</t>
  </si>
  <si>
    <t>Marinara</t>
  </si>
  <si>
    <t>Napolitana</t>
  </si>
  <si>
    <t>Pesto</t>
  </si>
  <si>
    <t>Puttanesca</t>
  </si>
  <si>
    <t>Tres quesos</t>
  </si>
  <si>
    <t>De la casa</t>
  </si>
  <si>
    <t>RAVIOLI, PANSOTTI, TORTELLINI, AGNOLOTTI, CAPPELLETI, CARACOLAS</t>
  </si>
  <si>
    <t>Lunes</t>
  </si>
  <si>
    <t>Martes</t>
  </si>
  <si>
    <t>Miércoles</t>
  </si>
  <si>
    <t>Jueves</t>
  </si>
  <si>
    <t>Viernes</t>
  </si>
  <si>
    <t>Sábado</t>
  </si>
  <si>
    <t>Domingo</t>
  </si>
  <si>
    <t>Adicionales</t>
  </si>
  <si>
    <t>Farfalle o fusilli a la ratatouille</t>
  </si>
  <si>
    <t>Ensalada con fusilli, farfalle, o penne vegana</t>
  </si>
  <si>
    <t xml:space="preserve">Spaghetti con verduras </t>
  </si>
  <si>
    <t>Cappelletti relleno de queso vegano</t>
  </si>
  <si>
    <t>Cappelletti ripieni di formaggio vegano</t>
  </si>
  <si>
    <t>Cappettelli rrellenas de queso vegano y aceite de olvia</t>
  </si>
  <si>
    <t>Pasta, sal, queso vegano, aceite de oliva</t>
  </si>
  <si>
    <t>Pansotti relleno de pasta de tomate</t>
  </si>
  <si>
    <t>Pansotti ripieni di concentrato di pomodoro</t>
  </si>
  <si>
    <t>Pansotti relleno de pasta de tomate y perejil</t>
  </si>
  <si>
    <t>Pasta, sal, pasta de tomate, perejil y aceite de oliva</t>
  </si>
  <si>
    <t>Tortellini relleno de queso vegano y cebolla</t>
  </si>
  <si>
    <t>Tortellini ripieni di formaggio vegano e cipolla</t>
  </si>
  <si>
    <t>Tortellini relleno de queso y cebolla, con aceite d eoliva y cilantro</t>
  </si>
  <si>
    <t>Pasta, sal, pimienta, cebolla morada, queso vegano, cilnatro, acete de oliva</t>
  </si>
  <si>
    <t>Agnolotti relleno de queso vegano y repollo</t>
  </si>
  <si>
    <t>Agnolotti ripieni di formaggio vegano e cavolo cappuccio</t>
  </si>
  <si>
    <t>Agnolotti relleno de queso vegano, repollo y trozos de zanahoria</t>
  </si>
  <si>
    <t>Pasta, sal, pimienta, queso vegano, repollo, zanahoria, perejil</t>
  </si>
  <si>
    <t>Lasaña de pollo y salsa alfredo</t>
  </si>
  <si>
    <t>Lasaña de pollo y carne con salsa alfredo y boloñesa</t>
  </si>
  <si>
    <t>Ensalada con fusilli, penne, farfalle vegana</t>
  </si>
  <si>
    <t>Farfalle, fusilli a la ratatouille</t>
  </si>
  <si>
    <t>Pasta, sal, pimienta, cebolla morada, queso vegano, cilantro, aceite de oliva</t>
  </si>
  <si>
    <t>Salsa de queso brie, alfredo, de la casa y pesto</t>
  </si>
  <si>
    <t>Tres quesos, funghi, de la casa y pesto</t>
  </si>
  <si>
    <t>Alfredo, bolognesa, de la casa y pesto</t>
  </si>
  <si>
    <t>Lentejas, garbanzos, champiñones, berenjena.</t>
  </si>
  <si>
    <t>Tres quesos, bolognesa, de la casa y pesto</t>
  </si>
  <si>
    <t>Brócoli, zanahoria, arveja, frijol negro, lentejas</t>
  </si>
  <si>
    <t>Arrabiata, tres quesos, de la casa y pesto</t>
  </si>
  <si>
    <t>Mazorca, espinaca, habichuela, brócoli, frijol negro, garbanzos</t>
  </si>
  <si>
    <t>Funghi, bolognesa, de la casa y pesto</t>
  </si>
  <si>
    <t>Carne de res, cerdo y pollo</t>
  </si>
  <si>
    <t>Espinaca, zucchini, berenjena, zanahoria, lentejas, arvejas</t>
  </si>
  <si>
    <t>Pollo, jamón y carne de res, chorizo, salchicha</t>
  </si>
  <si>
    <t>Camarones, carne de res y de cerdo</t>
  </si>
  <si>
    <t>Carbonara, salsa de almendras, de la casa y pesto</t>
  </si>
  <si>
    <t>Salsa de almendras, de la casa y pesto</t>
  </si>
  <si>
    <t>Carbonara, amatriciana, de la casa y pesto</t>
  </si>
  <si>
    <t>Habichuelas, arvejas, lentejas, zanahoria, mazorca, berenjena</t>
  </si>
  <si>
    <t>Napolitana, carbonara, de la casa y pesto</t>
  </si>
  <si>
    <t>Espinaca, garbanzos, queso vegano, espárragos, lentejas, brócoli</t>
  </si>
  <si>
    <t>Tres quesos, amatriciana, de la casa y pesto</t>
  </si>
  <si>
    <t>Carne de res, pescado y jamón</t>
  </si>
  <si>
    <t>Mazorca, tomate cherry, champiñones, frijol, coles</t>
  </si>
  <si>
    <t>Pesto, carbonara, de la casa y napolitana</t>
  </si>
  <si>
    <t>Pollo, carne de res pescado, camarones</t>
  </si>
  <si>
    <t>Espinaca, tomate cherry, garbanzos, frijol, zucchini</t>
  </si>
  <si>
    <t>Pollo, jamón, carne de res, pescado y cerdo</t>
  </si>
  <si>
    <t>Frijol</t>
  </si>
  <si>
    <t>Coles</t>
  </si>
  <si>
    <t>Carbonara, salsa de queso brie, de la casa y pesto</t>
  </si>
  <si>
    <t>Napolitana, salsa de almendras, de la casa y pesto</t>
  </si>
  <si>
    <t>Puttanesca, carbonara, de la casa y pesto</t>
  </si>
  <si>
    <t>Pollo, pescado, camarones y jamón</t>
  </si>
  <si>
    <t>Mazorca, perejil, garbanzos, pimentón rojo, arveja</t>
  </si>
  <si>
    <t>Frijoles, espinacas, brócoli, coliflor, arvejas</t>
  </si>
  <si>
    <t>Amatriciana, puttanesca, carbonara, de la casa y pesto</t>
  </si>
  <si>
    <t>Mazorca, espinaca, brócoli, tomate Cherry, lentejas, garbanzos</t>
  </si>
  <si>
    <t>Amatriciana, napolitana, carbonara, de la casa y pesto</t>
  </si>
  <si>
    <t>Carne de cerdo, carne de res y pollo</t>
  </si>
  <si>
    <t>Habichuela, zanahoria, arvejas, espinaca, frijoles, champiñones</t>
  </si>
  <si>
    <t>Salchichas, jamón, pollo, y carne de res</t>
  </si>
  <si>
    <t>Pescado, carne de cerdo y pollo</t>
  </si>
  <si>
    <t>Carbonara, tres quesos, de la casa, de la casa y pesto</t>
  </si>
  <si>
    <t>Alfredo, salsa blanca de espinacas, de la casa y pesto</t>
  </si>
  <si>
    <t>Alfredo, carbonara, bolognesa, de la casa y pesto</t>
  </si>
  <si>
    <t>Lentejas, garbanzos, champiñones, zanahoria, tomate cherry</t>
  </si>
  <si>
    <t>Tres quesos, carbonara, bolognesa, de la casa y pesto</t>
  </si>
  <si>
    <t>Pollo, pescado, chorizo, salchicha, cerdo y jamón</t>
  </si>
  <si>
    <t>Zucchini, berenjena, pimentón rojo, champiñones, frijol negro, arveja</t>
  </si>
  <si>
    <t>Tres quesos, puttanesca, de la casa y pesto</t>
  </si>
  <si>
    <t>Pimentón rojo, verde, amarillo, lentejas, garbanzos</t>
  </si>
  <si>
    <t>Alfredo, tres quesos, bolognesa, de la casa y pesto</t>
  </si>
  <si>
    <t>Pollo, jamón, camarones, cerdo</t>
  </si>
  <si>
    <t>Mazorca, espinaca, tomate cherry, espárragos, arvejas.</t>
  </si>
  <si>
    <t>Bechamel, salsa de queso brie, de la casa y pesto</t>
  </si>
  <si>
    <t>Napolitana, salsa de queso brie, de la casa y pesto</t>
  </si>
  <si>
    <t>Arrabiata, amatriciana, bechamel, de la casa y pesto</t>
  </si>
  <si>
    <t>Jamón, carne de res, carne de cerdo, pollo, pescado</t>
  </si>
  <si>
    <t>Garbanzos, champiñones, tomate Cherry, coliflor, pimentón rojo</t>
  </si>
  <si>
    <t>Napolitana, carbonara, bechamel, de la casa y pesto</t>
  </si>
  <si>
    <t>Moluscos, pollo, jamón, carne de res, camarones</t>
  </si>
  <si>
    <t>Brócoli, zanahoria, arveja, espinaca, espárragos, frijol</t>
  </si>
  <si>
    <t>Amatriciana, bechamel, de la casa y pesto</t>
  </si>
  <si>
    <t>Carne de res, pollo, pescado</t>
  </si>
  <si>
    <t>Mazorca, tomate cherry, habichuelas, arveja, zanahoria, brócoli.</t>
  </si>
  <si>
    <t>Amatriciana, carbonara, de la casa y pesto</t>
  </si>
  <si>
    <t>Pescado, camarones, pollo, carne de res</t>
  </si>
  <si>
    <t>Espinaca, zucchini, berenjena, zanahoria, mazorca, lentejas</t>
  </si>
  <si>
    <t>Lentajas</t>
  </si>
  <si>
    <t>Tres quesos, salsa blanca de espinacas, de la casa y pesto</t>
  </si>
  <si>
    <t>Funghi, salsa de almendras, de la casa y pesto</t>
  </si>
  <si>
    <t>Puttanesca, tres quesos, de la casa y pesto</t>
  </si>
  <si>
    <t>Pollo, jamón, pescado, carne de res, cerdo</t>
  </si>
  <si>
    <t>Amatriciana, funghi, de la casa y pesto</t>
  </si>
  <si>
    <t xml:space="preserve">Carne de res, de cerdo, crustáceos, pollo, </t>
  </si>
  <si>
    <t>Brócoli, zanahoria, arveja, pimentón amarillo, lentejas</t>
  </si>
  <si>
    <t>Amatriciana, aurora, tres quesos, de la casa y pesto</t>
  </si>
  <si>
    <t>Carne, pollo, pescado, cerdo, jamón, salchichas</t>
  </si>
  <si>
    <t>Arvejas, frijol, habichuela, zanahoria, papa, coliflor, lentejas</t>
  </si>
  <si>
    <t>Puttanesca, funghi, de la casa y pesto</t>
  </si>
  <si>
    <t>Carne, pollo, pescado, cerdo, chorizo</t>
  </si>
  <si>
    <t>Arvejas, habichuela, zanahoria, papa, brócoli, garbanzos</t>
  </si>
  <si>
    <t>Garnanzos</t>
  </si>
  <si>
    <t>Marinara, salsa de queso brie, de la casa y pesto</t>
  </si>
  <si>
    <t>Marinara, bechamel, de la casa y pesto</t>
  </si>
  <si>
    <t>Bechamel, napolitana, marinara, de la casa y pesto</t>
  </si>
  <si>
    <t>Brócoli, zanahoria, arveja, champiñones, lentejas</t>
  </si>
  <si>
    <t>Puttanesca, bechamel, de la casa y pesto</t>
  </si>
  <si>
    <t>Mazorca, espinaca, brócoli, queso vegano, espárragos, berenjena</t>
  </si>
  <si>
    <t>Marinara, parmesano y leche, de la casa y pesto</t>
  </si>
  <si>
    <t>Pescado, camarones, pollo y res</t>
  </si>
  <si>
    <t>Apio, tomate cherry, frijoles, arveja, zucchini, mazorca</t>
  </si>
  <si>
    <t>Pesto, bechamel, de la casa y marinara</t>
  </si>
  <si>
    <t>Pollo, jamón, cerdo, crustáceos y res</t>
  </si>
  <si>
    <t>Espinaca, brócoli, apio, papa, zanahoria, mazorca, arvejas, frijoles</t>
  </si>
  <si>
    <t>Bebidas</t>
  </si>
  <si>
    <t>Steward</t>
  </si>
  <si>
    <t>Platos con pastas en general</t>
  </si>
  <si>
    <t>Introducir los huevos en el hueco formado</t>
  </si>
  <si>
    <t>Tiempo estimado de realización (minutos)</t>
  </si>
  <si>
    <t>https://elpais.com/buenavida/la-despensa/2020-10-26/cuantos-minutos-hay-que-cocer-la-pasta-para-lograr-la-textura-que-le-dan-los-italianos.html</t>
  </si>
  <si>
    <t>Mesa</t>
  </si>
  <si>
    <t>Emplatar</t>
  </si>
  <si>
    <t>Licuado de los ingredientes</t>
  </si>
  <si>
    <t>Envasar la bebida en recipiente</t>
  </si>
  <si>
    <t>Añadir acompañantes (si los hay)</t>
  </si>
  <si>
    <t>Afilador para cuchillos</t>
  </si>
  <si>
    <t>Seguro y fácil de usar, este afilador de cuchillos presenta un mango ergonómico para un agarre seguro y cómodo. Dimensiones: Frente 20 / Fondo 5 cm.</t>
  </si>
  <si>
    <t>https://tienda.pallomaro.com/cuchillos-profesionales/afilador-para-cuchillos-manual-negro--r1120</t>
  </si>
  <si>
    <t>Bandeja para hornear</t>
  </si>
  <si>
    <t>Bandeja rectangular para hornear. Fabricada en acero inoxidable, con manijas para fácil manipulación. Dimensiones: Frente 0.37 / Fondo 0.28 mts.</t>
  </si>
  <si>
    <t>https://tienda.pallomaro.com/bandejas/bandeja-para-hornear-37x28-cm-plantilla-r656-r768</t>
  </si>
  <si>
    <t>Con alambres robustos, este batidor es ideal para mezclar ingredientes secos, hacer tortillas esponjosas, batir masas o productos espesos. Su mango redondeado garantiza la facilidad de manejo. Longitud: 25 cm.</t>
  </si>
  <si>
    <t xml:space="preserve">Cacerola </t>
  </si>
  <si>
    <t>Cacerola en acero inoxidable de 3.5l.</t>
  </si>
  <si>
    <t>https://tienda.pallomaro.com/sartenes/cacerola-en-acero-inox-35l-plantilla-r553-r18</t>
  </si>
  <si>
    <t>Colador fino</t>
  </si>
  <si>
    <t xml:space="preserve"> Colador cónico de malla fina. Fabricado en acero inoxidable de 8 cm de diámetro. Ideal para colar salsas, tamizar ingredientes secos, espolvorear azúcar pulverizada entre otros usos</t>
  </si>
  <si>
    <t>https://tienda.pallomaro.com/coladores/colador-fino-conico-8cm-r733</t>
  </si>
  <si>
    <t>https://tienda.pallomaro.com/condimenteros/condimentero-acero-inox-malla-8-oz-r635</t>
  </si>
  <si>
    <t>Cortador de masa</t>
  </si>
  <si>
    <t>Cortador de masa en acero inoxidable con manija plástica de 15 cm de longitud y 8 cm de altura. La cuchilla de acero inoxidable de este producto es fácil de limpiar y se desliza suavemente sobre la superficie de trabajo para eliminar la masa pegajosa. Gracias a su mango de plástico, este raspador de masa proporciona un agarre cómodo que reduce la fatiga de la mano por un uso prolongado.</t>
  </si>
  <si>
    <t>https://tienda.pallomaro.com/raspadores-o-cortadores-de-masa/cortador-masa-con-manija-plastica-6x3-r143</t>
  </si>
  <si>
    <t>Cuchillo 10''</t>
  </si>
  <si>
    <t>Cuenta con una hoja ancha y afilada que resiste el uso intensivo sin doblarse. Gracias a su cómodo mango de polipropileno blanco, este cuchillo proporciona un agarre seguro para un excelente equilibrio y control. Longitud: 10" (25.4 cm).</t>
  </si>
  <si>
    <t>https://tienda.pallomaro.com/cuchillos-profesionales/cuchillo-chef-10-r807</t>
  </si>
  <si>
    <t>Cuchillo 8''</t>
  </si>
  <si>
    <t>abricado en acero inoxidable. cuenta con una hoja ancha y afilada que resiste el uso intensivo sin doblarse. Gracias a su cómodo mango de polipropileno blanco, este cuchillo proporciona un agarre seguro para un excelente equilibrio y control. Longitud: 8" (20.3 cm).</t>
  </si>
  <si>
    <t>https://tienda.pallomaro.com/cuchillos-profesionales/cuchillo-chef-8-r567</t>
  </si>
  <si>
    <t>Cuchillo panadero 10''</t>
  </si>
  <si>
    <t>Fabricado en acero inoxidable, mango de fácil agarre color blanco. Ideal para rebanar o cortar panes recién horneados, sándwiches a la mitad, panecillos entre otros alimentos. Está diseñado con una cuchilla dentada que proporciona un excelente rendimiento de corte y un mango de polipropileno blanco que proporciona un agarre cómodo y seguro. Longitud: 10" (25.4 cm).</t>
  </si>
  <si>
    <t>https://tienda.pallomaro.com/cuchillos-profesionales/cuchillo-panadero-10-r476</t>
  </si>
  <si>
    <t>https://tienda.pallomaro.com/espatulas/espatula-chef-manija-plastica-20-cm-r107</t>
  </si>
  <si>
    <t>Espatula</t>
  </si>
  <si>
    <t>Fabricada en acero inoxidable, mango plástico de 9.5 cm, de fácil agarre. Ideal para girar y/o servir alimentos en la parrilla o la plancha. Fabricada con una hoja delgada de borde redondo que se desliza fácilmente debajo de los alimentos sin dañarlos, mientras que su mango proporciona un excelente equilibrio y control. Longitud de la hoja 20 cm.</t>
  </si>
  <si>
    <t>Exprimidor de limón</t>
  </si>
  <si>
    <t xml:space="preserve"> Exprimidor de citricos manual. Fabricado en acero inoxidable de dos piezas.</t>
  </si>
  <si>
    <t>https://tienda.pallomaro.com/bar/exprimidor-de-limon-redondo-plantilla-r747-r1120</t>
  </si>
  <si>
    <t>Jarra medidora</t>
  </si>
  <si>
    <t>Fabricada en acero inoxidable, marcas interiores. Capacidad: 1/2 Litro.</t>
  </si>
  <si>
    <t>https://tienda.pallomaro.com/utensilios-y-accesorios-jarras-4231-11/jarra-medidora-12-l-plantilla-r962-r543</t>
  </si>
  <si>
    <t>Juego cuchara medidora</t>
  </si>
  <si>
    <t>Fabricadas en acero inoxidable, estas cucharas medidoras son fáciles de limpiar y excepcionalmente duraderas. Diseñadas con un tazón redondeado, estas cucharas permiten recoger fácilmente los ingredientes y están conectadas por un pequeño anillo para un almacenamiento conveniente. Son imprescindibles para preparar recetas que requieren medidas precisas. Este producto incluye 5 unidades (1/8 cucharada, 1/4 cucharada, 1/2 cucharada, 1 cucharada peq, 1 cucharada).</t>
  </si>
  <si>
    <t>https://tienda.pallomaro.com/utensilios-de-cocina/juego-de-cucharas-redondas-5pc-r944</t>
  </si>
  <si>
    <t>Macerador</t>
  </si>
  <si>
    <t>Referencia: P-034, macerador para bar de cabeza rectangular: 2 x 21 cm.</t>
  </si>
  <si>
    <t>https://tienda.pallomaro.com/bar/macerador-bar-cabeza-rectangular-27x210mm-plantilla-r677-r1803</t>
  </si>
  <si>
    <t>Olla industrial en acero inoxidable con tapa. Sin puntos calientes para que la comida se cocine uniformemente y por completo. Acabado en acero brillante. Manijas frías al tacto. Capacidad: 6 Litros. Dimensiones: Diámetro 22 / Altura 15 cm. (Apta para estufas de inducción).</t>
  </si>
  <si>
    <t>https://tienda.pallomaro.com/ollas/olla-con-tapa-en-acero-inox--22cm-x-15cm-r706</t>
  </si>
  <si>
    <t>Pinzas hielo</t>
  </si>
  <si>
    <t>https://tienda.pallomaro.com/pinzas/pinza-de-lujo-para-hielo-18cm-r766</t>
  </si>
  <si>
    <t xml:space="preserve"> Presenta cuatro caras para cortes diferentes de acuerdo a la necesidad. Gracias a su construcción en acero inoxidable, este rallador resistente a la corrosión y resistirá el uso intensivo. Este producto cuenta con un mango tubular ancho que le proporciona una gran facilidad de manejo y agarre. Dimensiones: Frente 11 / Fondo 7.5 / Altura 20 cm.</t>
  </si>
  <si>
    <t>https://tienda.pallomaro.com/ralladores/rallador-acero-inox-8-r970</t>
  </si>
  <si>
    <t>Rodillo</t>
  </si>
  <si>
    <t>Rodillo en aluminio. Ideal para transformar la masa en un disco delgado sin rasgar o sobrecargar la misma. Rodillo de fácil rotación, mango contorneado que proporciona un agarre cómodo. Es fácil de limpiar y soportará las demandas de un alto volumen. Longitud: 18" (45 cm) / Diámetro: 8.9 cm.</t>
  </si>
  <si>
    <t>https://tienda.pallomaro.com/rodillos/rodillo-aluminio-45-cm-r672</t>
  </si>
  <si>
    <t>Sartén pequeño</t>
  </si>
  <si>
    <t>Sartén grande</t>
  </si>
  <si>
    <t>Sartén alto en acero inoxidable con tapa. Sin puntos calientes para que la comida se cocine uniformemente y por completo. Acabado en acero brillante. Manija larga ergonómica, segura y fría al tacto. Son ideales para cocinar a fuego lento, hervir, cocinar granos, hacer salsas y sopas entre otros. Capacidad: 3.3 Litros. Dimensiones: Diámetro 20 / Altura 10.5 cm. Este sartén es apto para estufas de inducción.</t>
  </si>
  <si>
    <t>https://tienda.pallomaro.com/sartenes/sarten-ainox-salsa--con-tapa-20x105-cm-r782</t>
  </si>
  <si>
    <t>Sartén alto en acero inoxidable con tapa. Sin puntos calientes para que la comida se cocine uniformemente y por completo. Acabado en acero brillante. Manija larga ergonómica, segura y fría al tacto. Sartén alto en acero inoxidable con tapa. Sin puntos calientes para que la comida se cocine uniformemente y por completo. Acabado en acero brillante. Manija larga ergonómica, segura y fría al tacto. Son ideales para cocinar a fuego lento, hervir, cocinar granos, hacer salsas y sopas entre otros. Capacidad: 5 Litros. Dimensiones: Diámetro 24 / Altura 11 cm. Este sartén es apto para estufas de inducción.</t>
  </si>
  <si>
    <t>https://tienda.pallomaro.com/sartenes/sarten-ainox-salsa-con-tapa-24x11cm-r315</t>
  </si>
  <si>
    <t>Set de tres cacerolas en acero inoxidable.</t>
  </si>
  <si>
    <t>https://tienda.pallomaro.com/sartenes/set-de-3-cacerolas-acero-inox-plantilla-r498-r703</t>
  </si>
  <si>
    <t>Azafate 1/1</t>
  </si>
  <si>
    <t>Azafate entero perforado 1/1 GN de 15 cm de profundidad. Fabricado en acero inoxidable calibre 24. Esquinas reforzadas, resistentes a los impactos. Con Pestaña Anti atasco. Ideal para líneas de servicio. Especial para la preparación de alimentos en hornos, almacenamiento de productos en refrigeración o congelación y exhibición de alimentos preparados. Dimensiones: Frente 32.5 / Fondo 53 / Altura 15 cm. Este producto cuenta con certificación NSF.</t>
  </si>
  <si>
    <t>https://tienda.pallomaro.com/azafates/azafate-11-acero-inox-15-cm-perforado-r571</t>
  </si>
  <si>
    <t>Azafate 1/3</t>
  </si>
  <si>
    <t>Azafate tercio 1/3 GN de 15 cm de profundidad. Fabricado en acero inoxidable calibre 24. Esquinas reforzadas, resistentes a los impactos. Con Pestaña Anti atasco. Ideal para líneas de servicio. Especial para la preparación de alimentos en hornos, almacenamiento de productos en refrigeración o congelación y exhibición de alimentos preparados. Dimensiones: Frente 32.5 / Fondo 17.5 / Altura 15 cm. Este producto cuenta con certificación NSF.</t>
  </si>
  <si>
    <t>https://tienda.pallomaro.com/azafates/azafate-acero-inox-13-x-15-cm-r147</t>
  </si>
  <si>
    <t>Azafate 1/9</t>
  </si>
  <si>
    <t>https://tienda.pallomaro.com/azafates/azafate-acero-inox-19-x-10-cm-r238</t>
  </si>
  <si>
    <t>Azafate noveno 1/9 GN de 10 cm de profundidad. Fabricado en acero inoxidable calibre 24. Esquinas reforzadas, resistentes a los impactos. Con Pestaña Anti atasco. Ideal para líneas de servicio. Especial para la preparación de alimentos en hornos, almacenamiento de productos en refrigeración o congelación y exhibición de alimentos preparados. Dimensiones: Frente 17.6 / Fondo 10.8 / Altura 10 cm. Este producto cuenta con certificación NSF.</t>
  </si>
  <si>
    <t>Tapa 1/1</t>
  </si>
  <si>
    <t>Tapa 1/3</t>
  </si>
  <si>
    <t>Tapa 1/9</t>
  </si>
  <si>
    <t>Tapa lisa para azafate entero 1/1 GN. Sin muesca. Fabricada en acero inoxidable. Con agarradera superior para facilitar el servicio; esta tapa ayuda a proteger el contenido del recipiente. Este producto cuenta con certificación NSF. Dimensiones: Frente 32.5 / Fondo 53 / Altura 2 cm.</t>
  </si>
  <si>
    <t>https://tienda.pallomaro.com/tapas/tapa-acero-inox-azafate-11-lisa</t>
  </si>
  <si>
    <t>Tapa lisa para azafate tercio 1/3 GN.Sin muesca. Fabricada en acero inoxidable. Con agarradera superior para facilitar el servicio; esta tapa ayuda a proteger el contenido del recipiente. Este producto cuenta con certificación NSF. Dimensiones: Frente 17.5 / Fondo 32.5 / Altura 2 cm.</t>
  </si>
  <si>
    <t>https://tienda.pallomaro.com/tapas/tapa-acero-inox-azafate-13-lisa-r667</t>
  </si>
  <si>
    <t>https://tienda.pallomaro.com/tapas/tapa-acero-inox-azafate-19-lisa-r102</t>
  </si>
  <si>
    <t>Tapa lisa para azafate noveno 1/9 GN. Sin muesca. Fabricada en acero inoxidable. Con agarradera superior para facilitar el servicio; esta tapa ayuda a proteger el contenido del recipiente. Este producto cuenta con certificación NSF. Dimensiones: Frente 17.6 / Fondo 10.8 / Altura 2 cm.</t>
  </si>
  <si>
    <t>Cremera</t>
  </si>
  <si>
    <t>Cremera para café o té tipo campana. Fabricada en acero inoxidable. Capacidad: 473 ml (16Oz)</t>
  </si>
  <si>
    <t>https://tienda.pallomaro.com/utensilios-para-exhibicion/cremera-tipo-campana-16-oz-plantilla-r515-r995</t>
  </si>
  <si>
    <t>Cuchara perforada</t>
  </si>
  <si>
    <t>Cuchara para cocina en acero inoxidable Perforada de 15" (38,1 cm) de longitud.</t>
  </si>
  <si>
    <t>https://tienda.pallomaro.com/utensilios-para-exhibicion/cuchara-acero-inox-perforada-38-cm-plantilla-r429-r1883</t>
  </si>
  <si>
    <t>Cuchara 3mmx12</t>
  </si>
  <si>
    <t>Marca: SIRIO CUCHARA BRITE 18/8 3.00MM X 12 UNIDADES</t>
  </si>
  <si>
    <t>https://tienda.pallomaro.com/utensilios-para-exhibicion/cuchara-brite-188-300mm-x-12-plantilla-r26-r1411</t>
  </si>
  <si>
    <t>Cucharon 32 oz</t>
  </si>
  <si>
    <t>Marca: Jang in, Ref:LT-4232</t>
  </si>
  <si>
    <t>https://tienda.pallomaro.com/utensilios-para-exhibicion/cucharon-de-32-oz-plantilla-r530-r1980</t>
  </si>
  <si>
    <t>Cuchillos de mesax13</t>
  </si>
  <si>
    <t>CUCHILLO DE MESA PRIME 13/0.80+/-5G</t>
  </si>
  <si>
    <t>https://tienda.pallomaro.com/utensilios-para-exhibicion/cuchillo-de-mesa-prime-13080-5g-plantilla-r932-r1725</t>
  </si>
  <si>
    <t>Salcera con manija. Fabricada en acero inoxidable . Capacidad: 10 Oz(295 ml).</t>
  </si>
  <si>
    <t>https://tienda.pallomaro.com/utensilios-para-exhibicion/salsera-10-oz-r6</t>
  </si>
  <si>
    <t>Tenedor para mesa tipo europeo modelo Shangarila en acero inoxidable de 21 cm de longitud.</t>
  </si>
  <si>
    <t>https://tienda.pallomaro.com/utensilios-para-exhibicion/tenedor-mesa-tipo-europeo-8-18-plantilla-r206-r948</t>
  </si>
  <si>
    <t>https://tienda.pallomaro.com/vajilla/plato-cuadrado-ceramica-207x207-cm-r798</t>
  </si>
  <si>
    <t>PLATO CUADRADO CERAMICA 20.7X20.7 CM</t>
  </si>
  <si>
    <t>PLATO CUADRADO PARA PASTA 28 X 28 CM</t>
  </si>
  <si>
    <t>https://tienda.pallomaro.com/vajilla/plato-cuadrado-para-pasta-28-x-28-cm-plantilla-r12-r1234</t>
  </si>
  <si>
    <t>Bowl o recipiente para salsa fabricado en acero inoxidable acabado brillante. Diámetro: 14 cm. Elegante y práctico, ideal para servir acompañamientos, salsas o toppings.</t>
  </si>
  <si>
    <t>https://tienda.pallomaro.com/sartenes/sarten-acero-inox-sin-tapa-13-l-plantilla-r574-r916</t>
  </si>
  <si>
    <t>Sartén-perol</t>
  </si>
  <si>
    <t>SARTEN ACERO INOX SIN TAPA 1.3 L</t>
  </si>
  <si>
    <t>Olla 15</t>
  </si>
  <si>
    <t>Fabricada en acero inoxidable. Fondo de alta resistencia de triple capa para una distribución uniforme del calor. Soldadura robusta de 6 puntos en las manijas. Capacidad: 15 Qt (14.2 L).</t>
  </si>
  <si>
    <t>https://tienda.pallomaro.com/ollas/olla-con-tapa-acero-inox-15-qt-plantilla-r90-r1834</t>
  </si>
  <si>
    <t>Copa en vidrio para agua de 11 1/2 Oz</t>
  </si>
  <si>
    <t>https://tienda.pallomaro.com/cristaleria/copa-para-agua-11-12-oz-plantilla-r621-r1189</t>
  </si>
  <si>
    <t>Valde vino</t>
  </si>
  <si>
    <t xml:space="preserve">Alto
34.4 cm
Garantía
12 meses
Modelo
2080959
Tipo de alimentación
Eléctrico
Capacidad
1.5 l
Largo sin su empaque unitario (cm)
25.5 cm
Observaciones
La foto de este producto ha sido ambientada, por lo cual no incluye ningún adorno, ni accesorios, ni piezas adicionales ni ningún otro elemento que lo acompañan.
Material
Metalico
Fabricación
Importado
Ancho
28.5 cm
Potencia
600 Watt
Color
Rojo
Tipo
Licuadora vaso vidrio
Número de velocidades
3
Características
La tecnología reversible es exclusiva de la marca oster y simplifica la preparación de mezclas con la textura y consistencia precisas. Obtiene texturas y mezclas homogéneas ideales en licuados. Salsas. Sopas. Tragos. Postres. Pures. Y mucho más. La tecnología de motor reversible de la marca oster permite que la cuchilla con seis aspas especialmente diseñadas en forma de ?spulg. Giren en ambos sentidos para que ingredientes no se queden en el fondo de la jarra y así obtengan la textura que homogénea y precisa según el platillo o bebida que se prepare. Sin esfuerzo alguno. Esta innovación. Dis
Familia
Electrohogar			</t>
  </si>
  <si>
    <t>https://www.homecenter.com.co/homecenter-co/product/435817/Licuadora-Topcat-Revers-Roja-Vv-600wVasobyG/435817</t>
  </si>
  <si>
    <t>Olla xpress</t>
  </si>
  <si>
    <t xml:space="preserve">Capacidad
4 Litros
Garantía
25 años de garantía por defectos de manufactura en el cuerpo de la olla.
Tipo
Ollas a presión
Medidas
Larg 33,5 cm - Ancho 28,5 cm - Alto 28,5 cm
Características
Tiene válvula reguladora de presión con doble posición para la salida de vapor.Válvula de seguridad para garantizar máxima seguridad durante la cocción.Ventana de seguridad que se activa como una tercera opción de seguridad.Abrazaderas que maximizan el sellado de la olla a presión garantizando máxima seguridad.Doble asa auxiliar en baquelita, que no se calientan y ayudan a la manipulación de la olla.Perilla con sistema abre fácil.Disco termo difusor de calor que permite una cocción más rápida y uniforme. Se puede utilizar también en estufas de inducción.Cuerpo en acero inoxidable que brinda mayor durabilidad y asepsia.
Color Mango
Negro
Material
Acero Inoxidable
Uso
Doméstico
Precio Blackdays
Precio Black
Recomendaciones
Antes de intentar abrir tú olla, espera a que el vapor salga completamente.Evita almacenar sal, salsa de soya, alcalinos, azúcar, o agua hervida dentro de la olla durante largo tiempo para evitar que se manche el acero. No olvides limpiar y secar después de usar.No dejes secar el agua o calentar la olla vacía, esto también evitará manchas en el acero.Realiza un lavado regular a las piezas de tu olla, especialmente a la válvula liberadora de presión.
Color
Plateado mango Negro			</t>
  </si>
  <si>
    <t>https://www.homecenter.com.co/homecenter-co/product/289825/?cid=494566&amp;=INTERNA</t>
  </si>
  <si>
    <t>Microondas</t>
  </si>
  <si>
    <t xml:space="preserve">Potencia
700 W
Número De Programas
22
Modelo
WM1807D
Capacidad
20 l
Observaciones
La foto de este producto ha sido ambientada, por lo cual no incluye ningún adorno, ni accesorios, ni piezas adicionales ni ningún otro elemento que lo acompañan
Alto
26.2 cm
Ancho
45.5 cm
Recomendaciones
Único microondas en el mercado (en su segmento) que cuenta con un menú de recetas tan diversificado. Seleccionar una de las funciones dentro del menú de Auto Cocción (12), Suavizar / Derretir (6) o Descongelar (4). Te permite mantener calientes tus alimentos y realizar otras actividades simultáneamente, sin agregar tiempo de cocción. Cuenta con funciones avanzadas para suavizar y derretir alimentos, ampliando la funcionalidad del microondas vs uno convencional
Garantía
1 Año
Procedencia
China
Color
Silver,acabado espejo
Tipo
Hornos Microondas
Profundidad
31.5 cm
Alimentación
Eléctrica
Voltaje
120 V
Consumo Energético
21 kWh
Tipo
Hornos Microondas			</t>
  </si>
  <si>
    <t>https://www.homecenter.com.co/homecenter-co/product/488888/Horno-Microondas-07PC-120-V-WM1807D-Silver/488888</t>
  </si>
  <si>
    <t>Aceitera y vinagrera</t>
  </si>
  <si>
    <t xml:space="preserve">Tipo
Set Aceitera
Capacidad
150 ml
Material
Vidrio
Incluye
set de 2 Especiero			</t>
  </si>
  <si>
    <t>https://www.homecenter.com.co/homecenter-co/product/333339/?cid=494566&amp;=INTERNA</t>
  </si>
  <si>
    <t xml:space="preserve">Marca
Home Collection
Material
Vidrio y Polipropileno
Uso
Doméstico
Recomendaciones
No lavar con productos abrasivos
Incluye
6 Especieros con tapa + 1 Rack
Color
Transparente y Negro			</t>
  </si>
  <si>
    <t>https://www.homecenter.com.co/homecenter-co/product/295205/?cid=494566&amp;=INTERNA</t>
  </si>
  <si>
    <t>Olla pastera</t>
  </si>
  <si>
    <t xml:space="preserve">Número de piezas
1
Garantía
1 mes
Observaciones
La foto de este producto ha sido ambientada, por lo cual no incluye ningún adorno, ni accesorios, ni piezas adicionales ni ningún otro elemento que lo acompañan.
Material
Acero Inoxidable, Antiadherente, Vidrio
Uso
Doméstico
Largo (centímetros)
31
Alto (centímetros)
16
Modelo
299894863
Procedencia
China
Color
Cobre
Tipo
Ollas
Origen
Importado
Ancho (centímetros)
23
Familia
Muebles y Decoración			</t>
  </si>
  <si>
    <t>https://www.homecenter.com.co/homecenter-co/product/483798/?cid=494566&amp;=INTERNA</t>
  </si>
  <si>
    <t>Cocinador</t>
  </si>
  <si>
    <t>Plancha</t>
  </si>
  <si>
    <t>Máquina para pasta</t>
  </si>
  <si>
    <t>Capacidad: 25 litros Mueble con frente en acero inoxidable tipo 430, laterales, piso y espaldar en lámina galvanizada, tanque en acero inoxidable calibre 16 tipo 304, patas en tubo de acero inoxidable de 1" 5/8 con 2 bases niveladoras, termostato para control de temperatura de 20°C a 120°C, válvula unitrol con piloto de seguridad, incluye seis canastas fabricadas en lámina perforada en acero inoxidable calibre 20 tipo 304, diseño intercambiadores de calor tubulares, para una mayor área de transferencia de calor, con calentamiento por medio de dos quemadores, consumo: 60.000 Btu/Hora, dimensiones: Frente 0.395 mts, Fondo 0.696 mts, Altura 0.890 y 1.147 mts.</t>
  </si>
  <si>
    <t>https://tienda.pallomaro.com/cocinadores/cocinador-para-pasta-1-tanque-25l-plantilla-r690-r1007</t>
  </si>
  <si>
    <t>Estufa a gas de 6 puestos con horno. Mueble fabricado en acero inoxidable con frente amplio y espaldar con repisa, 6 quemadores superiores individuales y removibles en hierro fundido de fácil limpieza. Quemadores de 30000 BTU/H cada uno. Horno con termostato ajustable de 31000BTU/H. Certificación ETL. Dimensiones: Frente 0.915 / Fondo 0.829 / Altura 1.52 mts. Potencia Total: 210000 BTU/H. Peso: 167kg.</t>
  </si>
  <si>
    <t>Refrigerador vertical de dos puertas. Construcción exterior e interior en acero inoxidable. Termostato electrónico digital y pantalla LED de temperatura para un control preciso y fácil lectura. Refrigerante libre de CFC. Puerta con sistema de auto-cierre. Junta magnética puede ser sustituida sin necesidad de herramientas. Resistencia oculta en marco de la puerta para evitar cualquier condensación. Capacidad: 49 pies cúbicos (1388 L). Temperatura: 32°F a 41°F (0°C a 5ºC). Número de entrepaños: 6 parrillas pintadas. Dimensiones: Frente 1.369 / Fondo 0.831 / Altura 2.10 mts. Voltaje: 110V- polo a tierra. Consumo: 9 Amp. Potencia: 1/2HP - 5800 BTU. Toma eléctrico: 3x15, altura de piso para punto eléctrico: 0.90 m. Peso: 259 Kg.</t>
  </si>
  <si>
    <t>https://tienda.pallomaro.com/refrigeracion-refrigeradores-4053-10/refrigerado-vertical-2ptas-inox-r290</t>
  </si>
  <si>
    <t>Plancha asadora a gas. Ideal para restaurantes, supermercados, puestos de comida rápida, bares, etc. La plancha de alta eficiencia gracias a su quemador en "U" de 32000 BTU. Salpicadero instalado alrededor de los tres lados de la placa, para evitar regueros y salpicaduras. 2 piezas de elementos de calefactores izquierdo y derecho. Controles termostáticos hasta 300 °C. Conveniente caja recolectora de grasas. Chimenea posterior para salida de gas. Dimensiones: Frente 0.730 / Fondo 0.532 / Altura 0.390 mts. Potencia: 13.3 KW/H. Peso: 29 Kg.</t>
  </si>
  <si>
    <t>https://tienda.pallomaro.com/coccion-planchas-4050-6/plancha-asadora-a-gas-de-sobreponer-con-partes-en-acero-inoxidable-tpg-20-tornado-858-r1354</t>
  </si>
  <si>
    <t>https://enjuliana.com/accesorios-kitchenaid/5092-prensa-para-pasta-corta-accesorio-kitchen-aid.html</t>
  </si>
  <si>
    <t>Kitchen Aid preparar pasta fresca corta casera. Incluye 6 moldes diferentes para hacer espaguetis, macarrones, mini macarrones, bucatini, ritagone y fusilli.</t>
  </si>
  <si>
    <t>POSTRES</t>
  </si>
  <si>
    <t>Mousse de Maracuyá</t>
  </si>
  <si>
    <t>Mousse de Lulo</t>
  </si>
  <si>
    <t>Mousse de frutos rojos</t>
  </si>
  <si>
    <t>Tiramisú</t>
  </si>
  <si>
    <t>Profiteroles</t>
  </si>
  <si>
    <t>Gelato</t>
  </si>
  <si>
    <t>Mousse de limón</t>
  </si>
  <si>
    <t>Mousse al limone</t>
  </si>
  <si>
    <t>Postre de limón</t>
  </si>
  <si>
    <t>Limón, leche condensada, crema de leche, gelatina sin sabor,galletas María</t>
  </si>
  <si>
    <t>Mousse al frutto della passione</t>
  </si>
  <si>
    <t>Postre de maracuyá</t>
  </si>
  <si>
    <t>Maracuyá, leche condensada, crema de leche, gelatina sin sabor, galletas María, azúcar morena</t>
  </si>
  <si>
    <t>Mousse di Lulo</t>
  </si>
  <si>
    <t>Postre de lulo</t>
  </si>
  <si>
    <t>Lulo, leche condensada, crema de leche, gelatina sin sabor, galletas María, azúcar morena</t>
  </si>
  <si>
    <t>Mousse ai frutti rossi</t>
  </si>
  <si>
    <t>Postre de frutos rojos</t>
  </si>
  <si>
    <t>Frutos rojos, leche condensada, crema de leche, gelatina sin sabor, galletas María, azúcar morena</t>
  </si>
  <si>
    <t>Postre de café</t>
  </si>
  <si>
    <t>Tiramisù</t>
  </si>
  <si>
    <t>Queso crema, huevos, azúcar glass, caco puro, café sal, licor.</t>
  </si>
  <si>
    <t>https://www.recetasderechupete.com/tiramisu-facil-receta-tradicional-italiana/2262/</t>
  </si>
  <si>
    <t>Bomba de crema</t>
  </si>
  <si>
    <t>https://www.directoalpaladar.com/postres/receta-de-profiteroles-de-crema-de-mi-madre</t>
  </si>
  <si>
    <t>https://gerogelato.com/gelato-consejos-principiantes/</t>
  </si>
  <si>
    <t>Barrita de limón</t>
  </si>
  <si>
    <t>Postre de limón vegano</t>
  </si>
  <si>
    <t>Harina de almendras, azúcar glass, sal, polvo para hornear, limón, plátanos, azúcar, hojas de menta</t>
  </si>
  <si>
    <t>Barretta al limone</t>
  </si>
  <si>
    <t>https://www.cocinafacil.com.mx/recetas-de-comida/receta/barritas-de-limon/</t>
  </si>
  <si>
    <t>Tarta de piña con coco</t>
  </si>
  <si>
    <t>Crostata di ananas con cocco</t>
  </si>
  <si>
    <t>Postre de piña con coco</t>
  </si>
  <si>
    <t>Harina de almendras, sal, azúcar, plátano, piña, crema vegana, queso crema vegana, crema de coco, coco deshidratado</t>
  </si>
  <si>
    <t>https://www.cocinafacil.com.mx/recetas-de-comida/receta/tarta-de-pina-con-coco/</t>
  </si>
  <si>
    <t>Copas de pitaya con miel</t>
  </si>
  <si>
    <t>Pitaya e coppe di miele</t>
  </si>
  <si>
    <t>Postre de pitaya y miel</t>
  </si>
  <si>
    <t>https://www.cocinafacil.com.mx/recetas-de-comida/receta/copas-de-pitahaya-con-miel/</t>
  </si>
  <si>
    <t>Crema de verduras con conchas</t>
  </si>
  <si>
    <t>Crema di verdure con conchiglie</t>
  </si>
  <si>
    <t>Conchas en crema de verduras</t>
  </si>
  <si>
    <t>Conchas, crema casera, zanahoria, arvejas, res</t>
  </si>
  <si>
    <t>Crema de espinacas</t>
  </si>
  <si>
    <t>Res</t>
  </si>
  <si>
    <t>https://www.alqueria.com.co/recetas/crema-de-espinacas</t>
  </si>
  <si>
    <t>Leche condensada</t>
  </si>
  <si>
    <t>Gelatina sin sabor</t>
  </si>
  <si>
    <t>Galletas maría</t>
  </si>
  <si>
    <t>Galletas María</t>
  </si>
  <si>
    <t>Frutos rojos</t>
  </si>
  <si>
    <t>Queso crema</t>
  </si>
  <si>
    <t>Azúcar glass</t>
  </si>
  <si>
    <t>Queso crema, huevos, azúcar glass, cacao puro, café, sal, licor.</t>
  </si>
  <si>
    <t>Cacao</t>
  </si>
  <si>
    <t>Café</t>
  </si>
  <si>
    <t>Licor</t>
  </si>
  <si>
    <t>Maizena</t>
  </si>
  <si>
    <t>Queso doble crema</t>
  </si>
  <si>
    <t>Leche desnatada</t>
  </si>
  <si>
    <t>Harina Almendras</t>
  </si>
  <si>
    <t>Polvo para hornear</t>
  </si>
  <si>
    <t>Plátanos</t>
  </si>
  <si>
    <t>Azúar</t>
  </si>
  <si>
    <t>Plátano</t>
  </si>
  <si>
    <t>Coco deshidratado</t>
  </si>
  <si>
    <t>Crema vegana</t>
  </si>
  <si>
    <t>Queso crema vegano</t>
  </si>
  <si>
    <t>Crema de coco</t>
  </si>
  <si>
    <t>Pitaya blanca</t>
  </si>
  <si>
    <t>Pitaya roja</t>
  </si>
  <si>
    <t>Nuez Moscada</t>
  </si>
  <si>
    <t>Leche, mantequilla, harina, huevos, sal, piel de limón, canela, azúcar, huevo, maizena, chocolate</t>
  </si>
  <si>
    <t>Chocolate</t>
  </si>
  <si>
    <t>Leche, doble crema, azúcar refinada, leche desnatada, harina de maíz, mora</t>
  </si>
  <si>
    <t>Postres</t>
  </si>
  <si>
    <t>Alistamiento lavado de ingredientes que se necesitan acorde al postre</t>
  </si>
  <si>
    <t>Decorado</t>
  </si>
  <si>
    <t>Pizza de pasta</t>
  </si>
  <si>
    <t>Pizza di pasta</t>
  </si>
  <si>
    <t>Pizza con pasta</t>
  </si>
  <si>
    <t>Pasta, queso, jamón, piña, brócoli, zanahoria, aceitunas, pimentón, pollo, champiñones.</t>
  </si>
  <si>
    <t>Pasta, queso, queso vegano, jamón, piña, brócoli, zanahoria, aceitunas, pimentón, pollo, champiñones.</t>
  </si>
  <si>
    <t>Queso vegani</t>
  </si>
  <si>
    <t>Moldes 10x4</t>
  </si>
  <si>
    <t>Molde 6x4</t>
  </si>
  <si>
    <t>https://tienda.pallomaro.com/moldes/aro-para-pasteleria-10x4-cm-r834</t>
  </si>
  <si>
    <t>Aro para pastelería. Fabricado en acero inoxidable. Este producto cuenta con un acabado tipo espejo y un diseño sin fondo que lo hace Perfecto para hornear tortas, congelarlas y/o armar pasteles en capas. Este molde es resistente a la corrosión y resistirá los rigores del uso comercial. Dimensiones: Diámetro 10 / Altura 4 cm.</t>
  </si>
  <si>
    <t>https://tienda.pallomaro.com/moldes/aro-para-pasteleria-6x4-cm-r57</t>
  </si>
  <si>
    <t>Aro para pastelería. Fabricado en acero inoxidable. Este producto cuenta con un acabado tipo espejo y un diseño sin fondo que lo hace Perfecto para hornear tortas, congelarlas y/o armar pasteles en capas. Este molde es resistente a la corrosión y resistirá los rigores del uso comercial. Dimensiones: Diámetro 6 / Altura 4 cm.</t>
  </si>
  <si>
    <t>Cuchara para helado</t>
  </si>
  <si>
    <t>https://tienda.pallomaro.com/cucharas-para-helado/cuchara-para-helado-18cm-r567</t>
  </si>
  <si>
    <t>Cuchara para helado. Cuerpo fabricado en aluminio. Esta cuchara para helado de una pieza está diseñada con un mango cómodo para un servicio fácil y rápido. Gracias a su construcción de aluminio fundido, este producto es fácil de limpiar y resistirá los rigores del uso diario. Capacidad: 2 Oz (aproximadamente). Longitud: 18 cm</t>
  </si>
  <si>
    <t>PASTAS PARA POBLACIÓN COMÚN</t>
  </si>
  <si>
    <t xml:space="preserve">Total </t>
  </si>
  <si>
    <t>PASTAS PARA VEGETARIANOS Y VEGANOS</t>
  </si>
  <si>
    <t>Total día</t>
  </si>
  <si>
    <t>Adicionales Veg</t>
  </si>
  <si>
    <t>TOTAL PLATOS POR DÍA PARA MENÚ SEGÚN FICHAS TÉCNICAS</t>
  </si>
  <si>
    <t>PASTA AL HUEVO</t>
  </si>
  <si>
    <t>PASTA SIN HUEVO</t>
  </si>
  <si>
    <t>PASTA INTEGRAL</t>
  </si>
  <si>
    <t>PASTA A BASE DE ESPINACAS</t>
  </si>
  <si>
    <t>PASTA A BASE DE TOMATE</t>
  </si>
  <si>
    <t>PASTA RANCHERA</t>
  </si>
  <si>
    <t>Harina integral</t>
  </si>
  <si>
    <t>Base de chorizo</t>
  </si>
  <si>
    <t>Harina Integral</t>
  </si>
  <si>
    <t xml:space="preserve">Fideos de arroz </t>
  </si>
  <si>
    <t>Gnocchi a la papa</t>
  </si>
  <si>
    <t>Precio Huevo</t>
  </si>
  <si>
    <t>Precio sin huevo</t>
  </si>
  <si>
    <t>Precio integral</t>
  </si>
  <si>
    <t>Precio espinaca</t>
  </si>
  <si>
    <t>Precio tomate</t>
  </si>
  <si>
    <t>Precio ranchera</t>
  </si>
  <si>
    <t xml:space="preserve">Agnolotti </t>
  </si>
  <si>
    <t xml:space="preserve">Cannelonis </t>
  </si>
  <si>
    <t xml:space="preserve">Capelli d’angelo cortos </t>
  </si>
  <si>
    <t xml:space="preserve">Caracolas </t>
  </si>
  <si>
    <t xml:space="preserve">Conchas </t>
  </si>
  <si>
    <t xml:space="preserve">Farfalle </t>
  </si>
  <si>
    <t xml:space="preserve">Fettuccine </t>
  </si>
  <si>
    <t xml:space="preserve">Fideos cortos </t>
  </si>
  <si>
    <t xml:space="preserve">Fusilli </t>
  </si>
  <si>
    <t xml:space="preserve">Lasagna </t>
  </si>
  <si>
    <t xml:space="preserve">Maccheroni </t>
  </si>
  <si>
    <t xml:space="preserve">Pappardelle </t>
  </si>
  <si>
    <t xml:space="preserve">Pastina </t>
  </si>
  <si>
    <t xml:space="preserve">Rigattoni </t>
  </si>
  <si>
    <t xml:space="preserve">Tagliatelle </t>
  </si>
  <si>
    <t xml:space="preserve">Tortellini </t>
  </si>
  <si>
    <t xml:space="preserve">Cappelletti </t>
  </si>
  <si>
    <t>Verduras</t>
  </si>
  <si>
    <t>g</t>
  </si>
  <si>
    <t>Aguacate</t>
  </si>
  <si>
    <t>NIVEL DE FORMACIÓN</t>
  </si>
  <si>
    <t>ESPECIFICACIONES DEL PERFIL GRADUADO</t>
  </si>
  <si>
    <t>SALARIOS MÍNIMOS
LABORALES 2021
CONTRATO FIJO O INDEFINIDO</t>
  </si>
  <si>
    <t>HONORARIOS 2021
 (+48%) CONTRATO POR PRESTACIÓN DE SERVICIOS</t>
  </si>
  <si>
    <t xml:space="preserve">TÉCNICO </t>
  </si>
  <si>
    <t>EXPERIENCIA EN EL ÁREA DE FORMACIÓN (&lt;1 AÑO)</t>
  </si>
  <si>
    <t>EXPERIENCIA EN EL ÁREA DE FORMACIÓN (1-3 AÑO)</t>
  </si>
  <si>
    <t>EXPERIENCIA SUPERIOR A 3 AÑOS</t>
  </si>
  <si>
    <t>TECNÓLOGO</t>
  </si>
  <si>
    <t>PROFESIONAL-PREGRADO</t>
  </si>
  <si>
    <t>PROFESIONAL-ESPECIALISTA</t>
  </si>
  <si>
    <t>PROFESIONAL-MAGISTER</t>
  </si>
  <si>
    <t>Gastronomo</t>
  </si>
  <si>
    <t>Cocinero</t>
  </si>
  <si>
    <t>Hostess/Capitan</t>
  </si>
  <si>
    <t>Administrador Gastronomo</t>
  </si>
  <si>
    <t>EXPERIENCIA MÁS DE UN AÑO</t>
  </si>
  <si>
    <t>BACHILLER</t>
  </si>
  <si>
    <t>Utensilios, menaje y equipos</t>
  </si>
  <si>
    <t>https://tienda.pallomaro.com/batidores/batidor-frances-acero-inox-25-cm-r165</t>
  </si>
  <si>
    <t>Bowl 8L</t>
  </si>
  <si>
    <t>Fabricado en acero inoxidable de 37cm de diámetro. Capacidad: 15 litros. Herramienta multipropósito excelente para mezclar, rebozar, batir, amasar, derretir productos</t>
  </si>
  <si>
    <t>https://tienda.pallomaro.com/BOWLS/bowl-profesional-8-l-r530</t>
  </si>
  <si>
    <t>Condimentero fino</t>
  </si>
  <si>
    <t>Condimentero sin manija de malla fina. Fabricado en acero inoxidable. Ideal para espolvorear productos de polvo fino como azúcar pulverizada.</t>
  </si>
  <si>
    <t>Condimentero con manija</t>
  </si>
  <si>
    <t xml:space="preserve">Condimentero con manija. Fabricado en acero inoxidable.  Ideal para dispensar especias secas, queso parmesano, toppings...   </t>
  </si>
  <si>
    <t>https://tienda.pallomaro.com/CONDIMENTEROS/condimentero-con-manija-ainox-10-oz-r654</t>
  </si>
  <si>
    <t>Olla con tapa 34x26</t>
  </si>
  <si>
    <t>Fabricada en acero inoxidable. Diseño de punta dentada, esta pinza asegura un gran agarre para que el hielo no resbale. Longitud: 18 cm.</t>
  </si>
  <si>
    <t>Set 3 cacerolas</t>
  </si>
  <si>
    <t>Copa Vino Tinto Rivere de Libbey en Cristal 23.5 onz / 695 ml</t>
  </si>
  <si>
    <t>https://www.bpuhome.com/product/copa-vino-tinto-libbey-en-cristal-23-5-onz/</t>
  </si>
  <si>
    <t>Copa vino blanco B&amp;T de Pasabahce en Cristal 11 onz / 325 ml</t>
  </si>
  <si>
    <t>https://www.bpuhome.com/product/copa-vino-blanco-pasabahce-en-cristal-11-onz-325-ml/</t>
  </si>
  <si>
    <t>Copa champaña Renaissance de Libbey en Cristal 6 onz / 177 ml</t>
  </si>
  <si>
    <t>https://www.bpuhome.com/product/copa-champana-libbey-en-cristal-6-onz-177-ml/</t>
  </si>
  <si>
    <t>Cuchara postre</t>
  </si>
  <si>
    <t>CUCHARA PARA POSTRE BRITE 18/8.3.0MM</t>
  </si>
  <si>
    <t>https://tienda.pallomaro.com/cubiertos-de-mesa/cuchara-para-postre-brite-18830mm-r916</t>
  </si>
  <si>
    <t>Cuchillo carnicero 12''</t>
  </si>
  <si>
    <t>Cuchillo carnicero. Fabricado en acero inoxidable. Cuenta con una hoja ancha y afilada que resiste el uso intensivo sin doblarse</t>
  </si>
  <si>
    <t>https://tienda.pallomaro.com/CUCHILLOS-PROFESIONALES/cuchillo-carnicero-12-r559</t>
  </si>
  <si>
    <t>Salsera 5 oz</t>
  </si>
  <si>
    <t>Tenedor x12</t>
  </si>
  <si>
    <t>Bowl  salsas/acompañamirntos</t>
  </si>
  <si>
    <t>https://tienda.pallomaro.com/utensilios-para-exhibicion/bowl-ceramica-ac-geometrico-34-oz-plantilla-r859-r688</t>
  </si>
  <si>
    <t>Pote saltero</t>
  </si>
  <si>
    <t>Tazón o salsera. Fabricado en melamina resistente a la rotura. Color: blanco. Capacidad: 1.5 Oz (44 ml). Ideal para servir salsas, condimentos o toppings a la mesa, en lineas de servicio como buffets o en cocinas industriales.</t>
  </si>
  <si>
    <t>https://tienda.pallomaro.com/RECIPIENTES-PARA-SALSAS/potecillo-melamina-liso-1-12-oz-blanco-r162</t>
  </si>
  <si>
    <t>Tina o balde ovalado para vinos y/o botellas. Fabricado en acero inoxidable con acabado tipo espejo. Ideal para enfriar con hielo varias botellas de vino, cerveza o licores en general, de gran atractivo, manijas para su fácil transporte. Dimesiones: Frente 44 / Fondo 30 / Altura 20 cm.</t>
  </si>
  <si>
    <t>https://tienda.pallomaro.com/baldes-o-tinas-para-botellas/balde-vino-plateado-acero-inox-38-l-r421</t>
  </si>
  <si>
    <t>Pinzas parrilleras</t>
  </si>
  <si>
    <t>Pinza de utilidad. Fabricada en acero inoxidable. Es ideal para voltear carne, mezclar ensaladas, sacar papas fritas, entre otros múltiples usos. Su diseño de borde ondulado proporciona un agarre firme y garantiza que los alimentos se agarren sin problemas.</t>
  </si>
  <si>
    <t>https://tienda.pallomaro.com/PINZAS/pinza-trabajo-pesado-parrilla-41-cm-r46</t>
  </si>
  <si>
    <t>Tablas para picar x5</t>
  </si>
  <si>
    <t xml:space="preserve">Tabla Picar Cortar Profesional (Roja, amarilla, verde, azul y roja) Co-polimeros Resistente 50cmx30cm
Tabla para picar, con canal receptor de líquidos, durable y no absorbente, apto para lavavajillas.
Material
Polipropileno
Uso
De uso doméstico, para carnes y vegetales, ideal para el hogar, establecimientos de comidas, etc
Ancho
25 cm
Largo
36 cm
Color
Blanca			</t>
  </si>
  <si>
    <t>https://www.proveedorintegral.com/MCO-452842779-tabla-picar-cortar-profesional-roja-co-polimeros-resistente-_JM#reco_item_pos=1&amp;reco_backend=machinalis-seller-items&amp;reco_backend_type=function&amp;reco_client=vip-seller_items_above-shops&amp;reco_id=89c475ed-a643-49dc-a14a-7c6d177ca57f</t>
  </si>
  <si>
    <t>Especieros x6</t>
  </si>
  <si>
    <t>Estante vinos y copas</t>
  </si>
  <si>
    <t>Boquillas set x6</t>
  </si>
  <si>
    <t>Set de 6 Boquillas para manga pastelera, ideal para decorar tortas, cupcakes y galletas con cremas, glases y merengues.</t>
  </si>
  <si>
    <t>https://www.orquidea.com.co/set-6-acero</t>
  </si>
  <si>
    <t>Mangas pasteleras x100</t>
  </si>
  <si>
    <t>Mangas desechables rollo 16" (40 cm) x 100 unidades</t>
  </si>
  <si>
    <t>https://www.orquidea.com.co/desechable-rollo-16%22</t>
  </si>
  <si>
    <t>SALSA ALFREDO (120 g)</t>
  </si>
  <si>
    <t>SALSA BECHAMEL (120 g)</t>
  </si>
  <si>
    <t>SALSA AMATRICIANA (120 g)</t>
  </si>
  <si>
    <t>SALSA BOLOÑESA (120 g)</t>
  </si>
  <si>
    <t>SALSA CARBONARA (120 g)</t>
  </si>
  <si>
    <t>SALSA NAPOLITANA (120 g)</t>
  </si>
  <si>
    <t>SALSA PUTTANESCA (120 g)</t>
  </si>
  <si>
    <t>SALSA FUNGHI (120 g)</t>
  </si>
  <si>
    <t>SALSA AURORA (120 g)</t>
  </si>
  <si>
    <t>SALSA MARINARA (120 g)</t>
  </si>
  <si>
    <t>SALSA DE PARMESANO Y LECHE (120 g)</t>
  </si>
  <si>
    <t>SALSA PESTO (120 g)</t>
  </si>
  <si>
    <t>SALSA PESTO CALABRESE (120 g)</t>
  </si>
  <si>
    <t>SALSA DE TRES QUESOS (120 g)</t>
  </si>
  <si>
    <t>SALSA DE LA CASA (120 g)</t>
  </si>
  <si>
    <t>SALSA CREMOSA DE TOMATE (120 g)</t>
  </si>
  <si>
    <t>SALSA DE LA  CASA (120 g)</t>
  </si>
  <si>
    <t>CREMA TRES LECHES (120 g)</t>
  </si>
  <si>
    <t>SALSA DE TRES QUESOS (120g)</t>
  </si>
  <si>
    <t>SALSA MARINARA (120g)</t>
  </si>
  <si>
    <t>SALSA ARRABBIATA (120g)</t>
  </si>
  <si>
    <t>Pasta, sal, ajo, pesto, guindilla roja, verde y amarillo, alcaparras, aceitunas, tomate, aceite de oliva, pimienta y salsa pesto</t>
  </si>
  <si>
    <t>CALDO VEGANO (40 g)</t>
  </si>
  <si>
    <t>mL</t>
  </si>
  <si>
    <t>Harina trigo</t>
  </si>
  <si>
    <t>Leche almendras</t>
  </si>
  <si>
    <t>SALSA ALFREDO (120g)</t>
  </si>
  <si>
    <t>Flujograma</t>
  </si>
  <si>
    <t>Diagrama Número</t>
  </si>
  <si>
    <t>Resumen</t>
  </si>
  <si>
    <t>Actual</t>
  </si>
  <si>
    <t>Propuesta</t>
  </si>
  <si>
    <t>Economía</t>
  </si>
  <si>
    <t>Operación
Transporte
Espera
Inspección
Almacenamiento</t>
  </si>
  <si>
    <t>Ficha núm: 1</t>
  </si>
  <si>
    <t>Distancia (m)</t>
  </si>
  <si>
    <t>Tiempo (min-hombre)</t>
  </si>
  <si>
    <t>Costo
 - Mano de obra
 - Material</t>
  </si>
  <si>
    <t>Simbolo</t>
  </si>
  <si>
    <t>Observaciones</t>
  </si>
  <si>
    <t>Objeto: Describir el proceso general en el restaurante</t>
  </si>
  <si>
    <t>Producción</t>
  </si>
  <si>
    <t>Compuesto por: Realizadoras del proyecto
Aprobado por: Realizadoras del proyecto</t>
  </si>
  <si>
    <t>Organizar puestos de trabajo</t>
  </si>
  <si>
    <t>Alistar ingredientes</t>
  </si>
  <si>
    <t>Verter los ingredientes en la máquina</t>
  </si>
  <si>
    <t>Amasar la mezcla en la máquina</t>
  </si>
  <si>
    <t>Dejar en reposo frío la masa</t>
  </si>
  <si>
    <t>¿Se cumple el tiempo de reposo?</t>
  </si>
  <si>
    <t>Lavar ingredientes</t>
  </si>
  <si>
    <t>Añadir especias</t>
  </si>
  <si>
    <t>Servir a comensales</t>
  </si>
  <si>
    <t>Servicio entradas</t>
  </si>
  <si>
    <t>Servicio platos</t>
  </si>
  <si>
    <t>Ensamblar el postre</t>
  </si>
  <si>
    <t>Hornear y refrigerar</t>
  </si>
  <si>
    <t>Decorar</t>
  </si>
  <si>
    <t>Envasar bebida</t>
  </si>
  <si>
    <t>Servicio postres</t>
  </si>
  <si>
    <t>Servicio en general</t>
  </si>
  <si>
    <t>Acompañamiento a comensal a salida y despedida</t>
  </si>
  <si>
    <t>5200 gr x  1.5 Horas</t>
  </si>
  <si>
    <t>x30 unidades</t>
  </si>
  <si>
    <t>Equipos y utensilios a utilizar</t>
  </si>
  <si>
    <t>Mise en place de materias primas según receta indicada</t>
  </si>
  <si>
    <t>Verter la harina con sal en la mesa y formar un hueco</t>
  </si>
  <si>
    <t>Ensamble del postre</t>
  </si>
  <si>
    <t>Batidor globo</t>
  </si>
  <si>
    <t>Añadir ingredientes adicionales</t>
  </si>
  <si>
    <t>Especieros/recipientes</t>
  </si>
  <si>
    <t>Mesa, raspe (espatula de masas)</t>
  </si>
  <si>
    <t>Dejar en reposo frio la masa</t>
  </si>
  <si>
    <t>Información obtenida del libro "Escuela de cocina: Pastas" 
Por Jody Vassallo
Pag: 8-12</t>
  </si>
  <si>
    <t>Tiempo (min)</t>
  </si>
  <si>
    <t>Verter ingredientes en la máquina</t>
  </si>
  <si>
    <t>Amasar mezcla en la máquina</t>
  </si>
  <si>
    <t>https://www.larepublica.net/noticia/el_tiempo_y_el_servicio</t>
  </si>
  <si>
    <t>S.O</t>
  </si>
  <si>
    <t xml:space="preserve">S.O </t>
  </si>
  <si>
    <t>Actividad: Descripción del proceso general del restaurante
Método: Actual/Propuesto</t>
  </si>
  <si>
    <t xml:space="preserve">Fecha: 14/07/2021 
Fecha: 14/07/2021 </t>
  </si>
  <si>
    <t>Operario (s): Personal general del restaurante 
(ver hoja de roles)</t>
  </si>
  <si>
    <t>Ver fichas técnicas 
de los productos</t>
  </si>
  <si>
    <t>N.A</t>
  </si>
  <si>
    <t>Lugar: San Diego, Bogotá D.C.</t>
  </si>
  <si>
    <t>CARGOS</t>
  </si>
  <si>
    <t>ESCALA SALARIAL</t>
  </si>
  <si>
    <t>Ninguna</t>
  </si>
  <si>
    <t>FORMA MANUAL</t>
  </si>
  <si>
    <t>Servicio</t>
  </si>
  <si>
    <t>EN MÁQUINA</t>
  </si>
  <si>
    <t>Masa de pasta</t>
  </si>
  <si>
    <t>Preparación de base para salsas</t>
  </si>
  <si>
    <t>Alistamiento de ingredientes que se necesitan con respecto a las entradas</t>
  </si>
  <si>
    <t>Bajo pedido armar la entrada</t>
  </si>
  <si>
    <t>Cocción de la entrada</t>
  </si>
  <si>
    <t>Cortar la masa o darle forma acorde a entradas y almacenar</t>
  </si>
  <si>
    <t xml:space="preserve">Limpieza de lugares de trabajo </t>
  </si>
  <si>
    <t>Implementos de limpieza, lavaplatos, jabón, 
escoba, trapero</t>
  </si>
  <si>
    <t>Bajo pedido alistamiento y lavado de ingredientes de cada plato</t>
  </si>
  <si>
    <t>Cocción  de la salsa</t>
  </si>
  <si>
    <t>Cocción de proteínas y/o vegetales</t>
  </si>
  <si>
    <t>Corte y precocción (si se requiere) de vegetales y proteínas</t>
  </si>
  <si>
    <t>Corte y precocción de proteínas y vegetales</t>
  </si>
  <si>
    <t>Cortar la masa o darle forma acorde a pedido de plato</t>
  </si>
  <si>
    <t>Total servicio</t>
  </si>
  <si>
    <t>Total limpieza</t>
  </si>
  <si>
    <t>Total pre-apertura</t>
  </si>
  <si>
    <t>Pre-producción</t>
  </si>
  <si>
    <t>Añadir especias y/o acompañantes si lo hay</t>
  </si>
  <si>
    <t xml:space="preserve">Emplatar </t>
  </si>
  <si>
    <t>Total producción</t>
  </si>
  <si>
    <t>Total pre-producción</t>
  </si>
  <si>
    <t>Horneado/Refrigerado y almacenaje</t>
  </si>
  <si>
    <t>Remover con el batidor globo los huevos</t>
  </si>
  <si>
    <t>Refrigerador</t>
  </si>
  <si>
    <t>Bajo pedido alistamiento de ingredientes que se necesitan acorde a la bebida</t>
  </si>
  <si>
    <t>Bajo pedido servir a los comensales</t>
  </si>
  <si>
    <t>Proceso</t>
  </si>
  <si>
    <t>Actividades</t>
  </si>
  <si>
    <t>Plato</t>
  </si>
  <si>
    <t>Mano de obra directa</t>
  </si>
  <si>
    <t xml:space="preserve">Días hábiles </t>
  </si>
  <si>
    <t>Horas Laboradas</t>
  </si>
  <si>
    <t>Descanso</t>
  </si>
  <si>
    <t>Horas Efectivamente Laboradas</t>
  </si>
  <si>
    <t>Tiempo empleado</t>
  </si>
  <si>
    <t>Horas Laboradas al Mes</t>
  </si>
  <si>
    <t>Ayudante de Cocina</t>
  </si>
  <si>
    <t xml:space="preserve">Sous chef
</t>
  </si>
  <si>
    <t>Salario</t>
  </si>
  <si>
    <t>Salario / hora</t>
  </si>
  <si>
    <t>Sous Chef</t>
  </si>
  <si>
    <t>Incorporar lentamente la harina a la mezcla de huevos y amasar con la mano hasta hasta homogenizar</t>
  </si>
  <si>
    <t>Salario / min</t>
  </si>
  <si>
    <t>Steward
Personal de aseo</t>
  </si>
  <si>
    <t>1 Steward (10 min)
1 Persona de Aseo (10 min)</t>
  </si>
  <si>
    <t>SousChef</t>
  </si>
  <si>
    <t>MASA PARA 
PASTA</t>
  </si>
  <si>
    <t>Costo total M.O Directa por minuto</t>
  </si>
  <si>
    <t>MASA PARA
 PASTA</t>
  </si>
  <si>
    <t>PLATOS CON PASTA</t>
  </si>
  <si>
    <t>Servcio</t>
  </si>
  <si>
    <t>PLATOS CON 
PASTA</t>
  </si>
  <si>
    <t>Hostess</t>
  </si>
  <si>
    <t>Costo total M.O Indirecta por minuto</t>
  </si>
  <si>
    <t>Arriendo</t>
  </si>
  <si>
    <t>Energía eléctrica</t>
  </si>
  <si>
    <t>Trámite legales y licencias</t>
  </si>
  <si>
    <t>Elementos de aseo</t>
  </si>
  <si>
    <t xml:space="preserve">Depreciación equipos </t>
  </si>
  <si>
    <t>Servicio de Agua</t>
  </si>
  <si>
    <t>https://www.grupovanti.com/comercio/servicios-para-comercios/revision-de-gas-natural-para-comercio/tarifas/</t>
  </si>
  <si>
    <t>Preparación base de salsas</t>
  </si>
  <si>
    <t>Corte y precocción de proteínas y/o vegetales</t>
  </si>
  <si>
    <t>Cortar la masa o moldear en máquina y almacenar</t>
  </si>
  <si>
    <t>Armar la entrada bajo pedido</t>
  </si>
  <si>
    <t>Limpieza del lugar de trabajo</t>
  </si>
  <si>
    <t xml:space="preserve">Pre-producción entradas </t>
  </si>
  <si>
    <t>Producción entradas</t>
  </si>
  <si>
    <t>Limpieza entradas</t>
  </si>
  <si>
    <t>Alistamiento de ingrediente y reparación de base para salsas</t>
  </si>
  <si>
    <t>Alistar ingredientes y preparar bases para salsas</t>
  </si>
  <si>
    <t>Cocción de salsa</t>
  </si>
  <si>
    <t>Cortar la masa o moldear en máquina acorde al plato</t>
  </si>
  <si>
    <t>Pre-producción platos</t>
  </si>
  <si>
    <t>Producción platos</t>
  </si>
  <si>
    <t>Limpieza platos</t>
  </si>
  <si>
    <t>Añadir acompañantes</t>
  </si>
  <si>
    <t>Pre-producción bebidas (dif. Vino)</t>
  </si>
  <si>
    <t>Producción bebidas (dif. Vino)</t>
  </si>
  <si>
    <t>Bajo pedido servir a comensales</t>
  </si>
  <si>
    <t>Limpieza postres</t>
  </si>
  <si>
    <t>Pre-producción postres</t>
  </si>
  <si>
    <t>ACITIVIDADES EN SIMULTÁNEO</t>
  </si>
  <si>
    <t>Pre-producción masa</t>
  </si>
  <si>
    <t>Cortar y lavar ingredientes</t>
  </si>
  <si>
    <t xml:space="preserve">Alistar ingredientes </t>
  </si>
  <si>
    <t>Licuar ingredientes bajo pedido</t>
  </si>
  <si>
    <t>Servicio bebidas (dif. Vino)</t>
  </si>
  <si>
    <t>Limpieza bebidas (dif. Vino)</t>
  </si>
  <si>
    <t>Cortado y avado de ingredientes</t>
  </si>
  <si>
    <t>Alistamiento de ingredientes que se necesitan acorde a la bebida</t>
  </si>
  <si>
    <t xml:space="preserve">Alistar y lavar de ingredientes del plato </t>
  </si>
  <si>
    <t>Alistamiento y lavado de ingredientes de cada plato</t>
  </si>
  <si>
    <t>% Merma</t>
  </si>
  <si>
    <t>Cantidad Merma</t>
  </si>
  <si>
    <t>Rendimiento</t>
  </si>
  <si>
    <t>Precio útil</t>
  </si>
  <si>
    <t xml:space="preserve"> </t>
  </si>
  <si>
    <t>Ingrediente</t>
  </si>
  <si>
    <t>Cebolla Blanca y morada</t>
  </si>
  <si>
    <t>Espárrago</t>
  </si>
  <si>
    <t>Col de bruselas</t>
  </si>
  <si>
    <t>Banana</t>
  </si>
  <si>
    <t>Cereza</t>
  </si>
  <si>
    <t>Almeja</t>
  </si>
  <si>
    <t>Camarón</t>
  </si>
  <si>
    <t>Mejillón</t>
  </si>
  <si>
    <t>Pez</t>
  </si>
  <si>
    <t>Merma</t>
  </si>
  <si>
    <t>Ingrediente2</t>
  </si>
  <si>
    <t>Merma3</t>
  </si>
  <si>
    <t>Ingrediente4</t>
  </si>
  <si>
    <t>Merma5</t>
  </si>
  <si>
    <t>Azucar</t>
  </si>
  <si>
    <t>Con esta máquina eléctrica para hacer pasta podrás preparar diferentes tipos de pasta de forma sencilla y rápida.
Esta máquina profesional tiene un rendimiento de 12 kg de masa en 1 hora y está específicamente diseñado para hoteles, restaurantes, pizzerías, etc..
Está hecha en Italia, fabricada en acero inoxidable, muy robusta y fácil de usar y de limpiar.
Permite un máximo de 210 mm de ancho en 10 diferentes espesores.
Para comprar una máquina para hacer pasta fresca hay que tener en cuenta diferentes parámetros. Este modelo se considera entre las más valorados para hacer pasta italiana.
La máquina de pasta Imperia permite realizar pasta casera de forma profesional, con la calidad de la pasta hecha en casa y la capacidad para poder atender la demanda de restaurantes y hoteles.
Las máquinas para fabricar pasta fresca ayudan a preparar un producto final de calidad que fideliza al cliente que se amortiza en un periodo de tiempo muy corto.
Elige la forma de la pasta que quieres hacer y deja que la máquina trabaje por tí.
Saca tu libro de recetas y empieza a preparar tipos diferentes de pasta con la mejor calidad y de forma sencilla.
A diferencia de la máquina manual, este tipo de máquinas de pasta eléctrica son una opción más avanzada que permite realizar los trabajos de fabricación de pasta fresca con mayor comodidad.
Si estás pensando en comprar una máquina para pasta esta es sin duda tu opción.
Características 
Largo de Rodillo: 220mm
Max Apertura de Rodillo: 5mm
Produccion: 12 kg/hr
Peso: 10.300kg
Dimensiones: 30cm/W 22cm/H 25cm
Garantia: 1 año</t>
  </si>
  <si>
    <t>https://www.dimobasuministros.com/maquina-pasta-electrica.html</t>
  </si>
  <si>
    <t>Toma postre</t>
  </si>
  <si>
    <t>Solicitud cuenta y entrega al comensal</t>
  </si>
  <si>
    <t>Comensal efectúa pago</t>
  </si>
  <si>
    <t>Limpieza y montaje de mesa para nuevo comensal</t>
  </si>
  <si>
    <t>https://cocimaniacos.com/coeficientes-y-porcentajes-de-desperdicios-y-mermas/</t>
  </si>
  <si>
    <t>https://www.espaciofoodservice.cl/consejos-para-reducir-la-merma-generada-tras-la-preparacion-de-comidas-en-un-restaurante-o-cafe/</t>
  </si>
  <si>
    <t>Mesas 3</t>
  </si>
  <si>
    <t>Mesas 4</t>
  </si>
  <si>
    <t>Mesas  6</t>
  </si>
  <si>
    <t>Tablet</t>
  </si>
  <si>
    <t>Plato para pasta X4</t>
  </si>
  <si>
    <t>Spaghetti en salsa de parmesano y leche</t>
  </si>
  <si>
    <t>Spaghetti al Parmigiano e Salsa al Latte</t>
  </si>
  <si>
    <t>Spaghetti en salsa de queso parmesano y pollo.</t>
  </si>
  <si>
    <t>Masa para pasta</t>
  </si>
  <si>
    <t>C.I.F</t>
  </si>
  <si>
    <t xml:space="preserve">Platos en </t>
  </si>
  <si>
    <t>Costo materia prima + mermas</t>
  </si>
  <si>
    <t>Costo M.O Directa</t>
  </si>
  <si>
    <t>Costo M.O. Indirecta</t>
  </si>
  <si>
    <t>C.I.F.</t>
  </si>
  <si>
    <t>Marge Utilidad</t>
  </si>
  <si>
    <t>Precio de Venta</t>
  </si>
  <si>
    <t>Cotización en sitio</t>
  </si>
  <si>
    <t>NR</t>
  </si>
  <si>
    <t>SUELDO BÁSICO</t>
  </si>
  <si>
    <t xml:space="preserve">DÍAS </t>
  </si>
  <si>
    <t>DEVENGADO</t>
  </si>
  <si>
    <t>TOTAL DEVENGADO</t>
  </si>
  <si>
    <t>DEDUCCIONES</t>
  </si>
  <si>
    <t>TOTAL DEDUCCIONES</t>
  </si>
  <si>
    <t>NETO PAGADO</t>
  </si>
  <si>
    <t>CARGO</t>
  </si>
  <si>
    <t>BÁSICO</t>
  </si>
  <si>
    <t>AUXILIO DE TRANSPORTE</t>
  </si>
  <si>
    <t>SALUD</t>
  </si>
  <si>
    <t>PENSIÓN</t>
  </si>
  <si>
    <t>FONDO DE SOLIDAR</t>
  </si>
  <si>
    <t>RETENCIÓN EN LA FUENTE</t>
  </si>
  <si>
    <t>Teléfono e internet</t>
  </si>
  <si>
    <t>Depreciación equipos de cómputo</t>
  </si>
  <si>
    <t>https://medellin.unal.edu.co/egresados/images/pdf/Escala_salarial_2021.pdf</t>
  </si>
  <si>
    <t>SALARIO BASICO MENSUAL</t>
  </si>
  <si>
    <t>Hs trabajadas</t>
  </si>
  <si>
    <t>Subtotal</t>
  </si>
  <si>
    <t>Hora diurna ordinaria</t>
  </si>
  <si>
    <t>Hora extra diurna</t>
  </si>
  <si>
    <t>Hora nocturna ordinaria</t>
  </si>
  <si>
    <t>Hora extra nocturna</t>
  </si>
  <si>
    <t>Hora dominical diurna ordinaria</t>
  </si>
  <si>
    <t>Hora extra dominical diurna</t>
  </si>
  <si>
    <t>Hora dominical ordinaria nocturna</t>
  </si>
  <si>
    <t>Hora extra dominical nocturna</t>
  </si>
  <si>
    <t>GRAN TOTAL</t>
  </si>
  <si>
    <t>HORAS EXTRAS LUNES</t>
  </si>
  <si>
    <t>HORAS EXTRAS MARTES</t>
  </si>
  <si>
    <t>HORAS EXTRAS MIÉRCOLES</t>
  </si>
  <si>
    <t>HORAS EXTRAS JUEVES</t>
  </si>
  <si>
    <t>HORAS EXTRAS VIERNES</t>
  </si>
  <si>
    <t>HORAS EXTRAS SÁBADO</t>
  </si>
  <si>
    <t>HORAS EXTRA 
DOMINGO</t>
  </si>
  <si>
    <t>PROPINAS</t>
  </si>
  <si>
    <t>Total mes</t>
  </si>
  <si>
    <t>Días Laborales</t>
  </si>
  <si>
    <t>Lunes a domingo</t>
  </si>
  <si>
    <t>Rotativos: Horario 08 a.m. a 04 p.m. / Horario 2 m. a 10 p.m. (8 horas cada uno)</t>
  </si>
  <si>
    <t>NÓMINA MENSUAL</t>
  </si>
  <si>
    <t>HORAS EXTRA</t>
  </si>
  <si>
    <t>SALARIO</t>
  </si>
  <si>
    <t>Costo Unitario</t>
  </si>
  <si>
    <t>ARL</t>
  </si>
  <si>
    <t>Total a pagar</t>
  </si>
  <si>
    <t>Seguridad Social</t>
  </si>
  <si>
    <t>Prestaciones sociales</t>
  </si>
  <si>
    <t>Parafiscales</t>
  </si>
  <si>
    <t>SEGURIDAD SOCIAL</t>
  </si>
  <si>
    <t>PRESTACIONES SOCIALES</t>
  </si>
  <si>
    <t>PARAFISCALES</t>
  </si>
  <si>
    <t>CAJA DE 
COMPENSACIÓN</t>
  </si>
  <si>
    <t>CESANTÍAS</t>
  </si>
  <si>
    <t>PRIMA</t>
  </si>
  <si>
    <t>INTERESES SOBRE
CESANTÍAS</t>
  </si>
  <si>
    <t>VACACIONES</t>
  </si>
  <si>
    <t>Extintores</t>
  </si>
  <si>
    <t>Botíquín</t>
  </si>
  <si>
    <t>Equipo de seguridad</t>
  </si>
  <si>
    <t>Gorro auxiliar chef</t>
  </si>
  <si>
    <t>Delantal chef</t>
  </si>
  <si>
    <t>Cofia</t>
  </si>
  <si>
    <t>Tapabocas acrílico</t>
  </si>
  <si>
    <t>Zapatos cocina</t>
  </si>
  <si>
    <t>Uniforme</t>
  </si>
  <si>
    <t>Guantes silicona</t>
  </si>
  <si>
    <t>Guantes horno</t>
  </si>
  <si>
    <t>Teléfono</t>
  </si>
  <si>
    <t>Impresora</t>
  </si>
  <si>
    <t>Señalización</t>
  </si>
  <si>
    <t>Nómina Administrativa</t>
  </si>
  <si>
    <t>Papelería</t>
  </si>
  <si>
    <t>Impuestos</t>
  </si>
  <si>
    <t>Mantenimiento y reparación</t>
  </si>
  <si>
    <t>Decoración</t>
  </si>
  <si>
    <t>Máquinas</t>
  </si>
  <si>
    <t>Marketing y publicidad</t>
  </si>
  <si>
    <t>https://www.alkosto.com/telefono-alambrico-panasonic-ts500-negro/p/5025232786664</t>
  </si>
  <si>
    <t>Tecnología alámbrica, ofrece el máximo rendimiento posible
Control de volumen, subelo o bajalo por medio de 2 teclas pulsadoras
Función rediscado, marca al último número con solo 1 pulsación
Volumen de Timbre, desconectado, bajo y alto escoge según tu necesidad</t>
  </si>
  <si>
    <t>Núcleos del procesador: Octa Core
Tamaño de la pantalla: 8 pulgadas
Velocidad del procesador: 1,6 Ghz
Memoria RAM: 2GB</t>
  </si>
  <si>
    <t>https://www.falabella.com/falabella-cl/product/15335994/Tablet-PRO-Azul-(8-,-32GB,-2GB-RAM,-WIFI)/15335994</t>
  </si>
  <si>
    <t>https://www.alkosto.com/impresora-hp-107w-laser-blanco/p/193015506473</t>
  </si>
  <si>
    <t>Conexión Inalámbrica: desenrada tu vida no más cable
Conexión USB 2.0 alta velocidad
Obtén mayor capacidad Bandeja de entrada 150 hojas
Velocidad sin limites, primera página impresa en 9 segundos
Resumen del producto
Libérate de los cables, conectividad inalámbrica que te permite imprimir desde cualquier lugar. Obtén resultados de alta calidad, cree textos nítidos, negros audaces y gráficos definidos. te sorprenderá su pequeño tamaño, podrás colocarla en cualquier lugar.</t>
  </si>
  <si>
    <t>Máquina para pasta Imperia</t>
  </si>
  <si>
    <t>Máquina para pasta Kitchen Aid</t>
  </si>
  <si>
    <t>Gastos no operacionales de administración y ventas (anuales)</t>
  </si>
  <si>
    <t>Gastos operacionales de administración y ventas (mensuales)</t>
  </si>
  <si>
    <t>Fijos</t>
  </si>
  <si>
    <t>Variables</t>
  </si>
  <si>
    <t>Margen Utilidad</t>
  </si>
  <si>
    <t>https://www.caminofinancial.com/es/cual-es-el-margen-de-ganancias-en-un-restaurante/</t>
  </si>
  <si>
    <t>https://www.homecenter.com.co/homecenter-co/search?Ntt=gorro%20chef</t>
  </si>
  <si>
    <t>https://www.homecenter.com.co/homecenter-co/product/480381/Botiquin-18-Productos/480381</t>
  </si>
  <si>
    <t>https://www.homecenter.com.co/homecenter-co/product/163817/Extintor-5-libras-abc/163817</t>
  </si>
  <si>
    <t>Tipo
Extintores
Características
Extintor de químico seco, 5 libras, de solución efectiva, recubrimiento en acero resistente, acompañado de reglas de mantenimiento y seguridad de uso .
Despacho Express
Entrega 3 horas en Bogotá
Observaciones
La foto de este producto ha sido ambientada, por lo cual no incluye ningún adorno, ni accesorios, ni piezas adicionales ni ningún otro elemento que lo acompañan
Contenido
2500 gramos
Material
Solución extintora seca
Uso
Para apagar cualquier tipo de incendios</t>
  </si>
  <si>
    <t>Tipo
botiquin
Garantía
12 Meses
Modelo
A128
Observaciones
La foto de este producto ha sido ambientada, por lo cual no incluye ningún adorno, ni accesorios, ni piezas adicionales ni ningún otro elemento que lo acompañan.
Color
Rojo
Largo(centimetros)
26
Pais donde se fabrica (Procedencia)
Colombia
Origen
Nacional
Peso (Kgs)
900 Kg
Familia
Construcción y Ferreteria
Ancho(centimetros)
8</t>
  </si>
  <si>
    <t>Material
Dril poliester
Garantía
6 meses defecto fabrica
Tipo
Dotación para Chef
Características
Ajustable con Velcro
Observaciones
La foto de este producto ha sido ambientada, por lo cual no incluye ningún adorno, ni accesorios, ni piezas adicionales ni ningún otro elemento que lo acompañan.
Diámetro
Ajustable: Desde 0.25 cm hasta 0.31 cm
Uso
Doméstico
Recomendaciones
Se recomienda lavado delicado, no planchar, no usar cloro.
Número de piezas
1
Color
Blanco
Procedencia
Nacional</t>
  </si>
  <si>
    <t>https://www.homecenter.com.co/homecenter-co/product/136168/Delantal-gourmet-dril-negro/136168</t>
  </si>
  <si>
    <t>Diámetro
Aproximadamente 98 cm largo x 49 cm ancho
Tipo
Delantales
Características
Delantal, con moderno y llamativo diseño estampado, resistente, durable, de fácil limpieza, alta calidad.
Material
Dril
Uso
Doméstico
Color
Negro</t>
  </si>
  <si>
    <t>Gorro Oruga Blanco BIOFIT
Caracteristicas
Tela no tejida 11g ± 2g
No estéril
Talla Única
Certificado INVIMA No. 2014022201
Bolsa x 20 unidades</t>
  </si>
  <si>
    <t>https://articulo.mercadolibre.com.co/MCO-567705853-gorro-cofia-tipo-oruga-desechable-quirurgico-paquete-x-20-_JM?searchVariation=58606738904#searchVariation=58606738904&amp;position=3&amp;search_layout=stack&amp;type=item&amp;tracking_id=b67f38da-32f1-49e7-81d0-39f5fde325db</t>
  </si>
  <si>
    <t>https://articulo.mercadolibre.com.co/MCO-582593686-tapabocas-termosellados-empaque-individual-_JM#searchVariation=71103887884&amp;position=1&amp;search_layout=stack&amp;type=pad&amp;tracking_id=b2f5f8e2-e4e7-4937-9ffc-aa9d9e2875f5&amp;is_advertising=true&amp;ad_domain=VQCATCORE_LST&amp;ad_position=1&amp;ad_click_id=ZjlmYTZmMDctNWZhOC00ZWQ1LWI2MzctMzU3NzMxMzVmNWVj</t>
  </si>
  <si>
    <t>TAPABOCAS TERMOSELLADOS GRADO MEDICO 3 CAPAS
- Dos capas tela quirúrgica hospitalaria y una capa de filtro meltblown con capacidad de filtración de un 99%
- REGISTRO SANITARIO INVIMA 2020DM-0022402
- PRODUCTO FABRICADO EN COLOMBIA
- Ajuste nasal de alta calidad
- Elástico en suave microfibra sellado en ultrasonido</t>
  </si>
  <si>
    <t>Zapatos antideslizantes de cocina chef especial a prueba de aceite zapatos impermeables desgaste zapatos de trabajo
por favor háganos saber tanto como sea posible acerca de su consulta para que podamos ayudarle con sus necesidades específicas. siempre estamos encantados de ayudarle siempre que sea posible.
nota: como diferentes ordenadores muestran colores diferentes, el color del artículo real puede variar ligeramente del de las imágenes anteriores.</t>
  </si>
  <si>
    <t>https://articulo.mercadolibre.com.co/MCO-637165199-zapatos-antideslizantes-de-cocina-chef-special-a-prueba-de-a-_JM?searchVariation=88370276359#searchVariation=88370276359&amp;position=2&amp;search_layout=grid&amp;type=item&amp;tracking_id=35f7290f-3b91-4f5b-97ee-e75e6415cfad</t>
  </si>
  <si>
    <t>Uniforme de poliéster antifluidos</t>
  </si>
  <si>
    <t>https://articulo.mercadolibre.com.co/MCO-582336335-filipina-chef-gabardina-tempo-_JM?searchVariation=63899009301#searchVariation=63899009301&amp;position=4&amp;search_layout=grid&amp;type=item&amp;tracking_id=ab65801e-ec17-47a5-a26a-5f57b6a45f7d</t>
  </si>
  <si>
    <t>Guantes de silicona para el lavado de los platos con el cepillo reutilizable de silicona guantes de limpieza al calor de la cocina para el hogar lavado de coches cuidado del cabello de mascotas 1 par COLORES DISPONIBLES MORADO Y AZUL
* Silicona de grado alimenticio hecha de silicona 100 de grado alimenticio no alérgica al látex no absorbe el agua no se preocupe por limpiar verduras y frutas
* Guantes de látex multifuncionales guantes de silicona para masaje de tu mascota
* Resistencia al aceite y al calor no es fácil de escalar Fórmula única resistente al aceite que garantiza la separación de aceite y guantes
* Ahorra espacio el diseño de gancho ahorra mucho espacio en tu cocina Después de la limpieza simplemente colócalo para evitar la aparición de bacterias tus guantes de silicona sin riesgos</t>
  </si>
  <si>
    <t>https://articulo.mercadolibre.com.co/MCO-580480450-guantes-magicos-silicona-para-lavar-platos-mascotas-autos-_JM#position=3&amp;search_layout=stack&amp;type=item&amp;tracking_id=6a83c194-53ac-4c4a-8d63-f4acc37bf165</t>
  </si>
  <si>
    <t>https://articulo.mercadolibre.com.co/MCO-603569994-guante-para-horno-resistente-al-calor-205-winco-43-cm-_JM?searchVariation=73950536216#searchVariation=73950536216&amp;position=3&amp;search_layout=stack&amp;type=item&amp;tracking_id=34117779-5297-4389-9bda-52a8d2fb625f</t>
  </si>
  <si>
    <t>Marca	Winco
Modelo	OMF-17
Tipo	Manopla
Largo x Ancho	43 cm x 17 cm
Formato de venta	Unidad
Unidades por pack	1</t>
  </si>
  <si>
    <t>Señales contra incendio 9 $2.900 $26.100
Señales de evacuación 6 $2.900 $17.400
Señales de advertencia 3 $2.900 $8.700
Señal de piso húmedo 3 $30.000 $90.000
Señales obligatorias 9 $2.900 $26.100</t>
  </si>
  <si>
    <t>file:///C:/Users/Milena%20Vargas/Downloads/3121612-2019-1-II.pdf</t>
  </si>
  <si>
    <t>Capacidad de transportar hasta 80kg.</t>
  </si>
  <si>
    <t xml:space="preserve">Mesón x 3 </t>
  </si>
  <si>
    <t>Adecuaciones</t>
  </si>
  <si>
    <t>Ancho
183 centímetros
Garantía
1 año
Plegable
Si
Observaciones
La foto de este producto ha sido ambientada, por lo cual no incluye ningún adorno, ni accesorios, ni piezas adicionales ni ningún otro elemento que lo acompañan. El color presentado en la fotografía es una aproximación al color real.
Alto
73 centímetros
Material
Plástico
Uso
Doméstico
Precio Blackdays
Precio Black
Material cubierta
Polietileno
Peso
12.5 Kg
Marca
Lifetime
Tipo
Mesas plegables
Medidas
183 x 76 cm
Profundidad
76 centímetros
Características
Maleta. Bloqueo automático. Uso interior / exterior. Marco de acero recubierto de polvo resistente a la corrosión. Resistente a las manchas y fácil de limpiar. Protegido contra rayos ultravioleta.
Origen
Importado</t>
  </si>
  <si>
    <t>https://www.homecenter.com.co/homecenter-co/product/300295/Mesa-Plegable-Polietileno-183X76Cm-Arena-Lifetime/300295</t>
  </si>
  <si>
    <t>Sillas largas</t>
  </si>
  <si>
    <t>https://www.homecenter.com.co/homecenter-co/product/871160/Silla-Auxiliar-Comedor-Charlton-Gris/871160</t>
  </si>
  <si>
    <t>Tipo
Sillas para comedor
Referencia Proveedor
CHARLTON DGY
Modelo
Charlton
Garantía Producto
12 meses
Origen Producto
Producto Importado
Procedencia
China
Incluye
NO incluye elementos decorativos no descritos.
Recomendaciones
Se recomienda limpiar regularmente con un paño no abrasivo, se pueden usar emulsiones que protejan el acabado. En superficies de vidrio se puede usar limpiavidrios. No enjuagar, no usar agua directa, ni cloro, ni disolventes.
Servicio de armado
Todos nuestros muebles vienen desarmados y empacados en caja, requieren ensamble o armado no incluido en el precio de venta.
Observaciones
La foto de este producto ha sido ambientada, por lo cual no incluye ningún adorno, ni accesorios, ni piezas adicionales ni ningún otro elemento que lo acompañan</t>
  </si>
  <si>
    <t>Tipo
Sillas bar
Modelo
Ondas
Referencia Proveedor
AF-B226BLACK2
Origen Producto
Producto Importado
Procedencia
China
Garantía
3 meses
Recomendaciones
Para conservar el acabado de la superficie se recomienda usar paños no metálicos que puedan rayar el acabado, se recomienda seguir las instrucciones de uso y seguridad dispuestas por el fabricante.
Observaciones
La foto de este producto ha sido ambientada, por lo cual no incluye ningún adorno, ni accesorios, ni piezas adicionales ni ningún otro elemento que lo acompañan. El color presentado en la fotografía es una aproximación al color real.
Servicio de armado
Todos nuestros muebles vienen desarmados y empacados en caja, requieren ensamble o armado no incluido en el precio de venta.</t>
  </si>
  <si>
    <t>https://www.homecenter.com.co/homecenter-co/product/487190/Set-x2-Silla-Bar-Ondas-Negra/487190</t>
  </si>
  <si>
    <t>Estantería platos</t>
  </si>
  <si>
    <t>Estantería verduras</t>
  </si>
  <si>
    <t>Estantería frutas</t>
  </si>
  <si>
    <t>Mesón emplatado</t>
  </si>
  <si>
    <t>Mesón pasta</t>
  </si>
  <si>
    <t>Estantería aseo</t>
  </si>
  <si>
    <t>Estufa y campana</t>
  </si>
  <si>
    <t>Año</t>
  </si>
  <si>
    <t>https://www.grupobancolombia.com/wps/portal/empresas/capital-inteligente/investigaciones-economicas/publicaciones/tablas-macroeconomicos-proyectados</t>
  </si>
  <si>
    <t>https://www.youtube.com/watch?v=hflKvtYCiyk</t>
  </si>
  <si>
    <t>Precios proyectados</t>
  </si>
  <si>
    <t>Inflación (IPC) Proyectada</t>
  </si>
  <si>
    <t>PLATOS</t>
  </si>
  <si>
    <t>Spaghetti con mozzarella, cheddar e polpette di carne.</t>
  </si>
  <si>
    <t>Tortellini con salsa di pomodoro cremosa</t>
  </si>
  <si>
    <t>PROYECCIÓN DE PRECIOS</t>
  </si>
  <si>
    <t>Margen bruto</t>
  </si>
  <si>
    <t>Televisor</t>
  </si>
  <si>
    <t>https://www.alkosto.com/tv-lg-32-pulgadas-80-cm-32lm6300-led-hd-plano-smart-tv/p/8806098384709</t>
  </si>
  <si>
    <t>El primer Smart TV con Inteligencia Artificial
Un nuevo nivel HD: 1080p para mejor resolución de pantalla
Procesador Quad Core: el origen de las imágenes realistas
Virtual Surround Plus: efecto que simula más fuentes sonoras
Dolby Audio, una experiencia de sonido como en el cine
Resumen del producto
Descubre el TV con procesador de cuatro núcleos y conexión Bluetooth, LG presenta el modelo 32LM6300, más rápido y preciso. | Este TV elimina el ruido creando colores y contrastes más dinámicos. Mejora las imágenes de baja resolución y muestra imágenes casi en resolución 4K. El efecto de sonido envolvente de LG recrea el ambiente sonoro en un solo parlante y te asegura de sentir lo que sucede a tu alrededor. Vive tus programas favoritos con LG ¡lleva el tuyo ahora!</t>
  </si>
  <si>
    <t>https://www.youtube.com/watch?v=ntOPr0Ljc_M&amp;t=441s</t>
  </si>
  <si>
    <t>Precio menor plato</t>
  </si>
  <si>
    <t>Precio menor entrada</t>
  </si>
  <si>
    <t>Precio menor bebida</t>
  </si>
  <si>
    <t>Precio menor postre</t>
  </si>
  <si>
    <t>Precio promedio plato</t>
  </si>
  <si>
    <t>Precio promedio entrada</t>
  </si>
  <si>
    <t>Precio promedio bebida</t>
  </si>
  <si>
    <t>Precio promedio postre</t>
  </si>
  <si>
    <t>Precio mayor plato</t>
  </si>
  <si>
    <t>Precio mayor entrada</t>
  </si>
  <si>
    <t>Precio mayor bebida</t>
  </si>
  <si>
    <t>Precio mayor postre</t>
  </si>
  <si>
    <t>Ventas Mínimas Anuales</t>
  </si>
  <si>
    <t>Gastos anuales</t>
  </si>
  <si>
    <t>En ventas</t>
  </si>
  <si>
    <t>PROYECCIONES ANUALES</t>
  </si>
  <si>
    <t>https://www.youtube.com/watch?v=6Bfmfqimeyk&amp;t=93s</t>
  </si>
  <si>
    <t>Estado de Resultados</t>
  </si>
  <si>
    <t>Ventas (Pesos)</t>
  </si>
  <si>
    <t>(=) Ganancia Bruta</t>
  </si>
  <si>
    <t>(=) Ganancia Operativa</t>
  </si>
  <si>
    <t>(=) Ganancia Neta</t>
  </si>
  <si>
    <t>(-) Impuestos</t>
  </si>
  <si>
    <t>Gastos de administración</t>
  </si>
  <si>
    <t>Balance General</t>
  </si>
  <si>
    <t>Activo Corriente</t>
  </si>
  <si>
    <t>Caja y Bancos</t>
  </si>
  <si>
    <t>Cuentas por Cobrar</t>
  </si>
  <si>
    <t>Inventarios</t>
  </si>
  <si>
    <t>Total Activos Corrientes</t>
  </si>
  <si>
    <t>Activo no Corriente</t>
  </si>
  <si>
    <t>Planta, Propiedades y Equipo</t>
  </si>
  <si>
    <t>Total Activo no Corriente</t>
  </si>
  <si>
    <t>Total Activo</t>
  </si>
  <si>
    <t>Pasivo</t>
  </si>
  <si>
    <t>Patrimonio neto</t>
  </si>
  <si>
    <t>Total Pasivo y Patrimonio</t>
  </si>
  <si>
    <t>Costo M.O. In</t>
  </si>
  <si>
    <t>CIF</t>
  </si>
  <si>
    <t>https://www.youtube.com/watch?v=txFgN-KLwGY&amp;t=175s</t>
  </si>
  <si>
    <t>Flujo de caja</t>
  </si>
  <si>
    <t>Años</t>
  </si>
  <si>
    <t>Ingresos</t>
  </si>
  <si>
    <t>Capital Inicial</t>
  </si>
  <si>
    <t>Egresos</t>
  </si>
  <si>
    <t>Otros gastos</t>
  </si>
  <si>
    <t>Endulcorante</t>
  </si>
  <si>
    <t>Stevia</t>
  </si>
  <si>
    <t>Empanadas x 3</t>
  </si>
  <si>
    <t>Por Cotización</t>
  </si>
  <si>
    <t>---</t>
  </si>
  <si>
    <t>TOTAL AÑO</t>
  </si>
  <si>
    <t xml:space="preserve">TOTAL </t>
  </si>
  <si>
    <t>TOTAL GASTOS</t>
  </si>
  <si>
    <t>TOTAL HORA</t>
  </si>
  <si>
    <t>En cantidades</t>
  </si>
  <si>
    <t>Gramera</t>
  </si>
  <si>
    <t>https://www.homecenter.com.co/homecenter-co/product/510089/Balanza-Gramera-Digital-Cocina-10Kls-Ligera/510089</t>
  </si>
  <si>
    <t>Garantía
1 mes
Tipo
Balanzas de cocina
Modelo
SF400-10K
Observaciones
La foto de este producto ha sido ambientada, por lo cual no incluye ningún adorno, ni accesorios, ni piezas adicionales ni ningún otro elemento que lo acompañan.
Origen
Importado
Familia
Muebles y Decoración
Procedencia
China</t>
  </si>
  <si>
    <t>Jarra medidora de 1/2 Litro. Gramera de 10 Kg. Bowl 8 Litros.</t>
  </si>
  <si>
    <t>Máquina Imperia de 10,4 Kg por hora</t>
  </si>
  <si>
    <t>Refrigerador de 1388 Litros</t>
  </si>
  <si>
    <t>Máquinas para pasta Imperia de 10,4 Kg por hora. Kitchen Aid de 10,4 Kg por hora.</t>
  </si>
  <si>
    <t>Bandeja de 37 cm x 28 cm</t>
  </si>
  <si>
    <t>Cucharas medidoras y especieros.</t>
  </si>
  <si>
    <t xml:space="preserve">Platos, cucharas, tenedores, salseras pequeñas </t>
  </si>
  <si>
    <t>Bandejas de 37 cm x 28 cm y carros</t>
  </si>
  <si>
    <t>Lavaplatos. Azafates.</t>
  </si>
  <si>
    <t>Máquina para pasta Imperia 10,4 Kg por hora. 
Kitchen Aid 10,4 Kg por hora.</t>
  </si>
  <si>
    <t>Olla pastera 31x16 cm. Cocinador 25 Litros. 
Cucharas para pasta.</t>
  </si>
  <si>
    <t>Platos, cucharas, tenedores, salseros</t>
  </si>
  <si>
    <t>Contenedores, azafates</t>
  </si>
  <si>
    <t>Licuadora 1,5 Litros</t>
  </si>
  <si>
    <t>Vasos</t>
  </si>
  <si>
    <t>Bandejas de 37cmx28 cm y carros</t>
  </si>
  <si>
    <t>Bandejas 37 cm x 28 cm y carros</t>
  </si>
  <si>
    <t>Licuadora de 1,5 Litros.Bandeja 37 cm x 28 cm</t>
  </si>
  <si>
    <t>Horno- Estufa de 210000 BTU/H. Refrigerador 1833 Litros</t>
  </si>
  <si>
    <t>Bandejas 38 cm x 28 cm y carros</t>
  </si>
  <si>
    <t xml:space="preserve">Servicio bebida </t>
  </si>
  <si>
    <t xml:space="preserve">Servicio entrada </t>
  </si>
  <si>
    <t>Servicio plato fuerte</t>
  </si>
  <si>
    <t>Sartén pequeño de 3,3 Litros. Sartén grande de 5 Litros. Tablas para picar 50 cm x 30 cm. Aceitera y Vinagrera. Olla de 6 Litros. Especieros</t>
  </si>
  <si>
    <t>Platos con pastas en general (personalización)</t>
  </si>
  <si>
    <t>Al bistec</t>
  </si>
  <si>
    <t>A la mantequilla</t>
  </si>
  <si>
    <t>Albóndigas</t>
  </si>
  <si>
    <t>Al horno</t>
  </si>
  <si>
    <t>Trozos</t>
  </si>
  <si>
    <t>Asado</t>
  </si>
  <si>
    <t>Desmechado</t>
  </si>
  <si>
    <t>Sudada</t>
  </si>
  <si>
    <t>Al limón</t>
  </si>
  <si>
    <t>Al vapor</t>
  </si>
  <si>
    <t>Al sartén</t>
  </si>
  <si>
    <t>PLATOS CON PASTA PERSONALIZACIÓN</t>
  </si>
  <si>
    <t>PLATOS CON PASTA 
PERSONALIZACIÓN</t>
  </si>
  <si>
    <t>PreProducción</t>
  </si>
  <si>
    <t>VPN</t>
  </si>
  <si>
    <t>Flujos</t>
  </si>
  <si>
    <t>TIO</t>
  </si>
  <si>
    <t>VPI</t>
  </si>
  <si>
    <t>Copa vino tintox4</t>
  </si>
  <si>
    <t>Copa blancox4</t>
  </si>
  <si>
    <t>Copa champagnex4</t>
  </si>
  <si>
    <t>Vasox4</t>
  </si>
  <si>
    <t>Plato cuadrado y hondo cerámica</t>
  </si>
  <si>
    <t>TIR</t>
  </si>
  <si>
    <t>Nómina General</t>
  </si>
  <si>
    <t>Nómina Operativa</t>
  </si>
  <si>
    <t>Total Administrativo</t>
  </si>
  <si>
    <t>Total Operativo</t>
  </si>
  <si>
    <t>M.O. Directa (Souschef, Cocinero, Ayudante)</t>
  </si>
  <si>
    <t>M.O. Indirecta (Steward y personal de aseo)</t>
  </si>
  <si>
    <t>M.O. Indirecta (Chef, server, steward y personal de aseo)</t>
  </si>
  <si>
    <t>Alistamiento de ingrediente y Preparación de base para salsas</t>
  </si>
  <si>
    <t>Souschef</t>
  </si>
  <si>
    <t>Ollas de 15 Litros. Sártenes de 1,3 Litros. Estufa de 6 puestos (210000 BTU/H). Cuchillo carnícero 12''. Salsera de 5 oz. Olla xpress 4 Litros. Especieros. Batidor. Colador de 16 cm de diámetro. Cucharon 32 Oz.  Tablaas de 50 cmx 30 cm. Licuadora de 1.5 Litros. Macerador 2x 21 cm</t>
  </si>
  <si>
    <t>Cuchillo 10''. Cuchillo 8''.  Sartén pequeño de 3,3 Litros. Sartén grande de 5 Litros. Cuchara perforada de 15''. Pinzas parrilleras. Tablas para picar 50 cm x 30 cm. Aceitera y Vinagrera. Olla de 6 Litros.</t>
  </si>
  <si>
    <t>Ollas de 15 Litros. Estufa y horno 210000 BTU/H.</t>
  </si>
  <si>
    <t>Jarra medidora de 1/2 Litro. Gramera de 10 Kg. Bowl 8 Litros. Ollas de 15 Litros. Sártenes de 1,3 Litros. Estufa de 6 puestos (210000 BTU/H). Cuchillo carnícero 12''. Salsera de 5 oz. Olla xpress 4 Litros. Especieros. Batidor. Colador de 16 cm de diámetro. Cucharon 32 Oz.  Tablaas de 50 cmx 30 cm. Licuadora de 1.5 Litros. Macerador 2x 21 cm</t>
  </si>
  <si>
    <t>Cuchillo 10''. Cuchillo 8''. Sartén pequeño de 3,3 Litros. Sartén grande de 5 Litros. Cuchara perforada de 15''. Pinzas parrilleras. Tablas para picar 50 cm x 30 cm. Aceitera y Vinagrera. Olla de 15 Litros.</t>
  </si>
  <si>
    <t>Sartén pequeño de 3,3 Litros. Sartén grande de 5 Litros. Tablas para picar 50 cm x 30 cm. Aceitera y Vinagrera. Olla de 15 Litros. Especieros</t>
  </si>
  <si>
    <t>Cuchillo 10''. Cuchillo 8''.  Sartén pequeño de 3,3 Litros. Sartén grande de 5 Litros. Cuchara perforada de 15''. Pinzas parrilleras. Tablas para picar 50 cm x 30 cm. Aceitera y Vinagrera. Olla de 15 Litros.</t>
  </si>
  <si>
    <t>Costos de Producción</t>
  </si>
  <si>
    <t>Tipo</t>
  </si>
  <si>
    <t>Costo M.O</t>
  </si>
  <si>
    <t>Sudado</t>
  </si>
  <si>
    <t>N.A.</t>
  </si>
  <si>
    <t>Total 1</t>
  </si>
  <si>
    <t>Total 2</t>
  </si>
  <si>
    <t>Total 3</t>
  </si>
  <si>
    <t>Total 4</t>
  </si>
  <si>
    <t>Total 5</t>
  </si>
  <si>
    <t>Total 6</t>
  </si>
  <si>
    <t>Total 7</t>
  </si>
  <si>
    <t>Total 8</t>
  </si>
  <si>
    <t>Total 9</t>
  </si>
  <si>
    <t>Total 10</t>
  </si>
  <si>
    <t>Total 11</t>
  </si>
  <si>
    <t>LUNES</t>
  </si>
  <si>
    <t>Res al bistec</t>
  </si>
  <si>
    <t>Res a la mantequilla</t>
  </si>
  <si>
    <t>Res en albóndigas</t>
  </si>
  <si>
    <t>Res al horno</t>
  </si>
  <si>
    <t>Res asado</t>
  </si>
  <si>
    <t>Res en trozos</t>
  </si>
  <si>
    <t>Res desmechado</t>
  </si>
  <si>
    <t>Res sudada</t>
  </si>
  <si>
    <t>Cerdo al horno</t>
  </si>
  <si>
    <t>Cerdo asado</t>
  </si>
  <si>
    <t>Cerdo al sartén</t>
  </si>
  <si>
    <t>Cerdo desmechado</t>
  </si>
  <si>
    <t>Cerdo en trozos</t>
  </si>
  <si>
    <t>Pollo al bistec</t>
  </si>
  <si>
    <t>Pollo a la mantequilla</t>
  </si>
  <si>
    <t>Pollo en albóndigas</t>
  </si>
  <si>
    <t>Pollo al horno</t>
  </si>
  <si>
    <t>Pollo asado</t>
  </si>
  <si>
    <t>Pollo en trozos</t>
  </si>
  <si>
    <t>Pollo desmechado</t>
  </si>
  <si>
    <t>Pollo sudada</t>
  </si>
  <si>
    <t>Jamón al horno</t>
  </si>
  <si>
    <t>Jamón asado</t>
  </si>
  <si>
    <t>Queso al horno</t>
  </si>
  <si>
    <t>Queso en trozos</t>
  </si>
  <si>
    <t>Camarones a la mantequilla</t>
  </si>
  <si>
    <t>Camarones al sartén</t>
  </si>
  <si>
    <t>Camarones asados</t>
  </si>
  <si>
    <t>Chorizo al horno</t>
  </si>
  <si>
    <t>Chorizo asado</t>
  </si>
  <si>
    <t>Salchicha al horno</t>
  </si>
  <si>
    <t>Salchicha asada</t>
  </si>
  <si>
    <t>Pescado al horno</t>
  </si>
  <si>
    <t>Pescado al limón</t>
  </si>
  <si>
    <t>Pescado al sartén</t>
  </si>
  <si>
    <t>Pescado al vapor</t>
  </si>
  <si>
    <t>Pescado a la mantequilla</t>
  </si>
  <si>
    <t>Champiñones al vapor</t>
  </si>
  <si>
    <t>Queso vegano al horno</t>
  </si>
  <si>
    <t>Champiñones al sartén</t>
  </si>
  <si>
    <t>Queso vegano en trozos</t>
  </si>
  <si>
    <t>Espinacas al vapor</t>
  </si>
  <si>
    <t>Espinacas al sartén</t>
  </si>
  <si>
    <t>Lentejas en albóndigas</t>
  </si>
  <si>
    <t>Lentejas al vapor</t>
  </si>
  <si>
    <t>Garbanzos en albóndigas</t>
  </si>
  <si>
    <t>Garbanzos al vapor</t>
  </si>
  <si>
    <t>Brócoli al vapor</t>
  </si>
  <si>
    <t>Brócoli al sartén</t>
  </si>
  <si>
    <t>Zanahoria al vapor</t>
  </si>
  <si>
    <t>Zanahoria al sartén</t>
  </si>
  <si>
    <t>Arvejas al vapor</t>
  </si>
  <si>
    <t>Mazorca al vapor</t>
  </si>
  <si>
    <t>Zuccini al vapor</t>
  </si>
  <si>
    <t>Zuccini al sartén</t>
  </si>
  <si>
    <t>Berenjena al vapor</t>
  </si>
  <si>
    <t>Berenjena al sartén</t>
  </si>
  <si>
    <t>Habichuelas al vapor</t>
  </si>
  <si>
    <t>Habichuelas al sartén</t>
  </si>
  <si>
    <t>Total al bistec</t>
  </si>
  <si>
    <t>Total a la mantequilla</t>
  </si>
  <si>
    <t>Total albóndigas</t>
  </si>
  <si>
    <t>Total al horno</t>
  </si>
  <si>
    <t>Total Asado</t>
  </si>
  <si>
    <t>Total trozos</t>
  </si>
  <si>
    <t>Total Desmechado</t>
  </si>
  <si>
    <t>Total sudado</t>
  </si>
  <si>
    <t>Total al limón</t>
  </si>
  <si>
    <t>Total al sartén</t>
  </si>
  <si>
    <t>Total al vapor</t>
  </si>
  <si>
    <t>MARTES</t>
  </si>
  <si>
    <t>Frijol albóndigas</t>
  </si>
  <si>
    <t>Frijol al vapor</t>
  </si>
  <si>
    <t>Coles al vapor</t>
  </si>
  <si>
    <t>Coles al sartén</t>
  </si>
  <si>
    <t>Espárragos al vapor</t>
  </si>
  <si>
    <t>Espárragos al sartén</t>
  </si>
  <si>
    <t>Tomate Ch al vapor</t>
  </si>
  <si>
    <t>Tomate Ch al sartén</t>
  </si>
  <si>
    <t>MIÉRCOLES</t>
  </si>
  <si>
    <t>Salchichas al horno</t>
  </si>
  <si>
    <t>Salchichas asadas</t>
  </si>
  <si>
    <t>Espinaca al vapor</t>
  </si>
  <si>
    <t>Espinaca al sartén</t>
  </si>
  <si>
    <t>Pimentón rojo al vapor</t>
  </si>
  <si>
    <t>Pimentón rojo al sartén</t>
  </si>
  <si>
    <t>Coliflor al vapor</t>
  </si>
  <si>
    <t>Coliflor al sartém</t>
  </si>
  <si>
    <t>JUEVES</t>
  </si>
  <si>
    <t>Moluscos al horno</t>
  </si>
  <si>
    <t>Moluscos al vapor</t>
  </si>
  <si>
    <t>Zanahoria al sartém</t>
  </si>
  <si>
    <t>Frijol en albóndigas</t>
  </si>
  <si>
    <t>Arveja al vapor</t>
  </si>
  <si>
    <t>Pimentón amarillo al vapor</t>
  </si>
  <si>
    <t>Pimentón amarillo al sartén</t>
  </si>
  <si>
    <t>VIERNES</t>
  </si>
  <si>
    <t>Coliflor al sartén</t>
  </si>
  <si>
    <t>Habichuela al vapor</t>
  </si>
  <si>
    <t>Habichuela al sartén</t>
  </si>
  <si>
    <t>SÁBADO</t>
  </si>
  <si>
    <t>Crustáceos a la mantequilla</t>
  </si>
  <si>
    <t>Crustáceos asados</t>
  </si>
  <si>
    <t>Crustáceos al sartén</t>
  </si>
  <si>
    <t>Papa al sartén</t>
  </si>
  <si>
    <t>Mosluscos al horno</t>
  </si>
  <si>
    <t>Camaramores a la mantequilla</t>
  </si>
  <si>
    <t>Camarones al asados</t>
  </si>
  <si>
    <t>Apio al vapor</t>
  </si>
  <si>
    <t>Apio al sartén</t>
  </si>
  <si>
    <t>DOMINGO</t>
  </si>
  <si>
    <t>Pimentón verde al vapor</t>
  </si>
  <si>
    <t>Pimentón verde al sartén</t>
  </si>
  <si>
    <t>Papa al vapor</t>
  </si>
  <si>
    <t xml:space="preserve">N.A. </t>
  </si>
  <si>
    <t>ANIMALES Y FLORES</t>
  </si>
  <si>
    <t>OBJETOS Y PERSONAJES</t>
  </si>
  <si>
    <t>Queso al vapor</t>
  </si>
  <si>
    <t>Queso vegano al vapor</t>
  </si>
  <si>
    <t>Tomate al vapor</t>
  </si>
  <si>
    <t>Tomate al sartén</t>
  </si>
  <si>
    <t>Camarone asados</t>
  </si>
  <si>
    <t>Arvejas a vapor</t>
  </si>
  <si>
    <t>EMOTICONES</t>
  </si>
  <si>
    <t>Pasta al huevo</t>
  </si>
  <si>
    <t>Pasta sin huevo</t>
  </si>
  <si>
    <t>Pasta integral</t>
  </si>
  <si>
    <t>Pasta con base de espinacas</t>
  </si>
  <si>
    <t>Pasta con base de tomate</t>
  </si>
  <si>
    <t>Pasta ranchera</t>
  </si>
  <si>
    <t>Sabor de pasta</t>
  </si>
  <si>
    <t>Sabor de pasta (personalización)</t>
  </si>
  <si>
    <t>Proyección de precios</t>
  </si>
  <si>
    <t>Salsa Amatriciana</t>
  </si>
  <si>
    <t>Salsa Puttanesca</t>
  </si>
  <si>
    <t>Salsa Funghi</t>
  </si>
  <si>
    <t>Salsa Pesto Calabrese</t>
  </si>
  <si>
    <t>Salsa Tres Quesos</t>
  </si>
  <si>
    <t>Salsa Cremosa Tomate</t>
  </si>
  <si>
    <t>Salsa de la Casa</t>
  </si>
  <si>
    <t>Crema de Tres Leches</t>
  </si>
  <si>
    <t>Salsa queso brie</t>
  </si>
  <si>
    <t>Salsa Arrabiata</t>
  </si>
  <si>
    <t>Salsa de Almendras</t>
  </si>
  <si>
    <t>Salsa Blanca Espinacas</t>
  </si>
  <si>
    <t>Salsa de la casa Vegana</t>
  </si>
  <si>
    <t>SALSA DE QUESO BRIE (120 gramos)</t>
  </si>
  <si>
    <t>Queso Brie</t>
  </si>
  <si>
    <t>SALSA DE ALMENDRAS (120 gramos)</t>
  </si>
  <si>
    <t>Pan</t>
  </si>
  <si>
    <t>Vino Blanco</t>
  </si>
  <si>
    <t>SALSA DE BLANCA DE ESPINCAS (120 gramos)</t>
  </si>
  <si>
    <t>Espincaca</t>
  </si>
  <si>
    <t>Perejill</t>
  </si>
  <si>
    <t>Impuesto al consumo</t>
  </si>
  <si>
    <t>Platos P</t>
  </si>
  <si>
    <t>Vino C.S</t>
  </si>
  <si>
    <t>V.M.</t>
  </si>
  <si>
    <t>V.S.B</t>
  </si>
  <si>
    <t>V.C</t>
  </si>
  <si>
    <t>TOTAL 1</t>
  </si>
  <si>
    <t>TOTAL 2</t>
  </si>
  <si>
    <t>TOTAL 3</t>
  </si>
  <si>
    <t>TOTAL 4</t>
  </si>
  <si>
    <t>Total anual</t>
  </si>
  <si>
    <t>TOTAL PERSONALIZACIÓN</t>
  </si>
  <si>
    <t>% M.P</t>
  </si>
  <si>
    <t>% MATERIA PRIMA</t>
  </si>
  <si>
    <t>PL.CO</t>
  </si>
  <si>
    <t>Agua o leche, azúcar morena, piña, banano, crema de leche y papaya</t>
  </si>
  <si>
    <t>Agua, azúcar, albahaca, piña, coco, limón y melón</t>
  </si>
  <si>
    <t>Leche Semi</t>
  </si>
  <si>
    <t>Leche semidescremada, azúcar morena,  betarraga, manzana y maracuyá</t>
  </si>
  <si>
    <t>Agua, azúcar morena, piña, manzana, coco, helado</t>
  </si>
  <si>
    <t>Crema vegana, azúcar glass, pitayas blancas, pitayas rojas, miel, nuez picada, uva</t>
  </si>
  <si>
    <t>TOTAL 6 SERVICIOS</t>
  </si>
  <si>
    <t>TOTAL MASA</t>
  </si>
  <si>
    <t>TOTAL PLATOS</t>
  </si>
  <si>
    <t>TOTAL ENTRADAS</t>
  </si>
  <si>
    <t>TOTAL BEBIDAS</t>
  </si>
  <si>
    <t>TOTAL POSTRES</t>
  </si>
  <si>
    <t>PLATOS C</t>
  </si>
  <si>
    <t>PLATOS V</t>
  </si>
  <si>
    <t>% PROMEDIO MATERIA PRIMA</t>
  </si>
  <si>
    <t>GASTOS</t>
  </si>
  <si>
    <t>NÓMINA OPERACIONAL</t>
  </si>
  <si>
    <t>MATERIA PRIMA</t>
  </si>
  <si>
    <t>GASTOS TOTALES ANUALES</t>
  </si>
  <si>
    <t>Servicio postre y consumo</t>
  </si>
  <si>
    <t>Arribo del comensal, saludo, ubicación de la mesa y entrega del menú y opciones</t>
  </si>
  <si>
    <t>Toma de bebida, entrada y plato fuerte</t>
  </si>
  <si>
    <t>Consumo plato fuerte</t>
  </si>
  <si>
    <t>EN SIMULTÁNEO</t>
  </si>
  <si>
    <t>Capacidad entre semana minutos</t>
  </si>
  <si>
    <t>Consumo total</t>
  </si>
  <si>
    <t>Ocupación de las mesas</t>
  </si>
  <si>
    <t>Capacidad fines de semana minutos</t>
  </si>
  <si>
    <t xml:space="preserve">Ventas anuales </t>
  </si>
  <si>
    <t>Pob. Comun</t>
  </si>
  <si>
    <t>Pob. Vegana</t>
  </si>
  <si>
    <t>Ventas mensuales</t>
  </si>
  <si>
    <t>Ventas semanales</t>
  </si>
  <si>
    <t>Ventas diarias</t>
  </si>
  <si>
    <t>Capacidad fines semana minutos</t>
  </si>
  <si>
    <t>Consumo plato y bebida</t>
  </si>
  <si>
    <t>CONSUMO TOTAL</t>
  </si>
  <si>
    <t>Capacidad</t>
  </si>
  <si>
    <t>Entre semana</t>
  </si>
  <si>
    <t>Fin de semana</t>
  </si>
  <si>
    <t>Cantidad total año</t>
  </si>
  <si>
    <t>Capacidad Utilizada</t>
  </si>
  <si>
    <t>Cant. Anual. Entre S.</t>
  </si>
  <si>
    <t>Cant. Anual Fin. S</t>
  </si>
  <si>
    <t>Ventas. Anual. Entre S</t>
  </si>
  <si>
    <t>Ventas. Anual. Fin. S</t>
  </si>
  <si>
    <t>Ventas Men. Entre. S</t>
  </si>
  <si>
    <t>Ventas Men. Fin. S</t>
  </si>
  <si>
    <t>Cant. Men. Entre S.</t>
  </si>
  <si>
    <t>Cant. Men. Fin. S</t>
  </si>
  <si>
    <t>Cantidad total mes</t>
  </si>
  <si>
    <t>Cantidad total semanal</t>
  </si>
  <si>
    <t>Ventas Sem. Entre S.</t>
  </si>
  <si>
    <t>Ventas Sem. Fin. S</t>
  </si>
  <si>
    <t>Cant. Sem. Entre. S</t>
  </si>
  <si>
    <t>Cant. Sem Fin. S</t>
  </si>
  <si>
    <t>Cantidad total diaria</t>
  </si>
  <si>
    <t>Ventas Dia. Entre. S</t>
  </si>
  <si>
    <t>Ventas Dia. Fin. S</t>
  </si>
  <si>
    <t>Cant. Dia. Entre. S</t>
  </si>
  <si>
    <t>Canti. Dia. Fin. S</t>
  </si>
  <si>
    <t>Capacidad total día entre semana</t>
  </si>
  <si>
    <t>Capacidad total día fines de semana</t>
  </si>
  <si>
    <t>VENTAS META</t>
  </si>
  <si>
    <t>1 semana</t>
  </si>
  <si>
    <t>1 mes</t>
  </si>
  <si>
    <t>Provisiones</t>
  </si>
  <si>
    <t>Materia prima</t>
  </si>
  <si>
    <t>Costo de compras</t>
  </si>
  <si>
    <t>Nómina operacional</t>
  </si>
  <si>
    <t>(-) Costos de Producción</t>
  </si>
  <si>
    <t>(-) Salarios Operativos</t>
  </si>
  <si>
    <t>(-) Gastos</t>
  </si>
  <si>
    <t>(-) Otros Gastos</t>
  </si>
  <si>
    <t>PROYECCIONES VENTAS MÍNIMAS</t>
  </si>
  <si>
    <t>Dotaciones</t>
  </si>
  <si>
    <t>PROYECCIONES VENTAS META ANUALES</t>
  </si>
  <si>
    <t>Costo Materia Prima</t>
  </si>
  <si>
    <t>Porcentaje Materia Prima</t>
  </si>
  <si>
    <t>PROYECCIONES NÓMINA ANUALES</t>
  </si>
  <si>
    <t>PROYECCIONES GASTOS ANUALES</t>
  </si>
  <si>
    <t>BOTELLA DE VINO</t>
  </si>
  <si>
    <t>Capacidad Total</t>
  </si>
  <si>
    <t>Ventas Totales Rest</t>
  </si>
  <si>
    <t>Capacidades consumo total</t>
  </si>
  <si>
    <t>37
1
1
15
1</t>
  </si>
  <si>
    <t>Seguridad</t>
  </si>
  <si>
    <t>https://tienda.pallomaro.com/coccion-estufas-y-hornos-4027-6/estufa-a-gas-de-seis-quemadores-y-horno-
https://www.electrolux.com.co/campana-extractora-de-isla-electrolux-ejib369tdjs-90cm/p?idsku=103&amp;utm_source=google&amp;utm_campaign=googlepla&amp;utm_medium=shopping&amp;gclid=CjwKCAjwgb6IBhAREiwAgMYKRtGaciK8-2fikSoHN6k0U3iyIkuZ2weuSZwIGl7Jx9bYWCjRTl6UNBoCcg8QAvD_BwE</t>
  </si>
  <si>
    <t>Depreciaciones</t>
  </si>
  <si>
    <t>Depreciaciones 12 tablets</t>
  </si>
  <si>
    <t>https://www.homecenter.com.co/homecenter-co/product/435271/mesa-comedor-extensible-120-160x80x765cm/435271/</t>
  </si>
  <si>
    <t>Color
Natural
Garantía
12 meses
Alto
76 centímetros
Material
Madera
Ancho
80 centímetros
Material de la estructura
Metal
Observaciones
La foto de este producto ha sido ambientada, por lo cual no incluye ningún adorno, ni accesorios, ni piezas adicionales ni ningún otro elemento que lo acompañan. El color presentado en la fotografía es una aproximación al color real.
Tipo
Mesas de comedor
Medidas
120 a 160x80x76cm
Diseño
Rectangular
Largo
120 a 160 centímetros
Servicio de armado
Todos nuestros muebles vienen desarmados y empacados en caja, requieren ensamble o armado no incluido en el precio de venta.
Incluye
NO incluye elementos decorativos o no descritos en el producto</t>
  </si>
  <si>
    <t>https://www.homecenter.com.co/homecenter-co/product/512868/mesa-para-comedor-redonda-like-745x90x90-blanco-vienes/512868/</t>
  </si>
  <si>
    <t>Marca
Dko Design SAS
Color
Blanco Vienes
Largo
90
Ancho
90
Alto
74.5
Diseño de la Mesa
Redondo
Material mesa
Metal/Melamina
Origen
Nacional
Procedencia
Colombia
Garantía
3 meses
Servicio de armado
Todos nuestros muebles vienen desarmados y empacados en caja, requieren ensamble o armado no incluido en el precio de venta.
Observaciones
La foto de este producto ha sido ambientada, por lo cual no incluye ningún adorno, ni accesorios, ni piezas adicionales ni ningún otro elemento que lo acompañan. El color presentado en la fotografía es una aproximación al color real.
Familia
Muebles y Decoración</t>
  </si>
  <si>
    <t>https://www.homecenter.com.co/homecenter-co/product/398916/mesa-de-comedor-julieta-120x70x75cm/398916/</t>
  </si>
  <si>
    <t>Material de las patas
Metal
Medidas
120x70x75cm
Color de la estructura de la mesa
Madera
Marca
Just Home Collection
Modelo
Julieta
Fondo mesa
70 centímetros 
Ancho mesa
120 centímetros
Alto mesa
75 centímetros
Color
Blanco
Material mesa
MDF
Material estructura mesa
Metal
Garantía
1 año
Procedencia
China
Origen
Importado
Diseño de la Mesa
Rectangular
Número de puestos
4 puestos
Servicio de armado
Todos nuestros muebles vienen desarmados y empacados en caja, requieren ensamble o armado no incluido en el precio de venta.
Observaciones
La foto de este producto ha sido ambientada, por lo cual no incluye ningún adorno, ni accesorios, ni piezas adicionales ni ningún otro elemento que lo acompañan. El color presentado en la fotografía es una aproximación al color real.
Tipo
Mesas para comedor
Recomendaciones
Para conservar el acabado de la superficie se recomienda usar paños no metálicos que puedan rayar el acabado, se recomienda seguir las instrucciones de uso y seguridad dispuestas por el fabricante.</t>
  </si>
  <si>
    <t>(-) Depreciaciones adicionales</t>
  </si>
  <si>
    <t>PRI</t>
  </si>
  <si>
    <t>Capacitaciones</t>
  </si>
  <si>
    <t>Empaques</t>
  </si>
  <si>
    <t>Depreciación</t>
  </si>
  <si>
    <t>Café campesino</t>
  </si>
  <si>
    <t>Panela, café y canela</t>
  </si>
  <si>
    <t>Panela</t>
  </si>
  <si>
    <t>Café de la huerta</t>
  </si>
  <si>
    <t>Caffé dell'orto</t>
  </si>
  <si>
    <t>Denominación del puesto</t>
  </si>
  <si>
    <t>Área/Departamento</t>
  </si>
  <si>
    <t>Formación requerida</t>
  </si>
  <si>
    <t>Experiencia requerida</t>
  </si>
  <si>
    <t>Puestos a su cargo</t>
  </si>
  <si>
    <t>Finalidad del puesto</t>
  </si>
  <si>
    <t>Descripción de funciones específicas</t>
  </si>
  <si>
    <t>Competencias</t>
  </si>
  <si>
    <t>Administración</t>
  </si>
  <si>
    <t>Operativa</t>
  </si>
  <si>
    <t>Número de cargos</t>
  </si>
  <si>
    <t>Por nómina</t>
  </si>
  <si>
    <t>Dirigir, gestionar y organizar los procesos, operaciones, actividades y tareas, por medio de estrategias que ayuden a realizar un uso óptimo de las instalaciones y recursos del restaurante logrando un excelente funcionamiento y generando un crecimiento en las ventas.</t>
  </si>
  <si>
    <t>Responsabilidad, liderazgo, compromiso, trabajo en equipo, manejo en atención al cliente y manejo del personal</t>
  </si>
  <si>
    <t>Manual de Funciones</t>
  </si>
  <si>
    <t>Administrador de empresas con conocimientos en contaduría y manejo de software.</t>
  </si>
  <si>
    <t>13 (Todo el personal)</t>
  </si>
  <si>
    <t>3 (Todo el personal operativo)</t>
  </si>
  <si>
    <t xml:space="preserve">1.  Conocer el funcionamiento de la maquinaria y equipos del restaurante. 
2. Supervisar las actividades de los ayudantes de cocina.
3. Conocer el costo de todas las materias primas.
4. Seguir y vigilar que se cumplan las normas de higiene en las áreas de trabajo.
5. Verificar los platos, emplatados y orden en el restaurante.
6. Planear consumos con el fin de evitar desperdicios.
7. Delegar funciones al personal operativo.
8. Vigilar el cumplimiento de la normatividad referente a la calidad de los ingredientes.
9. Coordinar a todo el personal para la entrega del plato efectiva
10. Realizar inventario de los ingredientes en general.
</t>
  </si>
  <si>
    <t>Gastrónomo con certificación en manejo de alimentos y manejo de software.</t>
  </si>
  <si>
    <t>2 (Cocinero y ayudante de cocina)</t>
  </si>
  <si>
    <t xml:space="preserve">1. Dirigir a los empleados de la cocina
2. Colaborar con el chef y supervisar las actividades de los asistentes de cocina y otros miembros del equipo, asignando tareas y turnos.
3. Monitorear la estaciones de trabajo y asegurar el correcto funcionamiento de los utensilios y máquinas de cocina esenciales para el éxito de los platos.
4. Ayudar al chef a crear y diseñar el menú.
5. Mejorar y proponer nuevos platos
6. Supervisar el almacén de ingredientes.
7. Monitorear el desempeño del personal, la calidad del producto y el flujo de producción
</t>
  </si>
  <si>
    <t>Responsabilidad, liderazgo, compromiso, trabajo en equipo creatividad, innovación, manejo en atención al cliente y manejo del personal</t>
  </si>
  <si>
    <t>Responsabilidad, liderazgo, compromiso, trabajo en equipo, creatividad, innovación, manejo en atención al cliente y manejo del personal</t>
  </si>
  <si>
    <t>1 (Ayudante de cocina)</t>
  </si>
  <si>
    <t>https://grandhotelier.com/wp-content/uploads/2019/10/Que-es-y-cu%C3%A1les-son-las-funciones-de-un-Sous-Chef.pdf</t>
  </si>
  <si>
    <t>1. Mantener y verificar que estén limpios, desinfectados y operativos el equipamiento, maquinarias, utensilios y elementos de uso culinario y del área de trabajo. 
2. Participar en la elaboración de los menús y confeccionar el pedido de mercadería y/o requisitoria.
3.  Recibir, controlar, verificar y almacenar materias prima según conformidad.
4.  Acondicionar y preparar las materias primas para el servicio (Mise en place).
5.  Elaborar, presentar y supervisar las preparaciones culinarias.</t>
  </si>
  <si>
    <t>http://catalogo.inet.edu.ar/files/perfiles/hoteleria_gastronomia/Perfil%20Cocinero.pdf</t>
  </si>
  <si>
    <t xml:space="preserve">Bachiller con certificación de manejo de alimentos </t>
  </si>
  <si>
    <t xml:space="preserve">1. Colaborar con el lavado de los ingredientes.
2. Realizar las actividades y operaciones que el chef considere pertinentes para unmejor funcionamiento.
3. Realizar un pequeño inventario de los insumos para cada plato.
4. Ayudar para elaborar platos, entradas, bebidas y postres.
5. Preparar los utensilios, la maquinaria y equipo en la cocina.
6. Brindar el producto en el menor tiempo posible.
</t>
  </si>
  <si>
    <t>1. Conocer los platos establecidos en el menú y la estrategia de personalización.
2. Conocer el uso de los cubiertos y ubicarlos en cada mesa
3. Servir a los clientes los pedidos a la mesa
4. Presentar a los comensales la cuenta para que posteriormente este pague.
5. Conocer el manejo de la loza y cristalería para evitar quebrarlos
6. Acomodar utensilios en la mesa
7. Verificar que los pedidos sean los que el cliente solicito
8. Reportar inconvenientes</t>
  </si>
  <si>
    <t>Responsabilidad, compromiso, trabajo en equipo.</t>
  </si>
  <si>
    <t>Responsabilidad, compromiso, trabajo en equipo, manejo en atención al cliente</t>
  </si>
  <si>
    <t xml:space="preserve">Bachiller </t>
  </si>
  <si>
    <t>Limpiar los platos, las vasijas y demás utensilios de cocina prestando su apoyo a las personas que elaboran la comida</t>
  </si>
  <si>
    <t>https://aleph.org.mx/cual-es-la-funcion-de-un-steward</t>
  </si>
  <si>
    <t>https://grandhotelier.com/que-es-un-steward/</t>
  </si>
  <si>
    <t>Administración y/o gastronomía.</t>
  </si>
  <si>
    <t>https://aleph.org.mx/cuales-son-las-funciones-de-un-hostess</t>
  </si>
  <si>
    <t xml:space="preserve">1. Organizar y dirigir a los meseros
2.  Asignar mesas disponibles a los comensales
3. Indicar o presentar el mesero
4. Resolver cualquier inquietud, siendo este el mensajero con la parte operativa.
5. Preservar el orden y la buena estadìa de los comensales.
6. Ser el responsable de la música y decoraciòn
</t>
  </si>
  <si>
    <t>Responsabilidad, compromiso, trabajo en equipo, innovaciòn, creatividad, manejo en atención al cliente</t>
  </si>
  <si>
    <t xml:space="preserve">1. Eliminar la basura.
2. Limpiar pisos, paredes, maneteles, sillas y mesas.
3. Limpiar televisores y demás equipos de cómputo.
4. Limpiar las dotaciones de los demás empleados
</t>
  </si>
  <si>
    <t>Responsabilidad, compromiso, trabajo en equipo</t>
  </si>
  <si>
    <t>1. Organizar el área de almacenamiento
2. Notificar la inexistencia de un ingrediente
3. Organizar las especias 
4. Organizar los platos 
5. Limpiar el estante de vinos
6. Mantener la cocina limpia e higiénica (incluyendo màquinas y equipos)</t>
  </si>
  <si>
    <t>Limpiar todas las áreas de las que no se encarga el steward. Mantener y preservar el aseo del lugar.</t>
  </si>
  <si>
    <t>Coordinar y supervisar el trabajo de los cocineros y todo el personal de cocina en un restaurante. Segundo al mando después del chef. Entrenar cocineros y ayudantes de cocina. Vigilar y supervisar los platos a ofrecer. Supervisar costos de ingredientes e inventarios.</t>
  </si>
  <si>
    <t xml:space="preserve">Preelaborar, preparar, presentar y conservar toda clase de alimentos, aplicando las técnicas correspondientes, consiguiendo la calidad y objetivos económicos establecidos y respetando las normas y prácticas de seguridad e higiene en la manipulación alimentaria. Realizar preparaciones en caliente y frio
</t>
  </si>
  <si>
    <t xml:space="preserve">Brindar apoyo al chef, souschef y cocinero para preparar los alimentos y bebidas, elaborar cada orden de llegada, optimizar el tiempo para la preparación de cada plato y garantizar la calidad en cada proceso de producción. </t>
  </si>
  <si>
    <t xml:space="preserve"> Tomar la orden de los clientes, ofrecer sugerencias de acuerdo a sus gustos, controlar el servicio de varias mesas y siempre ofrecer un buen servicio a los clientes. Atender solicitudes e inquietudes de los comensales y servir los pedidos brindando el mejor servicio al cliente.</t>
  </si>
  <si>
    <t xml:space="preserve">
1. Supervisar las operaciones del restaurante garantizando un servicio excelente
2. Asegurar e inspeccionar el buen funcionamiento de todas las áreas del restaurante
3. Crear alianzas estratégicas con los proveedores
4. Planear y ejecutar propuestas basadas en la mejora continua y el pensamiento basado en riesgos para optimizar el funcionamiento.
5. Realizar análisis contables 
6. Tomar decisiones asertivas.
7. Coordinar y programar las respectivas capacitaciones para el personal.
8. Realizar y presentar informes sobre la gestión de resultados a la junta directiva.
9. Promover el trabajo en equipo y crear motivadores.</t>
  </si>
  <si>
    <t>Realizar y crear platos usando los ingredientes correctos,  dirigiendo los procesos de preparación asegurando que cada proceso se cumplacon los estándares de calidad. Coordinar el trabajo en la cocina. Supervisar costos de ingredientes e inventarios.</t>
  </si>
  <si>
    <t>Preelaborar, preparar, presentar y conservar toda clase de alimentos, aplicando las técnicas correspondientes, consiguiendo la calidad y objetivos económicos establecidos y respetando las normas y prácticas de seguridad e higiene en la manipulación alimentaria. Realizar preparaciones en caliente y frio</t>
  </si>
  <si>
    <t>Tomar la orden de los clientes, ofrecer sugerencias de acuerdo a sus gustos, controlar el servicio de varias mesas y siempre ofrecer un buen servicio a los clientes. Atender solicitudes e inquietudes de los comensales y servir los pedidos brindando el mejor servicio al cliente.</t>
  </si>
  <si>
    <t>Recibir y atender en primera instancia a los clientes que llegan al restaurante.</t>
  </si>
  <si>
    <t>Horario 12 m. a 10 p.m. 
(2 horas extras diurnas de viernes a domingo)</t>
  </si>
  <si>
    <t>5200 gr x  0.5 Horas</t>
  </si>
  <si>
    <t>Cajero</t>
  </si>
  <si>
    <t>Procesar el pago del comensal</t>
  </si>
  <si>
    <t xml:space="preserve">  Cajero</t>
  </si>
  <si>
    <t>Administrativa</t>
  </si>
  <si>
    <t>Bachiller con certificación en manejo contable</t>
  </si>
  <si>
    <t>1. Atender con calidad a los comensales en el área de registro y cobro, asegurando su satisfacción con el servicio recibido.
2. Mencionarles las promociones y especialidades del restaurante.
3. Manejar la caja registradora. Conocer los procedimientos de registro y las diferencias formas de pago.
4. Llevar el control de la comandas o notas de consumo y elaborar facturas para los clientes que así lo requieran.
5. Realizar los cortes parciales y finales de la caja.
6. Mantener en excelente presentación su área de trabajo y su persona.
7.Aplicar el reglamento interno de acuerdo a las situaciones que lo ameriten.
8. Surtir de papelería y verificar el funcionamiento de las herramientas en su área de trabajo.</t>
  </si>
  <si>
    <t>Souschef y cocinero</t>
  </si>
  <si>
    <t>SousChef y cocinero</t>
  </si>
  <si>
    <t>SousChef y ayudante de cocina</t>
  </si>
  <si>
    <t>Cocinero y ayudante de cocina</t>
  </si>
  <si>
    <t>CONSUMO PLATO Y BEBIDA</t>
  </si>
  <si>
    <t>Tramites Legales</t>
  </si>
  <si>
    <t>M.O. 4 MESES</t>
  </si>
  <si>
    <t>Costo Materia Prima VM</t>
  </si>
  <si>
    <t>https://fundacioncarlosslim.org/cajero-restaurante-capacitate-empleo/</t>
  </si>
  <si>
    <t>Personal Logístico</t>
  </si>
  <si>
    <t>Costos de Producción VM</t>
  </si>
  <si>
    <t>Interfaz</t>
  </si>
  <si>
    <t>Costo Personal Logístico</t>
  </si>
  <si>
    <t>Costo M.O Producción</t>
  </si>
  <si>
    <t>M.O. Producción</t>
  </si>
  <si>
    <t>Flujos acumulados</t>
  </si>
  <si>
    <t>C/B</t>
  </si>
  <si>
    <t>WEBGRAFÍA</t>
  </si>
  <si>
    <t xml:space="preserve">https://www.youtube.com/watch?v=450MWq3RBWs
https://www.youtube.com/watch?v=n3V3-75bHnE
https://www.youtube.com/watch?v=9AkwtzOOzGM&amp;t=273s
</t>
  </si>
  <si>
    <t>VENTAS MÍNIMAS</t>
  </si>
  <si>
    <t>Diferencia VME-VMIN</t>
  </si>
  <si>
    <t>Pob. Común</t>
  </si>
  <si>
    <t>Elmo</t>
  </si>
  <si>
    <t>Rasgos: Salchicha, frijol negro, zucchini, champiñones, zanahoria, habichuela, lentejas</t>
  </si>
  <si>
    <t>Frijol negro al sartén</t>
  </si>
  <si>
    <t>Capacidades consumo plato y bebida</t>
  </si>
  <si>
    <t>TOTAL INVERSIÓN</t>
  </si>
  <si>
    <t>Jamón en trozos</t>
  </si>
  <si>
    <t>Salchicha en trozos</t>
  </si>
  <si>
    <t>Chorizo en trozos</t>
  </si>
  <si>
    <t>Sandra Milena Lesmes Vargas</t>
  </si>
  <si>
    <t>Diana Lorena Corredor Prieto</t>
  </si>
  <si>
    <t>Universidad Distrital Francisco José de Caldas</t>
  </si>
  <si>
    <t>Facultad Tecnológica</t>
  </si>
  <si>
    <t>Ingeniería de Producción por ciclos propedéuticos</t>
  </si>
  <si>
    <t xml:space="preserve">Plan de negocios para la creación de un restaurante enfocado a la preparación </t>
  </si>
  <si>
    <t>y venta de pastas artesanales personalizadas en Bogotá D.C.</t>
  </si>
  <si>
    <t>Director: MSc. Robinson Pacheco García</t>
  </si>
  <si>
    <t>Plan de Emprendimiento</t>
  </si>
  <si>
    <t>Bogotá D.C.,14 de septiembre de 2021</t>
  </si>
  <si>
    <t>M.O. Gerente, Hostess y Cajero</t>
  </si>
  <si>
    <t>M.O. Directa (Chef) Personal Logístico (server, steward) y Mano de Obra Indirecta) personal de aseo)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</si>
</sst>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 #,##0;[Red]\-&quot;$&quot;\ #,##0"/>
    <numFmt numFmtId="8" formatCode="&quot;$&quot;\ #,##0.00;[Red]\-&quot;$&quot;\ #,##0.00"/>
    <numFmt numFmtId="42" formatCode="_-&quot;$&quot;\ * #,##0_-;\-&quot;$&quot;\ * #,##0_-;_-&quot;$&quot;\ * &quot;-&quot;_-;_-@_-"/>
    <numFmt numFmtId="164" formatCode="&quot;$&quot;\ #,##0.00"/>
    <numFmt numFmtId="165" formatCode="_(* #,##0_);_(* \(#,##0\);_(* &quot;-&quot;??_);_(@_)"/>
    <numFmt numFmtId="166" formatCode="&quot;$&quot;\ #,##0"/>
    <numFmt numFmtId="167" formatCode="0.0000000"/>
    <numFmt numFmtId="168" formatCode="0.0000000000"/>
    <numFmt numFmtId="169" formatCode="0.000%"/>
  </numFmts>
  <fonts count="36" x14ac:knownFonts="1">
    <font>
      <sz val="11"/>
      <color theme="1"/>
      <name val="Calibri"/>
      <family val="2"/>
      <scheme val="minor"/>
    </font>
    <font>
      <sz val="12"/>
      <color theme="1"/>
      <name val="Times New Roman"/>
      <family val="1"/>
    </font>
    <font>
      <b/>
      <sz val="12"/>
      <color theme="1"/>
      <name val="Times New Roman"/>
      <family val="1"/>
    </font>
    <font>
      <b/>
      <i/>
      <sz val="12"/>
      <color theme="1"/>
      <name val="Times New Roman"/>
      <family val="1"/>
    </font>
    <font>
      <sz val="8"/>
      <name val="Calibri"/>
      <family val="2"/>
      <scheme val="minor"/>
    </font>
    <font>
      <u/>
      <sz val="11"/>
      <color theme="10"/>
      <name val="Calibri"/>
      <family val="2"/>
      <scheme val="minor"/>
    </font>
    <font>
      <b/>
      <sz val="9"/>
      <color indexed="81"/>
      <name val="Tahoma"/>
      <charset val="1"/>
    </font>
    <font>
      <sz val="9"/>
      <color indexed="81"/>
      <name val="Tahoma"/>
      <charset val="1"/>
    </font>
    <font>
      <b/>
      <sz val="10"/>
      <color rgb="FF000000"/>
      <name val="Times New Roman"/>
      <family val="1"/>
    </font>
    <font>
      <sz val="10"/>
      <color rgb="FF000000"/>
      <name val="Times New Roman"/>
      <family val="1"/>
    </font>
    <font>
      <b/>
      <sz val="12"/>
      <color rgb="FF000000"/>
      <name val="Times New Roman"/>
      <family val="1"/>
    </font>
    <font>
      <b/>
      <sz val="10"/>
      <color theme="1"/>
      <name val="Times New Roman"/>
      <family val="1"/>
    </font>
    <font>
      <sz val="10"/>
      <color theme="1"/>
      <name val="Times New Roman"/>
      <family val="1"/>
    </font>
    <font>
      <i/>
      <sz val="12"/>
      <color theme="1"/>
      <name val="Times New Roman"/>
      <family val="1"/>
    </font>
    <font>
      <sz val="11"/>
      <color rgb="FF000000"/>
      <name val="Calibri"/>
    </font>
    <font>
      <b/>
      <sz val="11"/>
      <name val="Times New Roman"/>
    </font>
    <font>
      <sz val="11"/>
      <name val="Times New Roman"/>
    </font>
    <font>
      <sz val="11"/>
      <color theme="1"/>
      <name val="Times New Roman"/>
    </font>
    <font>
      <b/>
      <sz val="18"/>
      <color theme="1"/>
      <name val="Times New Roman"/>
      <family val="1"/>
    </font>
    <font>
      <sz val="11"/>
      <color theme="1"/>
      <name val="Times New Roman"/>
      <family val="1"/>
    </font>
    <font>
      <i/>
      <sz val="10"/>
      <color theme="1"/>
      <name val="Times New Roman"/>
      <family val="1"/>
    </font>
    <font>
      <u/>
      <sz val="10"/>
      <color theme="1"/>
      <name val="Times New Roman"/>
      <family val="1"/>
    </font>
    <font>
      <sz val="9"/>
      <color indexed="81"/>
      <name val="Tahoma"/>
      <family val="2"/>
    </font>
    <font>
      <b/>
      <sz val="9"/>
      <color indexed="81"/>
      <name val="Tahoma"/>
      <family val="2"/>
    </font>
    <font>
      <b/>
      <sz val="11"/>
      <name val="Times New Roman"/>
      <family val="1"/>
    </font>
    <font>
      <sz val="12"/>
      <color rgb="FF000000"/>
      <name val="Times New Roman"/>
    </font>
    <font>
      <sz val="12"/>
      <color rgb="FF333333"/>
      <name val="Times New Roman"/>
    </font>
    <font>
      <b/>
      <sz val="12"/>
      <name val="Times New Roman"/>
    </font>
    <font>
      <sz val="12"/>
      <name val="Times New Roman"/>
      <family val="1"/>
    </font>
    <font>
      <sz val="12"/>
      <color rgb="FF000000"/>
      <name val="Times New Roman"/>
      <family val="1"/>
    </font>
    <font>
      <sz val="12"/>
      <color rgb="FF333333"/>
      <name val="Times New Roman"/>
      <family val="1"/>
    </font>
    <font>
      <b/>
      <sz val="12"/>
      <name val="Times New Roman"/>
      <family val="1"/>
    </font>
    <font>
      <sz val="11"/>
      <color theme="1"/>
      <name val="Calibri"/>
      <family val="2"/>
      <scheme val="minor"/>
    </font>
    <font>
      <sz val="8"/>
      <color theme="1"/>
      <name val="Times New Roman"/>
      <family val="1"/>
    </font>
    <font>
      <b/>
      <sz val="11"/>
      <color theme="1"/>
      <name val="Times New Roman"/>
      <family val="1"/>
    </font>
    <font>
      <b/>
      <i/>
      <sz val="8"/>
      <color theme="1"/>
      <name val="Times New Roman"/>
      <family val="1"/>
    </font>
  </fonts>
  <fills count="46">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2"/>
        <bgColor indexed="64"/>
      </patternFill>
    </fill>
    <fill>
      <patternFill patternType="solid">
        <fgColor theme="0" tint="-0.249977111117893"/>
        <bgColor indexed="64"/>
      </patternFill>
    </fill>
    <fill>
      <patternFill patternType="solid">
        <fgColor theme="8" tint="0.79998168889431442"/>
        <bgColor rgb="FFD9EAD3"/>
      </patternFill>
    </fill>
    <fill>
      <patternFill patternType="solid">
        <fgColor theme="7" tint="0.79998168889431442"/>
        <bgColor rgb="FFFFF2CC"/>
      </patternFill>
    </fill>
    <fill>
      <patternFill patternType="solid">
        <fgColor theme="6" tint="0.79998168889431442"/>
        <bgColor rgb="FFFCE5CD"/>
      </patternFill>
    </fill>
    <fill>
      <patternFill patternType="solid">
        <fgColor theme="5" tint="0.79998168889431442"/>
        <bgColor rgb="FFCFE2F3"/>
      </patternFill>
    </fill>
    <fill>
      <patternFill patternType="solid">
        <fgColor theme="4" tint="0.79998168889431442"/>
        <bgColor rgb="FFD9D2E9"/>
      </patternFill>
    </fill>
    <fill>
      <patternFill patternType="solid">
        <fgColor rgb="FFFFC000"/>
        <bgColor rgb="FFA4C2F4"/>
      </patternFill>
    </fill>
    <fill>
      <patternFill patternType="solid">
        <fgColor theme="0" tint="-0.499984740745262"/>
        <bgColor indexed="64"/>
      </patternFill>
    </fill>
    <fill>
      <patternFill patternType="solid">
        <fgColor theme="8" tint="0.59999389629810485"/>
        <bgColor indexed="64"/>
      </patternFill>
    </fill>
    <fill>
      <patternFill patternType="solid">
        <fgColor rgb="FFFFFFFF"/>
        <bgColor rgb="FFFFFFFF"/>
      </patternFill>
    </fill>
    <fill>
      <patternFill patternType="solid">
        <fgColor theme="0"/>
        <bgColor rgb="FFFFFFFF"/>
      </patternFill>
    </fill>
    <fill>
      <patternFill patternType="solid">
        <fgColor theme="9" tint="0.79998168889431442"/>
        <bgColor theme="4"/>
      </patternFill>
    </fill>
    <fill>
      <patternFill patternType="solid">
        <fgColor theme="9" tint="0.59999389629810485"/>
        <bgColor indexed="64"/>
      </patternFill>
    </fill>
    <fill>
      <patternFill patternType="solid">
        <fgColor theme="5"/>
        <bgColor indexed="64"/>
      </patternFill>
    </fill>
    <fill>
      <patternFill patternType="solid">
        <fgColor theme="0"/>
        <bgColor rgb="FFD9D2E9"/>
      </patternFill>
    </fill>
    <fill>
      <patternFill patternType="solid">
        <fgColor theme="9"/>
        <bgColor indexed="64"/>
      </patternFill>
    </fill>
    <fill>
      <patternFill patternType="solid">
        <fgColor theme="8" tint="0.79998168889431442"/>
        <bgColor rgb="FFFFFFFF"/>
      </patternFill>
    </fill>
    <fill>
      <patternFill patternType="solid">
        <fgColor theme="9" tint="0.39997558519241921"/>
        <bgColor theme="4"/>
      </patternFill>
    </fill>
    <fill>
      <patternFill patternType="solid">
        <fgColor theme="9" tint="0.79998168889431442"/>
        <bgColor rgb="FFFFFFFF"/>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bgColor indexed="64"/>
      </patternFill>
    </fill>
    <fill>
      <patternFill patternType="solid">
        <fgColor rgb="FFB6DF8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right/>
      <top/>
      <bottom style="thin">
        <color theme="4"/>
      </bottom>
      <diagonal/>
    </border>
    <border>
      <left/>
      <right/>
      <top/>
      <bottom style="thin">
        <color theme="1"/>
      </bottom>
      <diagonal/>
    </border>
    <border>
      <left style="medium">
        <color indexed="64"/>
      </left>
      <right/>
      <top style="thin">
        <color indexed="64"/>
      </top>
      <bottom/>
      <diagonal/>
    </border>
    <border>
      <left/>
      <right/>
      <top/>
      <bottom style="thin">
        <color theme="4" tint="-0.249977111117893"/>
      </bottom>
      <diagonal/>
    </border>
    <border>
      <left/>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right/>
      <top style="medium">
        <color rgb="FF7F7F7F"/>
      </top>
      <bottom/>
      <diagonal/>
    </border>
    <border>
      <left/>
      <right/>
      <top/>
      <bottom style="medium">
        <color rgb="FF7F7F7F"/>
      </bottom>
      <diagonal/>
    </border>
    <border>
      <left style="thin">
        <color indexed="64"/>
      </left>
      <right/>
      <top style="medium">
        <color rgb="FF7F7F7F"/>
      </top>
      <bottom/>
      <diagonal/>
    </border>
    <border>
      <left style="thin">
        <color indexed="64"/>
      </left>
      <right/>
      <top/>
      <bottom style="medium">
        <color rgb="FF7F7F7F"/>
      </bottom>
      <diagonal/>
    </border>
  </borders>
  <cellStyleXfs count="5">
    <xf numFmtId="0" fontId="0" fillId="0" borderId="0"/>
    <xf numFmtId="0" fontId="5" fillId="0" borderId="0" applyNumberFormat="0" applyFill="0" applyBorder="0" applyAlignment="0" applyProtection="0"/>
    <xf numFmtId="0" fontId="14" fillId="0" borderId="0"/>
    <xf numFmtId="42" fontId="32" fillId="0" borderId="0" applyFont="0" applyFill="0" applyBorder="0" applyAlignment="0" applyProtection="0"/>
    <xf numFmtId="9" fontId="32" fillId="0" borderId="0" applyFont="0" applyFill="0" applyBorder="0" applyAlignment="0" applyProtection="0"/>
  </cellStyleXfs>
  <cellXfs count="1469">
    <xf numFmtId="0" fontId="0" fillId="0" borderId="0" xfId="0"/>
    <xf numFmtId="0" fontId="1" fillId="0" borderId="0" xfId="0" applyFont="1"/>
    <xf numFmtId="0" fontId="1" fillId="0" borderId="0" xfId="0" applyFont="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1" fillId="4" borderId="1" xfId="0" applyFont="1" applyFill="1" applyBorder="1" applyAlignment="1">
      <alignment horizontal="center" vertical="center"/>
    </xf>
    <xf numFmtId="0" fontId="1" fillId="4" borderId="23" xfId="0" applyFont="1" applyFill="1" applyBorder="1" applyAlignment="1">
      <alignment horizontal="center" vertical="center"/>
    </xf>
    <xf numFmtId="0" fontId="1" fillId="4" borderId="19" xfId="0" applyFont="1" applyFill="1" applyBorder="1" applyAlignment="1">
      <alignment vertical="center"/>
    </xf>
    <xf numFmtId="0" fontId="2" fillId="4" borderId="31" xfId="0" applyFont="1" applyFill="1" applyBorder="1" applyAlignment="1">
      <alignment vertical="center"/>
    </xf>
    <xf numFmtId="0" fontId="1" fillId="0" borderId="0" xfId="0" applyFont="1" applyBorder="1"/>
    <xf numFmtId="0" fontId="1" fillId="3" borderId="1" xfId="0" applyFont="1" applyFill="1" applyBorder="1" applyAlignment="1">
      <alignment horizontal="center" vertical="center"/>
    </xf>
    <xf numFmtId="0" fontId="1" fillId="3" borderId="1" xfId="0" applyFont="1" applyFill="1" applyBorder="1"/>
    <xf numFmtId="0" fontId="1" fillId="2" borderId="1" xfId="0" applyFont="1" applyFill="1" applyBorder="1" applyAlignment="1">
      <alignment horizontal="center" vertical="center"/>
    </xf>
    <xf numFmtId="0" fontId="1" fillId="2" borderId="1" xfId="0" applyFont="1" applyFill="1" applyBorder="1"/>
    <xf numFmtId="0" fontId="1" fillId="0" borderId="19" xfId="0" applyFont="1" applyBorder="1" applyAlignment="1">
      <alignment horizontal="center" vertical="center"/>
    </xf>
    <xf numFmtId="0" fontId="13" fillId="2" borderId="26"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33" xfId="0" applyFont="1" applyFill="1" applyBorder="1" applyAlignment="1">
      <alignment horizontal="center" vertical="center"/>
    </xf>
    <xf numFmtId="0" fontId="1" fillId="6" borderId="36" xfId="0" applyFont="1" applyFill="1" applyBorder="1"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1" fillId="0" borderId="25" xfId="0" applyFont="1" applyBorder="1" applyAlignment="1">
      <alignment horizontal="center" vertical="center"/>
    </xf>
    <xf numFmtId="0" fontId="1" fillId="0" borderId="17" xfId="0" applyFont="1" applyBorder="1" applyAlignment="1">
      <alignment horizontal="center" vertical="center"/>
    </xf>
    <xf numFmtId="0" fontId="1" fillId="0" borderId="16" xfId="0" applyFont="1" applyBorder="1" applyAlignment="1">
      <alignment horizontal="center" vertical="center"/>
    </xf>
    <xf numFmtId="0" fontId="1" fillId="0" borderId="26" xfId="0" applyFont="1" applyBorder="1" applyAlignment="1">
      <alignment horizontal="center" vertical="center"/>
    </xf>
    <xf numFmtId="0" fontId="1" fillId="4" borderId="0" xfId="0" applyFont="1" applyFill="1" applyBorder="1" applyAlignment="1">
      <alignment vertical="center"/>
    </xf>
    <xf numFmtId="0" fontId="1" fillId="4" borderId="0" xfId="0" applyFont="1" applyFill="1"/>
    <xf numFmtId="0" fontId="1" fillId="4" borderId="0" xfId="0" applyFont="1" applyFill="1" applyBorder="1"/>
    <xf numFmtId="0" fontId="2" fillId="4" borderId="0" xfId="0" applyFont="1" applyFill="1"/>
    <xf numFmtId="0" fontId="2" fillId="4" borderId="0" xfId="0" applyFont="1" applyFill="1" applyBorder="1" applyAlignment="1"/>
    <xf numFmtId="0" fontId="1" fillId="4" borderId="0" xfId="0" applyFont="1" applyFill="1" applyAlignment="1"/>
    <xf numFmtId="0" fontId="2" fillId="4" borderId="0" xfId="0" applyFont="1" applyFill="1" applyBorder="1" applyAlignment="1">
      <alignment vertical="center"/>
    </xf>
    <xf numFmtId="0" fontId="3" fillId="4" borderId="0" xfId="0" applyFont="1" applyFill="1" applyBorder="1" applyAlignment="1">
      <alignment vertical="center"/>
    </xf>
    <xf numFmtId="0" fontId="1" fillId="4" borderId="0" xfId="0" applyFont="1" applyFill="1" applyBorder="1" applyAlignment="1">
      <alignment vertical="center" wrapText="1"/>
    </xf>
    <xf numFmtId="0" fontId="1" fillId="5" borderId="14" xfId="0" applyFont="1" applyFill="1" applyBorder="1"/>
    <xf numFmtId="0" fontId="1" fillId="5" borderId="46" xfId="0" applyFont="1" applyFill="1" applyBorder="1"/>
    <xf numFmtId="0" fontId="1" fillId="5" borderId="0" xfId="0" applyFont="1" applyFill="1" applyBorder="1"/>
    <xf numFmtId="0" fontId="1" fillId="5" borderId="47" xfId="0" applyFont="1" applyFill="1" applyBorder="1"/>
    <xf numFmtId="0" fontId="2" fillId="5" borderId="0" xfId="0" applyFont="1" applyFill="1" applyBorder="1"/>
    <xf numFmtId="0" fontId="1" fillId="5" borderId="21" xfId="0" applyFont="1" applyFill="1" applyBorder="1"/>
    <xf numFmtId="0" fontId="2" fillId="5" borderId="21" xfId="0" applyFont="1" applyFill="1" applyBorder="1"/>
    <xf numFmtId="0" fontId="1" fillId="5" borderId="48" xfId="0" applyFont="1" applyFill="1" applyBorder="1"/>
    <xf numFmtId="0" fontId="1" fillId="2" borderId="14" xfId="0" applyFont="1" applyFill="1" applyBorder="1"/>
    <xf numFmtId="0" fontId="2" fillId="2" borderId="14" xfId="0" applyFont="1" applyFill="1" applyBorder="1"/>
    <xf numFmtId="0" fontId="1" fillId="2" borderId="46" xfId="0" applyFont="1" applyFill="1" applyBorder="1"/>
    <xf numFmtId="0" fontId="1" fillId="2" borderId="0" xfId="0" applyFont="1" applyFill="1" applyBorder="1"/>
    <xf numFmtId="0" fontId="1" fillId="2" borderId="47" xfId="0" applyFont="1" applyFill="1" applyBorder="1"/>
    <xf numFmtId="0" fontId="2" fillId="2" borderId="0" xfId="0" applyFont="1" applyFill="1" applyBorder="1"/>
    <xf numFmtId="0" fontId="2" fillId="2" borderId="47" xfId="0" applyFont="1" applyFill="1" applyBorder="1"/>
    <xf numFmtId="0" fontId="1" fillId="2" borderId="21" xfId="0" applyFont="1" applyFill="1" applyBorder="1"/>
    <xf numFmtId="0" fontId="1" fillId="2" borderId="48" xfId="0" applyFont="1" applyFill="1" applyBorder="1"/>
    <xf numFmtId="0" fontId="1" fillId="6" borderId="14" xfId="0" applyFont="1" applyFill="1" applyBorder="1"/>
    <xf numFmtId="0" fontId="2" fillId="6" borderId="14" xfId="0" applyFont="1" applyFill="1" applyBorder="1" applyAlignment="1"/>
    <xf numFmtId="0" fontId="2" fillId="6" borderId="46" xfId="0" applyFont="1" applyFill="1" applyBorder="1" applyAlignment="1"/>
    <xf numFmtId="0" fontId="1" fillId="6" borderId="0" xfId="0" applyFont="1" applyFill="1" applyBorder="1"/>
    <xf numFmtId="0" fontId="2" fillId="6" borderId="0" xfId="0" applyFont="1" applyFill="1" applyBorder="1" applyAlignment="1"/>
    <xf numFmtId="0" fontId="2" fillId="6" borderId="47" xfId="0" applyFont="1" applyFill="1" applyBorder="1" applyAlignment="1"/>
    <xf numFmtId="0" fontId="1" fillId="6" borderId="47" xfId="0" applyFont="1" applyFill="1" applyBorder="1"/>
    <xf numFmtId="0" fontId="3" fillId="6" borderId="0" xfId="0" applyFont="1" applyFill="1" applyBorder="1" applyAlignment="1">
      <alignment horizontal="center" vertical="center"/>
    </xf>
    <xf numFmtId="0" fontId="1" fillId="6" borderId="0" xfId="0" applyFont="1" applyFill="1" applyBorder="1" applyAlignment="1">
      <alignment horizontal="left" vertical="center"/>
    </xf>
    <xf numFmtId="0" fontId="1" fillId="6" borderId="21" xfId="0" applyFont="1" applyFill="1" applyBorder="1"/>
    <xf numFmtId="0" fontId="1" fillId="6" borderId="48" xfId="0" applyFont="1" applyFill="1" applyBorder="1"/>
    <xf numFmtId="0" fontId="1" fillId="3" borderId="14" xfId="0" applyFont="1" applyFill="1" applyBorder="1"/>
    <xf numFmtId="0" fontId="1" fillId="3" borderId="46" xfId="0" applyFont="1" applyFill="1" applyBorder="1"/>
    <xf numFmtId="0" fontId="1" fillId="3" borderId="0" xfId="0" applyFont="1" applyFill="1" applyBorder="1"/>
    <xf numFmtId="0" fontId="1" fillId="3" borderId="47" xfId="0" applyFont="1" applyFill="1" applyBorder="1"/>
    <xf numFmtId="0" fontId="3" fillId="3" borderId="0" xfId="0" applyFont="1" applyFill="1" applyBorder="1" applyAlignment="1">
      <alignment horizontal="center" vertical="center"/>
    </xf>
    <xf numFmtId="0" fontId="1" fillId="3" borderId="0" xfId="0" applyFont="1" applyFill="1" applyBorder="1" applyAlignment="1">
      <alignment horizontal="left" vertical="center"/>
    </xf>
    <xf numFmtId="0" fontId="1" fillId="3" borderId="21" xfId="0" applyFont="1" applyFill="1" applyBorder="1"/>
    <xf numFmtId="0" fontId="1" fillId="3" borderId="48" xfId="0" applyFont="1" applyFill="1" applyBorder="1"/>
    <xf numFmtId="0" fontId="1" fillId="7" borderId="14" xfId="0" applyFont="1" applyFill="1" applyBorder="1"/>
    <xf numFmtId="0" fontId="1" fillId="7" borderId="46" xfId="0" applyFont="1" applyFill="1" applyBorder="1"/>
    <xf numFmtId="0" fontId="1" fillId="7" borderId="0" xfId="0" applyFont="1" applyFill="1" applyBorder="1"/>
    <xf numFmtId="0" fontId="1" fillId="7" borderId="47" xfId="0" applyFont="1" applyFill="1" applyBorder="1"/>
    <xf numFmtId="0" fontId="1" fillId="7" borderId="21" xfId="0" applyFont="1" applyFill="1" applyBorder="1"/>
    <xf numFmtId="0" fontId="1" fillId="7" borderId="48" xfId="0" applyFont="1" applyFill="1" applyBorder="1"/>
    <xf numFmtId="0" fontId="1" fillId="7"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3" borderId="26" xfId="0" applyFont="1" applyFill="1" applyBorder="1" applyAlignment="1">
      <alignment horizontal="center" vertical="center"/>
    </xf>
    <xf numFmtId="0" fontId="1" fillId="3" borderId="19" xfId="0" applyFont="1" applyFill="1" applyBorder="1" applyAlignment="1">
      <alignment horizontal="center" vertical="center"/>
    </xf>
    <xf numFmtId="0" fontId="1" fillId="7" borderId="26" xfId="0" applyFont="1" applyFill="1" applyBorder="1" applyAlignment="1">
      <alignment horizontal="center" vertical="center"/>
    </xf>
    <xf numFmtId="0" fontId="1" fillId="7" borderId="19" xfId="0" applyFont="1" applyFill="1" applyBorder="1" applyAlignment="1">
      <alignment horizontal="center" vertical="center"/>
    </xf>
    <xf numFmtId="0" fontId="1" fillId="6" borderId="26" xfId="0" applyFont="1" applyFill="1" applyBorder="1" applyAlignment="1">
      <alignment horizontal="center" vertical="center"/>
    </xf>
    <xf numFmtId="0" fontId="1" fillId="6" borderId="19" xfId="0" applyFont="1" applyFill="1" applyBorder="1" applyAlignment="1">
      <alignment horizontal="center" vertical="center"/>
    </xf>
    <xf numFmtId="0" fontId="1" fillId="2" borderId="26" xfId="0" applyFont="1" applyFill="1" applyBorder="1" applyAlignment="1">
      <alignment horizontal="center" vertical="center"/>
    </xf>
    <xf numFmtId="0" fontId="2" fillId="0" borderId="26" xfId="0" applyFont="1" applyBorder="1" applyAlignment="1">
      <alignment horizontal="center" vertical="center"/>
    </xf>
    <xf numFmtId="0" fontId="2" fillId="0" borderId="19" xfId="0" applyFont="1" applyBorder="1" applyAlignment="1">
      <alignment horizontal="center" vertical="center"/>
    </xf>
    <xf numFmtId="0" fontId="1" fillId="0" borderId="33" xfId="0" applyFont="1" applyBorder="1"/>
    <xf numFmtId="0" fontId="2" fillId="0" borderId="33" xfId="0" applyFont="1" applyBorder="1"/>
    <xf numFmtId="0" fontId="13" fillId="0" borderId="56" xfId="0" applyFont="1" applyBorder="1" applyAlignment="1">
      <alignment horizontal="left" vertical="center"/>
    </xf>
    <xf numFmtId="0" fontId="1" fillId="0" borderId="53" xfId="0" applyFont="1" applyBorder="1"/>
    <xf numFmtId="0" fontId="1" fillId="7" borderId="25" xfId="0" applyFont="1" applyFill="1" applyBorder="1" applyAlignment="1">
      <alignment horizontal="center" vertical="center"/>
    </xf>
    <xf numFmtId="0" fontId="1" fillId="7" borderId="16" xfId="0" applyFont="1" applyFill="1" applyBorder="1" applyAlignment="1">
      <alignment horizontal="center" vertical="center"/>
    </xf>
    <xf numFmtId="0" fontId="1" fillId="7" borderId="17" xfId="0" applyFont="1" applyFill="1" applyBorder="1" applyAlignment="1">
      <alignment horizontal="center" vertical="center"/>
    </xf>
    <xf numFmtId="0" fontId="2" fillId="9" borderId="34" xfId="0" applyFont="1" applyFill="1" applyBorder="1" applyAlignment="1">
      <alignment horizontal="left" vertical="center"/>
    </xf>
    <xf numFmtId="0" fontId="13" fillId="0" borderId="55" xfId="0" applyFont="1" applyBorder="1" applyAlignment="1">
      <alignment horizontal="left" vertical="center"/>
    </xf>
    <xf numFmtId="0" fontId="2" fillId="8" borderId="45" xfId="0" applyFont="1" applyFill="1" applyBorder="1" applyAlignment="1">
      <alignment horizontal="left" vertical="center"/>
    </xf>
    <xf numFmtId="0" fontId="2" fillId="4" borderId="0" xfId="0" applyFont="1" applyFill="1" applyBorder="1" applyAlignment="1">
      <alignment vertical="center" wrapText="1"/>
    </xf>
    <xf numFmtId="0" fontId="1" fillId="4" borderId="0" xfId="0" applyFont="1" applyFill="1" applyBorder="1" applyAlignment="1">
      <alignment horizontal="justify" vertical="center" wrapText="1"/>
    </xf>
    <xf numFmtId="0" fontId="1" fillId="4" borderId="0" xfId="0" applyFont="1" applyFill="1" applyBorder="1" applyAlignment="1">
      <alignment horizontal="left" vertical="center" wrapText="1"/>
    </xf>
    <xf numFmtId="0" fontId="1" fillId="4" borderId="0" xfId="0" applyFont="1" applyFill="1" applyBorder="1" applyAlignment="1"/>
    <xf numFmtId="0" fontId="1" fillId="4" borderId="0" xfId="0" applyFont="1" applyFill="1" applyBorder="1" applyAlignment="1">
      <alignment horizontal="center" vertical="center"/>
    </xf>
    <xf numFmtId="0" fontId="1" fillId="4" borderId="1" xfId="0" applyFont="1" applyFill="1" applyBorder="1"/>
    <xf numFmtId="0" fontId="3" fillId="4" borderId="0" xfId="0" applyFont="1" applyFill="1" applyBorder="1" applyAlignment="1">
      <alignment horizontal="center" vertical="center"/>
    </xf>
    <xf numFmtId="0" fontId="1" fillId="4" borderId="0" xfId="0" applyFont="1" applyFill="1" applyBorder="1" applyAlignment="1">
      <alignment horizontal="left" vertical="center"/>
    </xf>
    <xf numFmtId="0" fontId="8" fillId="4" borderId="0" xfId="0" applyFont="1" applyFill="1" applyBorder="1" applyAlignment="1">
      <alignment horizontal="left" vertical="center" wrapText="1"/>
    </xf>
    <xf numFmtId="0" fontId="9" fillId="4" borderId="0" xfId="0" applyFont="1" applyFill="1" applyBorder="1" applyAlignment="1">
      <alignment horizontal="left" vertical="center" wrapText="1"/>
    </xf>
    <xf numFmtId="0" fontId="8" fillId="4" borderId="0"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2" fillId="4" borderId="0" xfId="0" applyFont="1" applyFill="1" applyBorder="1" applyAlignment="1">
      <alignment horizontal="left" vertical="center" wrapText="1"/>
    </xf>
    <xf numFmtId="0" fontId="1" fillId="10" borderId="1" xfId="0" applyFont="1" applyFill="1" applyBorder="1" applyAlignment="1">
      <alignment horizontal="center" vertical="center"/>
    </xf>
    <xf numFmtId="0" fontId="1" fillId="10" borderId="1" xfId="0" applyFont="1" applyFill="1" applyBorder="1"/>
    <xf numFmtId="0" fontId="8" fillId="4" borderId="1"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6" borderId="1" xfId="0" applyFont="1" applyFill="1" applyBorder="1"/>
    <xf numFmtId="0" fontId="1" fillId="3" borderId="0" xfId="0" applyFont="1" applyFill="1"/>
    <xf numFmtId="0" fontId="1" fillId="3" borderId="4" xfId="0" applyFont="1" applyFill="1" applyBorder="1"/>
    <xf numFmtId="0" fontId="1" fillId="7" borderId="1" xfId="0" applyFont="1" applyFill="1" applyBorder="1"/>
    <xf numFmtId="0" fontId="1" fillId="0" borderId="4" xfId="0" applyFont="1" applyBorder="1"/>
    <xf numFmtId="0" fontId="1" fillId="0" borderId="4" xfId="0" applyFont="1" applyBorder="1" applyAlignment="1">
      <alignment horizontal="justify" vertical="center" wrapText="1"/>
    </xf>
    <xf numFmtId="0" fontId="1" fillId="0" borderId="4" xfId="0" applyFont="1" applyBorder="1" applyAlignment="1">
      <alignment horizontal="left" vertical="center" wrapText="1"/>
    </xf>
    <xf numFmtId="164" fontId="1" fillId="4" borderId="1" xfId="0" applyNumberFormat="1" applyFont="1" applyFill="1" applyBorder="1"/>
    <xf numFmtId="0" fontId="1" fillId="0" borderId="12" xfId="0" applyFont="1" applyBorder="1"/>
    <xf numFmtId="0" fontId="1" fillId="0" borderId="7" xfId="0" applyFont="1" applyBorder="1"/>
    <xf numFmtId="0" fontId="1" fillId="4" borderId="1" xfId="0" applyFont="1" applyFill="1" applyBorder="1" applyAlignment="1">
      <alignment vertical="center"/>
    </xf>
    <xf numFmtId="0" fontId="1" fillId="4" borderId="16" xfId="0" applyFont="1" applyFill="1" applyBorder="1" applyAlignment="1">
      <alignment horizontal="center" vertical="center"/>
    </xf>
    <xf numFmtId="6" fontId="1" fillId="4" borderId="16" xfId="0" applyNumberFormat="1" applyFont="1" applyFill="1" applyBorder="1" applyAlignment="1">
      <alignment horizontal="right" vertical="center"/>
    </xf>
    <xf numFmtId="6" fontId="1" fillId="4" borderId="1" xfId="0" applyNumberFormat="1" applyFont="1" applyFill="1" applyBorder="1" applyAlignment="1">
      <alignment horizontal="right" vertical="center"/>
    </xf>
    <xf numFmtId="0" fontId="1" fillId="4" borderId="2" xfId="0" applyFont="1" applyFill="1" applyBorder="1" applyAlignment="1">
      <alignment vertical="center" wrapText="1"/>
    </xf>
    <xf numFmtId="0" fontId="1" fillId="4" borderId="3" xfId="0" applyFont="1" applyFill="1" applyBorder="1" applyAlignment="1">
      <alignment vertical="center" wrapText="1"/>
    </xf>
    <xf numFmtId="0" fontId="1" fillId="4" borderId="4" xfId="0" applyFont="1" applyFill="1" applyBorder="1" applyAlignment="1">
      <alignment vertical="center" wrapText="1"/>
    </xf>
    <xf numFmtId="0" fontId="1" fillId="4" borderId="0" xfId="0" applyFont="1" applyFill="1" applyAlignment="1">
      <alignment horizontal="center" vertical="center"/>
    </xf>
    <xf numFmtId="0" fontId="1" fillId="4" borderId="35" xfId="0" applyFont="1" applyFill="1" applyBorder="1" applyAlignment="1">
      <alignment horizontal="center" vertical="center"/>
    </xf>
    <xf numFmtId="0" fontId="1" fillId="4" borderId="13" xfId="0" applyFont="1" applyFill="1" applyBorder="1" applyAlignment="1">
      <alignment horizontal="center" vertical="center"/>
    </xf>
    <xf numFmtId="0" fontId="1" fillId="4" borderId="33" xfId="0" applyFont="1" applyFill="1" applyBorder="1" applyAlignment="1">
      <alignment horizontal="center" vertical="center"/>
    </xf>
    <xf numFmtId="0" fontId="13" fillId="4" borderId="26" xfId="0" applyFont="1" applyFill="1" applyBorder="1" applyAlignment="1">
      <alignment horizontal="center" vertical="center"/>
    </xf>
    <xf numFmtId="0" fontId="1" fillId="4" borderId="19" xfId="0" applyFont="1" applyFill="1" applyBorder="1" applyAlignment="1">
      <alignment horizontal="center" vertical="center"/>
    </xf>
    <xf numFmtId="0" fontId="1" fillId="4" borderId="26" xfId="0" applyFont="1" applyFill="1" applyBorder="1" applyAlignment="1">
      <alignment horizontal="center" vertical="center"/>
    </xf>
    <xf numFmtId="0" fontId="1" fillId="4" borderId="34" xfId="0" applyFont="1" applyFill="1" applyBorder="1" applyAlignment="1">
      <alignment horizontal="center" vertical="center"/>
    </xf>
    <xf numFmtId="0" fontId="13" fillId="4" borderId="27" xfId="0" applyFont="1" applyFill="1" applyBorder="1" applyAlignment="1">
      <alignment horizontal="center" vertical="center"/>
    </xf>
    <xf numFmtId="0" fontId="1" fillId="4" borderId="24" xfId="0" applyFont="1" applyFill="1" applyBorder="1" applyAlignment="1">
      <alignment horizontal="center" vertical="center"/>
    </xf>
    <xf numFmtId="0" fontId="13" fillId="4" borderId="0" xfId="0" applyFont="1" applyFill="1" applyBorder="1" applyAlignment="1">
      <alignment horizontal="center" vertical="center"/>
    </xf>
    <xf numFmtId="0" fontId="2" fillId="6" borderId="37" xfId="0" applyFont="1" applyFill="1" applyBorder="1" applyAlignment="1">
      <alignment horizontal="center" vertical="center"/>
    </xf>
    <xf numFmtId="0" fontId="2" fillId="6" borderId="38" xfId="0" applyFont="1" applyFill="1" applyBorder="1" applyAlignment="1">
      <alignment horizontal="center" vertical="center"/>
    </xf>
    <xf numFmtId="0" fontId="1" fillId="6" borderId="33" xfId="0" applyFont="1" applyFill="1" applyBorder="1" applyAlignment="1">
      <alignment horizontal="center" vertical="center"/>
    </xf>
    <xf numFmtId="0" fontId="12" fillId="0" borderId="0" xfId="0" applyFont="1" applyAlignment="1">
      <alignment vertical="center"/>
    </xf>
    <xf numFmtId="164" fontId="1" fillId="2" borderId="1" xfId="0" applyNumberFormat="1" applyFont="1" applyFill="1" applyBorder="1"/>
    <xf numFmtId="164" fontId="1" fillId="10" borderId="1" xfId="0" applyNumberFormat="1" applyFont="1" applyFill="1" applyBorder="1"/>
    <xf numFmtId="164" fontId="1" fillId="6" borderId="1" xfId="0" applyNumberFormat="1" applyFont="1" applyFill="1" applyBorder="1"/>
    <xf numFmtId="0" fontId="12" fillId="0" borderId="0" xfId="0" applyFont="1"/>
    <xf numFmtId="0" fontId="12" fillId="4" borderId="0" xfId="0" applyFont="1" applyFill="1"/>
    <xf numFmtId="0" fontId="12" fillId="4" borderId="0" xfId="0" applyFont="1" applyFill="1" applyAlignment="1">
      <alignment vertical="center"/>
    </xf>
    <xf numFmtId="0" fontId="12" fillId="0" borderId="0" xfId="0" applyFont="1" applyAlignment="1">
      <alignment horizontal="center" vertical="center"/>
    </xf>
    <xf numFmtId="0" fontId="12" fillId="4" borderId="0" xfId="0" applyFont="1" applyFill="1" applyAlignment="1">
      <alignment horizontal="center" vertical="center"/>
    </xf>
    <xf numFmtId="0" fontId="12" fillId="2" borderId="1" xfId="0" applyFont="1" applyFill="1" applyBorder="1"/>
    <xf numFmtId="0" fontId="12" fillId="2" borderId="1" xfId="0" applyFont="1" applyFill="1" applyBorder="1" applyAlignment="1">
      <alignment horizontal="center" vertical="center"/>
    </xf>
    <xf numFmtId="0" fontId="12" fillId="6" borderId="1" xfId="0" applyFont="1" applyFill="1" applyBorder="1"/>
    <xf numFmtId="0" fontId="12" fillId="6" borderId="1" xfId="0" applyFont="1" applyFill="1" applyBorder="1" applyAlignment="1">
      <alignment horizontal="center" vertical="center"/>
    </xf>
    <xf numFmtId="0" fontId="12" fillId="6" borderId="2" xfId="0" applyFont="1" applyFill="1" applyBorder="1"/>
    <xf numFmtId="0" fontId="12" fillId="7" borderId="1" xfId="0" applyFont="1" applyFill="1" applyBorder="1"/>
    <xf numFmtId="0" fontId="12" fillId="7" borderId="1" xfId="0" applyFont="1" applyFill="1" applyBorder="1" applyAlignment="1">
      <alignment horizontal="center" vertical="center"/>
    </xf>
    <xf numFmtId="0" fontId="12" fillId="7" borderId="2" xfId="0" applyFont="1" applyFill="1" applyBorder="1"/>
    <xf numFmtId="0" fontId="12" fillId="14" borderId="1" xfId="0" applyFont="1" applyFill="1" applyBorder="1"/>
    <xf numFmtId="0" fontId="12" fillId="14" borderId="1" xfId="0" applyFont="1" applyFill="1" applyBorder="1" applyAlignment="1">
      <alignment horizontal="center" vertical="center"/>
    </xf>
    <xf numFmtId="0" fontId="12" fillId="14" borderId="2" xfId="0" applyFont="1" applyFill="1" applyBorder="1"/>
    <xf numFmtId="0" fontId="12" fillId="15" borderId="1" xfId="0" applyFont="1" applyFill="1" applyBorder="1" applyAlignment="1">
      <alignment horizontal="center" vertical="center"/>
    </xf>
    <xf numFmtId="0" fontId="12" fillId="3" borderId="1" xfId="0" applyFont="1" applyFill="1" applyBorder="1"/>
    <xf numFmtId="0" fontId="12" fillId="3" borderId="1" xfId="0" applyFont="1" applyFill="1" applyBorder="1" applyAlignment="1">
      <alignment horizontal="center" vertical="center"/>
    </xf>
    <xf numFmtId="0" fontId="12" fillId="3" borderId="2" xfId="0" applyFont="1" applyFill="1" applyBorder="1"/>
    <xf numFmtId="0" fontId="12" fillId="16" borderId="1" xfId="0" applyFont="1" applyFill="1" applyBorder="1" applyAlignment="1">
      <alignment horizontal="center" vertical="center"/>
    </xf>
    <xf numFmtId="0" fontId="11" fillId="17" borderId="43" xfId="0" applyFont="1" applyFill="1" applyBorder="1" applyAlignment="1">
      <alignment horizontal="center" vertical="center"/>
    </xf>
    <xf numFmtId="0" fontId="12" fillId="18" borderId="1" xfId="0" applyFont="1" applyFill="1" applyBorder="1" applyAlignment="1">
      <alignment horizontal="center" vertical="center"/>
    </xf>
    <xf numFmtId="0" fontId="12" fillId="19" borderId="2" xfId="0" applyFont="1" applyFill="1" applyBorder="1"/>
    <xf numFmtId="0" fontId="11" fillId="8" borderId="1" xfId="0" applyFont="1" applyFill="1" applyBorder="1" applyAlignment="1">
      <alignment horizontal="center" vertical="center"/>
    </xf>
    <xf numFmtId="0" fontId="11" fillId="12" borderId="1" xfId="0" applyFont="1" applyFill="1" applyBorder="1" applyAlignment="1">
      <alignment horizontal="center" vertical="center"/>
    </xf>
    <xf numFmtId="0" fontId="11" fillId="13" borderId="1" xfId="0" applyFont="1" applyFill="1" applyBorder="1" applyAlignment="1">
      <alignment horizontal="center" vertical="center"/>
    </xf>
    <xf numFmtId="0" fontId="11" fillId="15" borderId="1" xfId="0" applyFont="1" applyFill="1" applyBorder="1" applyAlignment="1">
      <alignment horizontal="center" vertical="center"/>
    </xf>
    <xf numFmtId="0" fontId="11" fillId="16" borderId="1" xfId="0" applyFont="1" applyFill="1" applyBorder="1" applyAlignment="1">
      <alignment horizontal="center" vertical="center"/>
    </xf>
    <xf numFmtId="0" fontId="11" fillId="11" borderId="1" xfId="0" applyFont="1" applyFill="1" applyBorder="1" applyAlignment="1">
      <alignment horizontal="center" vertical="center"/>
    </xf>
    <xf numFmtId="0" fontId="12" fillId="2" borderId="1" xfId="0" applyFont="1" applyFill="1" applyBorder="1" applyAlignment="1">
      <alignment vertical="center"/>
    </xf>
    <xf numFmtId="0" fontId="11" fillId="19" borderId="1" xfId="0" applyFont="1" applyFill="1" applyBorder="1" applyAlignment="1">
      <alignment horizontal="center" vertical="center"/>
    </xf>
    <xf numFmtId="0" fontId="12" fillId="2" borderId="4" xfId="0" applyFont="1" applyFill="1" applyBorder="1" applyAlignment="1">
      <alignment horizontal="center" vertical="center"/>
    </xf>
    <xf numFmtId="0" fontId="11" fillId="8" borderId="4" xfId="0" applyFont="1" applyFill="1" applyBorder="1" applyAlignment="1">
      <alignment horizontal="center" vertical="center"/>
    </xf>
    <xf numFmtId="0" fontId="12" fillId="6" borderId="4" xfId="0" applyFont="1" applyFill="1" applyBorder="1" applyAlignment="1">
      <alignment horizontal="center" vertical="center"/>
    </xf>
    <xf numFmtId="0" fontId="12" fillId="7" borderId="4" xfId="0" applyFont="1" applyFill="1" applyBorder="1" applyAlignment="1">
      <alignment horizontal="center" vertical="center"/>
    </xf>
    <xf numFmtId="0" fontId="11" fillId="13" borderId="4" xfId="0" applyFont="1" applyFill="1" applyBorder="1" applyAlignment="1">
      <alignment horizontal="center" vertical="center"/>
    </xf>
    <xf numFmtId="0" fontId="12" fillId="14" borderId="4" xfId="0" applyFont="1" applyFill="1" applyBorder="1" applyAlignment="1">
      <alignment horizontal="center" vertical="center"/>
    </xf>
    <xf numFmtId="0" fontId="11" fillId="15" borderId="4" xfId="0" applyFont="1" applyFill="1" applyBorder="1" applyAlignment="1">
      <alignment horizontal="center" vertical="center"/>
    </xf>
    <xf numFmtId="0" fontId="12" fillId="3" borderId="4" xfId="0" applyFont="1" applyFill="1" applyBorder="1" applyAlignment="1">
      <alignment horizontal="center" vertical="center"/>
    </xf>
    <xf numFmtId="0" fontId="11" fillId="16" borderId="4" xfId="0" applyFont="1" applyFill="1" applyBorder="1" applyAlignment="1">
      <alignment horizontal="center" vertical="center"/>
    </xf>
    <xf numFmtId="164" fontId="12" fillId="2" borderId="1" xfId="0" applyNumberFormat="1" applyFont="1" applyFill="1" applyBorder="1" applyAlignment="1">
      <alignment vertical="center"/>
    </xf>
    <xf numFmtId="0" fontId="16" fillId="20" borderId="1" xfId="2" applyFont="1" applyFill="1" applyBorder="1" applyAlignment="1"/>
    <xf numFmtId="164" fontId="16" fillId="20" borderId="1" xfId="2" applyNumberFormat="1" applyFont="1" applyFill="1" applyBorder="1" applyAlignment="1">
      <alignment horizontal="right"/>
    </xf>
    <xf numFmtId="0" fontId="16" fillId="21" borderId="1" xfId="2" applyFont="1" applyFill="1" applyBorder="1" applyAlignment="1"/>
    <xf numFmtId="164" fontId="16" fillId="21" borderId="1" xfId="2" applyNumberFormat="1" applyFont="1" applyFill="1" applyBorder="1" applyAlignment="1">
      <alignment horizontal="right"/>
    </xf>
    <xf numFmtId="0" fontId="16" fillId="22" borderId="1" xfId="2" applyFont="1" applyFill="1" applyBorder="1" applyAlignment="1"/>
    <xf numFmtId="164" fontId="16" fillId="22" borderId="1" xfId="2" applyNumberFormat="1" applyFont="1" applyFill="1" applyBorder="1" applyAlignment="1">
      <alignment horizontal="right"/>
    </xf>
    <xf numFmtId="0" fontId="16" fillId="23" borderId="1" xfId="2" applyFont="1" applyFill="1" applyBorder="1" applyAlignment="1"/>
    <xf numFmtId="164" fontId="16" fillId="23" borderId="1" xfId="2" applyNumberFormat="1" applyFont="1" applyFill="1" applyBorder="1" applyAlignment="1">
      <alignment horizontal="right"/>
    </xf>
    <xf numFmtId="0" fontId="16" fillId="24" borderId="1" xfId="2" applyFont="1" applyFill="1" applyBorder="1" applyAlignment="1"/>
    <xf numFmtId="164" fontId="16" fillId="24" borderId="1" xfId="2" applyNumberFormat="1" applyFont="1" applyFill="1" applyBorder="1" applyAlignment="1">
      <alignment horizontal="right"/>
    </xf>
    <xf numFmtId="0" fontId="15" fillId="25" borderId="1" xfId="2" applyFont="1" applyFill="1" applyBorder="1" applyAlignment="1">
      <alignment horizontal="center" vertical="center"/>
    </xf>
    <xf numFmtId="0" fontId="11" fillId="19" borderId="4" xfId="0" applyFont="1" applyFill="1" applyBorder="1" applyAlignment="1">
      <alignment horizontal="center"/>
    </xf>
    <xf numFmtId="0" fontId="21" fillId="18" borderId="1" xfId="0" applyFont="1" applyFill="1" applyBorder="1" applyAlignment="1">
      <alignment horizontal="center" vertical="center" wrapText="1"/>
    </xf>
    <xf numFmtId="0" fontId="12" fillId="18" borderId="5" xfId="0" applyFont="1" applyFill="1" applyBorder="1" applyAlignment="1">
      <alignment horizontal="left" vertical="top" wrapText="1"/>
    </xf>
    <xf numFmtId="0" fontId="12" fillId="18" borderId="6" xfId="0" applyFont="1" applyFill="1" applyBorder="1" applyAlignment="1">
      <alignment horizontal="left" vertical="top" wrapText="1"/>
    </xf>
    <xf numFmtId="0" fontId="12" fillId="4" borderId="0" xfId="0" applyFont="1" applyFill="1" applyBorder="1"/>
    <xf numFmtId="0" fontId="1" fillId="4" borderId="13" xfId="0" applyFont="1" applyFill="1" applyBorder="1" applyAlignment="1">
      <alignment vertical="center"/>
    </xf>
    <xf numFmtId="0" fontId="1" fillId="4" borderId="14" xfId="0" applyFont="1" applyFill="1" applyBorder="1" applyAlignment="1">
      <alignment vertical="center"/>
    </xf>
    <xf numFmtId="0" fontId="1" fillId="4" borderId="46" xfId="0" applyFont="1" applyFill="1" applyBorder="1" applyAlignment="1">
      <alignment vertical="center"/>
    </xf>
    <xf numFmtId="0" fontId="1" fillId="4" borderId="18" xfId="0" applyFont="1" applyFill="1" applyBorder="1" applyAlignment="1">
      <alignment vertical="center"/>
    </xf>
    <xf numFmtId="0" fontId="1" fillId="4" borderId="47" xfId="0" applyFont="1" applyFill="1" applyBorder="1" applyAlignment="1">
      <alignment vertical="center"/>
    </xf>
    <xf numFmtId="0" fontId="12" fillId="4" borderId="47" xfId="0" applyFont="1" applyFill="1" applyBorder="1"/>
    <xf numFmtId="0" fontId="1" fillId="4" borderId="0" xfId="0" applyFont="1" applyFill="1" applyBorder="1" applyAlignment="1">
      <alignment vertical="top" wrapText="1"/>
    </xf>
    <xf numFmtId="0" fontId="1" fillId="4" borderId="20" xfId="0" applyFont="1" applyFill="1" applyBorder="1" applyAlignment="1">
      <alignment vertical="center"/>
    </xf>
    <xf numFmtId="0" fontId="1" fillId="4" borderId="21" xfId="0" applyFont="1" applyFill="1" applyBorder="1" applyAlignment="1">
      <alignment vertical="center"/>
    </xf>
    <xf numFmtId="0" fontId="1" fillId="4" borderId="48" xfId="0" applyFont="1" applyFill="1" applyBorder="1" applyAlignment="1">
      <alignment vertical="center"/>
    </xf>
    <xf numFmtId="0" fontId="12" fillId="4" borderId="18" xfId="0" applyFont="1" applyFill="1" applyBorder="1"/>
    <xf numFmtId="0" fontId="2" fillId="4" borderId="0" xfId="0" applyFont="1" applyFill="1" applyBorder="1" applyAlignment="1">
      <alignment vertical="center" textRotation="255"/>
    </xf>
    <xf numFmtId="0" fontId="2" fillId="4" borderId="21" xfId="0" applyFont="1" applyFill="1" applyBorder="1" applyAlignment="1">
      <alignment vertical="center" textRotation="255"/>
    </xf>
    <xf numFmtId="0" fontId="1" fillId="4" borderId="14" xfId="0" applyFont="1" applyFill="1" applyBorder="1" applyAlignment="1">
      <alignment vertical="top"/>
    </xf>
    <xf numFmtId="0" fontId="1" fillId="2" borderId="1" xfId="0" applyFont="1" applyFill="1" applyBorder="1" applyAlignment="1">
      <alignment horizontal="center" vertical="center" wrapText="1"/>
    </xf>
    <xf numFmtId="0" fontId="1" fillId="2" borderId="1" xfId="0" applyFont="1" applyFill="1" applyBorder="1" applyAlignment="1">
      <alignment vertical="center" wrapText="1"/>
    </xf>
    <xf numFmtId="0" fontId="1" fillId="2" borderId="19" xfId="0" applyFont="1" applyFill="1" applyBorder="1" applyAlignment="1">
      <alignment horizontal="left" vertical="center" wrapText="1"/>
    </xf>
    <xf numFmtId="0" fontId="1" fillId="2" borderId="19" xfId="0" applyFont="1" applyFill="1" applyBorder="1" applyAlignment="1">
      <alignment horizontal="left" vertical="center"/>
    </xf>
    <xf numFmtId="0" fontId="2" fillId="8" borderId="35" xfId="0" applyFont="1" applyFill="1" applyBorder="1" applyAlignment="1">
      <alignment horizontal="center" vertical="center"/>
    </xf>
    <xf numFmtId="0" fontId="2" fillId="15" borderId="62" xfId="0" applyFont="1" applyFill="1" applyBorder="1" applyAlignment="1">
      <alignment horizontal="center" vertical="center"/>
    </xf>
    <xf numFmtId="0" fontId="1" fillId="14" borderId="22" xfId="0" applyFont="1" applyFill="1" applyBorder="1" applyAlignment="1">
      <alignment horizontal="center" vertical="center"/>
    </xf>
    <xf numFmtId="0" fontId="1" fillId="14" borderId="64" xfId="0" applyFont="1" applyFill="1" applyBorder="1" applyAlignment="1">
      <alignment horizontal="left" vertical="center" wrapText="1"/>
    </xf>
    <xf numFmtId="0" fontId="1" fillId="2" borderId="16" xfId="0" applyFont="1" applyFill="1" applyBorder="1" applyAlignment="1">
      <alignment horizontal="center" vertical="center"/>
    </xf>
    <xf numFmtId="0" fontId="1" fillId="2" borderId="17" xfId="0" applyFont="1" applyFill="1" applyBorder="1" applyAlignment="1">
      <alignment horizontal="left" vertical="center" wrapText="1"/>
    </xf>
    <xf numFmtId="0" fontId="1" fillId="2" borderId="24" xfId="0" applyFont="1" applyFill="1" applyBorder="1" applyAlignment="1">
      <alignment horizontal="left" vertical="center"/>
    </xf>
    <xf numFmtId="0" fontId="1" fillId="2" borderId="16" xfId="0" applyFont="1" applyFill="1" applyBorder="1" applyAlignment="1">
      <alignment vertical="center"/>
    </xf>
    <xf numFmtId="0" fontId="1" fillId="2" borderId="1" xfId="0" applyFont="1" applyFill="1" applyBorder="1" applyAlignment="1">
      <alignment vertical="center"/>
    </xf>
    <xf numFmtId="0" fontId="1" fillId="2" borderId="23" xfId="0" applyFont="1" applyFill="1" applyBorder="1" applyAlignment="1">
      <alignment vertical="center"/>
    </xf>
    <xf numFmtId="0" fontId="2" fillId="8" borderId="17" xfId="0" applyFont="1" applyFill="1" applyBorder="1" applyAlignment="1">
      <alignment horizontal="center" vertical="center"/>
    </xf>
    <xf numFmtId="0" fontId="1" fillId="2" borderId="60" xfId="0" applyFont="1" applyFill="1" applyBorder="1" applyAlignment="1">
      <alignment horizontal="left" vertical="center"/>
    </xf>
    <xf numFmtId="0" fontId="1"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1" fillId="2" borderId="44" xfId="0" applyFont="1" applyFill="1" applyBorder="1" applyAlignment="1">
      <alignment horizontal="left" vertical="center"/>
    </xf>
    <xf numFmtId="0" fontId="1" fillId="14" borderId="22" xfId="0" applyFont="1" applyFill="1" applyBorder="1" applyAlignment="1">
      <alignment horizontal="left" vertical="center"/>
    </xf>
    <xf numFmtId="0" fontId="1" fillId="14" borderId="51" xfId="0" applyFont="1" applyFill="1" applyBorder="1" applyAlignment="1">
      <alignment horizontal="center" vertical="center" textRotation="90"/>
    </xf>
    <xf numFmtId="0" fontId="1" fillId="2" borderId="17" xfId="0" applyFont="1" applyFill="1" applyBorder="1" applyAlignment="1">
      <alignment vertical="center" wrapText="1"/>
    </xf>
    <xf numFmtId="0" fontId="1" fillId="2" borderId="19" xfId="0" applyFont="1" applyFill="1" applyBorder="1" applyAlignment="1">
      <alignment vertical="center"/>
    </xf>
    <xf numFmtId="0" fontId="1" fillId="2" borderId="19" xfId="0" applyFont="1" applyFill="1" applyBorder="1" applyAlignment="1">
      <alignment vertical="center" wrapText="1"/>
    </xf>
    <xf numFmtId="0" fontId="1" fillId="2" borderId="24" xfId="0" applyFont="1" applyFill="1" applyBorder="1" applyAlignment="1">
      <alignment vertical="center"/>
    </xf>
    <xf numFmtId="0" fontId="1" fillId="6" borderId="1" xfId="0" applyFont="1" applyFill="1" applyBorder="1" applyAlignment="1">
      <alignment vertical="center"/>
    </xf>
    <xf numFmtId="0" fontId="1" fillId="6" borderId="23" xfId="0" applyFont="1" applyFill="1" applyBorder="1" applyAlignment="1">
      <alignment horizontal="center" vertical="center"/>
    </xf>
    <xf numFmtId="0" fontId="1" fillId="6" borderId="24" xfId="0" applyFont="1" applyFill="1" applyBorder="1" applyAlignment="1">
      <alignment vertical="center"/>
    </xf>
    <xf numFmtId="0" fontId="1" fillId="7" borderId="17" xfId="0" applyFont="1" applyFill="1" applyBorder="1" applyAlignment="1">
      <alignment vertical="center"/>
    </xf>
    <xf numFmtId="0" fontId="1" fillId="7" borderId="23" xfId="0" applyFont="1" applyFill="1" applyBorder="1" applyAlignment="1">
      <alignment horizontal="center" vertical="center"/>
    </xf>
    <xf numFmtId="0" fontId="1" fillId="7" borderId="24" xfId="0" applyFont="1" applyFill="1" applyBorder="1" applyAlignment="1">
      <alignment vertical="center"/>
    </xf>
    <xf numFmtId="0" fontId="2" fillId="12" borderId="19" xfId="0" applyFont="1" applyFill="1" applyBorder="1" applyAlignment="1">
      <alignment horizontal="center" vertical="center"/>
    </xf>
    <xf numFmtId="0" fontId="2" fillId="13" borderId="19" xfId="0" applyFont="1" applyFill="1" applyBorder="1" applyAlignment="1">
      <alignment horizontal="center" vertical="center"/>
    </xf>
    <xf numFmtId="0" fontId="2" fillId="16" borderId="52" xfId="0" applyFont="1" applyFill="1" applyBorder="1" applyAlignment="1">
      <alignment horizontal="center" vertical="center"/>
    </xf>
    <xf numFmtId="0" fontId="1" fillId="6" borderId="19" xfId="0" applyFont="1" applyFill="1" applyBorder="1" applyAlignment="1">
      <alignment vertical="center" wrapText="1"/>
    </xf>
    <xf numFmtId="0" fontId="1" fillId="7" borderId="19" xfId="0" applyFont="1" applyFill="1" applyBorder="1" applyAlignment="1">
      <alignment vertical="center" wrapText="1"/>
    </xf>
    <xf numFmtId="0" fontId="3" fillId="16" borderId="15" xfId="0" applyFont="1" applyFill="1" applyBorder="1" applyAlignment="1">
      <alignment horizontal="center" vertical="center"/>
    </xf>
    <xf numFmtId="0" fontId="3" fillId="16" borderId="40" xfId="0" applyFont="1" applyFill="1" applyBorder="1" applyAlignment="1">
      <alignment horizontal="center" vertical="center"/>
    </xf>
    <xf numFmtId="0" fontId="3" fillId="16" borderId="41" xfId="0" applyFont="1" applyFill="1" applyBorder="1" applyAlignment="1">
      <alignment horizontal="center" vertical="center"/>
    </xf>
    <xf numFmtId="0" fontId="2" fillId="26" borderId="17" xfId="0" applyFont="1" applyFill="1" applyBorder="1" applyAlignment="1">
      <alignment vertical="center"/>
    </xf>
    <xf numFmtId="0" fontId="2" fillId="26" borderId="58" xfId="0" applyFont="1" applyFill="1" applyBorder="1" applyAlignment="1">
      <alignment vertical="center"/>
    </xf>
    <xf numFmtId="0" fontId="2" fillId="26" borderId="35" xfId="0" applyFont="1" applyFill="1" applyBorder="1" applyAlignment="1">
      <alignment horizontal="left" vertical="center"/>
    </xf>
    <xf numFmtId="0" fontId="2" fillId="26" borderId="61" xfId="0" applyFont="1" applyFill="1" applyBorder="1" applyAlignment="1">
      <alignment horizontal="left" vertical="center"/>
    </xf>
    <xf numFmtId="0" fontId="2" fillId="26" borderId="27" xfId="0" applyFont="1" applyFill="1" applyBorder="1" applyAlignment="1">
      <alignment vertical="center"/>
    </xf>
    <xf numFmtId="0" fontId="2" fillId="26" borderId="24" xfId="0" applyFont="1" applyFill="1" applyBorder="1" applyAlignment="1">
      <alignment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7" borderId="16" xfId="0" applyFont="1" applyFill="1" applyBorder="1" applyAlignment="1">
      <alignment horizontal="center" vertical="center" wrapText="1"/>
    </xf>
    <xf numFmtId="0" fontId="1" fillId="2" borderId="63" xfId="0" applyFont="1" applyFill="1" applyBorder="1" applyAlignment="1">
      <alignment horizontal="center" vertical="center"/>
    </xf>
    <xf numFmtId="0" fontId="1" fillId="2" borderId="60" xfId="0" applyFont="1" applyFill="1" applyBorder="1" applyAlignment="1">
      <alignment vertical="center"/>
    </xf>
    <xf numFmtId="0" fontId="1" fillId="27" borderId="1"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22" xfId="0" applyFont="1" applyFill="1" applyBorder="1" applyAlignment="1">
      <alignment horizontal="center" vertical="center"/>
    </xf>
    <xf numFmtId="0" fontId="1" fillId="14" borderId="63" xfId="0" applyFont="1" applyFill="1" applyBorder="1" applyAlignment="1">
      <alignment horizontal="center" vertical="center" wrapText="1"/>
    </xf>
    <xf numFmtId="0" fontId="1" fillId="14" borderId="45" xfId="0" applyFont="1" applyFill="1" applyBorder="1" applyAlignment="1">
      <alignment horizontal="center" vertical="center" textRotation="90"/>
    </xf>
    <xf numFmtId="0" fontId="1" fillId="6" borderId="40" xfId="0" applyFont="1" applyFill="1" applyBorder="1" applyAlignment="1">
      <alignment horizontal="center" vertical="center"/>
    </xf>
    <xf numFmtId="0" fontId="1" fillId="6" borderId="63" xfId="0" applyFont="1" applyFill="1" applyBorder="1" applyAlignment="1">
      <alignment horizontal="center" vertical="center"/>
    </xf>
    <xf numFmtId="164" fontId="1" fillId="4" borderId="0" xfId="0" applyNumberFormat="1" applyFont="1" applyFill="1"/>
    <xf numFmtId="0" fontId="24" fillId="25" borderId="1" xfId="2" applyFont="1" applyFill="1" applyBorder="1" applyAlignment="1">
      <alignment horizontal="center" vertical="center" wrapText="1"/>
    </xf>
    <xf numFmtId="164" fontId="1" fillId="4" borderId="0" xfId="0" applyNumberFormat="1" applyFont="1" applyFill="1" applyBorder="1"/>
    <xf numFmtId="0" fontId="11" fillId="8" borderId="42" xfId="0" applyFont="1" applyFill="1" applyBorder="1" applyAlignment="1">
      <alignment horizontal="center" vertical="center"/>
    </xf>
    <xf numFmtId="0" fontId="11" fillId="12" borderId="59" xfId="0" applyFont="1" applyFill="1" applyBorder="1" applyAlignment="1">
      <alignment horizontal="center" vertical="center"/>
    </xf>
    <xf numFmtId="0" fontId="11" fillId="13" borderId="59" xfId="0" applyFont="1" applyFill="1" applyBorder="1" applyAlignment="1">
      <alignment horizontal="center" vertical="center"/>
    </xf>
    <xf numFmtId="0" fontId="11" fillId="15" borderId="59" xfId="0" applyFont="1" applyFill="1" applyBorder="1" applyAlignment="1">
      <alignment horizontal="center" vertical="center"/>
    </xf>
    <xf numFmtId="0" fontId="11" fillId="16" borderId="43" xfId="0" applyFont="1" applyFill="1" applyBorder="1" applyAlignment="1">
      <alignment horizontal="center" vertical="center"/>
    </xf>
    <xf numFmtId="0" fontId="1" fillId="4" borderId="1" xfId="0" applyFont="1" applyFill="1" applyBorder="1" applyAlignment="1">
      <alignment horizontal="center" vertical="center"/>
    </xf>
    <xf numFmtId="0" fontId="1" fillId="6" borderId="31" xfId="0" applyFont="1" applyFill="1" applyBorder="1" applyAlignment="1">
      <alignment horizontal="center" vertical="center"/>
    </xf>
    <xf numFmtId="0" fontId="1" fillId="6" borderId="32" xfId="0" applyFont="1" applyFill="1" applyBorder="1" applyAlignment="1">
      <alignment vertical="center" wrapText="1"/>
    </xf>
    <xf numFmtId="0" fontId="1" fillId="2" borderId="24" xfId="0" applyFont="1" applyFill="1" applyBorder="1" applyAlignment="1">
      <alignment vertical="center" wrapText="1"/>
    </xf>
    <xf numFmtId="0" fontId="1" fillId="2" borderId="1" xfId="0" applyFont="1" applyFill="1" applyBorder="1" applyAlignment="1">
      <alignment horizontal="center" vertical="center"/>
    </xf>
    <xf numFmtId="0" fontId="1" fillId="6" borderId="1" xfId="0" applyFont="1" applyFill="1" applyBorder="1" applyAlignment="1">
      <alignment horizontal="center" vertical="center"/>
    </xf>
    <xf numFmtId="0" fontId="0" fillId="4" borderId="0" xfId="0" applyFill="1"/>
    <xf numFmtId="0" fontId="1" fillId="10" borderId="1" xfId="0" applyFont="1" applyFill="1" applyBorder="1" applyAlignment="1">
      <alignment horizontal="center" vertical="center"/>
    </xf>
    <xf numFmtId="0" fontId="12" fillId="11" borderId="2" xfId="0" applyFont="1" applyFill="1" applyBorder="1" applyAlignment="1">
      <alignment horizontal="center"/>
    </xf>
    <xf numFmtId="0" fontId="12" fillId="11" borderId="4" xfId="0" applyFont="1" applyFill="1" applyBorder="1" applyAlignment="1">
      <alignment horizontal="center"/>
    </xf>
    <xf numFmtId="0" fontId="1" fillId="0" borderId="1" xfId="0" applyFont="1" applyFill="1" applyBorder="1" applyAlignment="1">
      <alignment horizontal="center" vertical="center"/>
    </xf>
    <xf numFmtId="6" fontId="1" fillId="4" borderId="42" xfId="0" applyNumberFormat="1" applyFont="1" applyFill="1" applyBorder="1" applyAlignment="1">
      <alignment horizontal="right" vertical="center"/>
    </xf>
    <xf numFmtId="6" fontId="1" fillId="0" borderId="1" xfId="0" applyNumberFormat="1" applyFont="1" applyFill="1" applyBorder="1" applyAlignment="1">
      <alignment horizontal="right" vertical="center"/>
    </xf>
    <xf numFmtId="164" fontId="1" fillId="3" borderId="1" xfId="0" applyNumberFormat="1" applyFont="1" applyFill="1" applyBorder="1"/>
    <xf numFmtId="0" fontId="2" fillId="2" borderId="1" xfId="0" applyFont="1" applyFill="1" applyBorder="1" applyAlignment="1">
      <alignment horizontal="center" vertical="center"/>
    </xf>
    <xf numFmtId="0" fontId="1" fillId="7" borderId="1" xfId="0" applyFont="1" applyFill="1" applyBorder="1" applyAlignment="1">
      <alignment horizontal="left" vertical="center"/>
    </xf>
    <xf numFmtId="0" fontId="1" fillId="4"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4" borderId="1" xfId="0" applyFont="1" applyFill="1" applyBorder="1" applyAlignment="1">
      <alignment vertical="center"/>
    </xf>
    <xf numFmtId="0" fontId="1" fillId="4" borderId="16" xfId="0" applyFont="1" applyFill="1" applyBorder="1" applyAlignment="1">
      <alignment horizontal="center" vertical="center"/>
    </xf>
    <xf numFmtId="6" fontId="1" fillId="4" borderId="16" xfId="0" applyNumberFormat="1" applyFont="1" applyFill="1" applyBorder="1" applyAlignment="1">
      <alignment horizontal="right" vertical="center"/>
    </xf>
    <xf numFmtId="164" fontId="1" fillId="4" borderId="1" xfId="0" applyNumberFormat="1" applyFont="1" applyFill="1" applyBorder="1" applyAlignment="1">
      <alignment vertical="center"/>
    </xf>
    <xf numFmtId="6" fontId="1" fillId="4" borderId="1" xfId="0" applyNumberFormat="1" applyFont="1" applyFill="1" applyBorder="1" applyAlignment="1">
      <alignment horizontal="right" vertical="center"/>
    </xf>
    <xf numFmtId="0" fontId="1" fillId="2" borderId="1" xfId="0" applyFont="1" applyFill="1" applyBorder="1" applyAlignment="1">
      <alignment horizontal="center" vertical="center" wrapText="1"/>
    </xf>
    <xf numFmtId="0" fontId="1" fillId="4" borderId="42" xfId="0" applyFont="1" applyFill="1" applyBorder="1" applyAlignment="1">
      <alignment horizontal="center" vertical="center"/>
    </xf>
    <xf numFmtId="165" fontId="25" fillId="4" borderId="0" xfId="2" applyNumberFormat="1" applyFont="1" applyFill="1" applyBorder="1" applyAlignment="1">
      <alignment horizontal="left" vertical="center" shrinkToFit="1"/>
    </xf>
    <xf numFmtId="165" fontId="25" fillId="4" borderId="0" xfId="2" applyNumberFormat="1" applyFont="1" applyFill="1" applyBorder="1" applyAlignment="1">
      <alignment horizontal="right" vertical="center" shrinkToFit="1"/>
    </xf>
    <xf numFmtId="165" fontId="25" fillId="4" borderId="0" xfId="2" applyNumberFormat="1" applyFont="1" applyFill="1" applyBorder="1" applyAlignment="1">
      <alignment horizontal="center" vertical="center" shrinkToFit="1"/>
    </xf>
    <xf numFmtId="165" fontId="25" fillId="4" borderId="0" xfId="2" applyNumberFormat="1" applyFont="1" applyFill="1" applyBorder="1" applyAlignment="1">
      <alignment vertical="center" shrinkToFit="1"/>
    </xf>
    <xf numFmtId="165" fontId="26" fillId="4" borderId="0" xfId="2" applyNumberFormat="1" applyFont="1" applyFill="1" applyBorder="1" applyAlignment="1"/>
    <xf numFmtId="165" fontId="25" fillId="29" borderId="0" xfId="2" applyNumberFormat="1" applyFont="1" applyFill="1" applyBorder="1" applyAlignment="1">
      <alignment vertical="center" shrinkToFit="1"/>
    </xf>
    <xf numFmtId="0" fontId="27" fillId="4" borderId="0" xfId="2" applyFont="1" applyFill="1" applyBorder="1"/>
    <xf numFmtId="0" fontId="25" fillId="4" borderId="0" xfId="2" applyFont="1" applyFill="1" applyBorder="1" applyAlignment="1">
      <alignment horizontal="center" vertical="center" shrinkToFit="1"/>
    </xf>
    <xf numFmtId="0" fontId="25" fillId="4" borderId="0" xfId="2" applyFont="1" applyFill="1" applyBorder="1" applyAlignment="1">
      <alignment horizontal="right" vertical="center" shrinkToFit="1"/>
    </xf>
    <xf numFmtId="165" fontId="29" fillId="0" borderId="1" xfId="0" applyNumberFormat="1" applyFont="1" applyBorder="1" applyAlignment="1">
      <alignment horizontal="left" vertical="center" shrinkToFit="1"/>
    </xf>
    <xf numFmtId="0" fontId="27" fillId="4" borderId="0" xfId="0" applyFont="1" applyFill="1" applyBorder="1"/>
    <xf numFmtId="165" fontId="29" fillId="4" borderId="0" xfId="0" applyNumberFormat="1" applyFont="1" applyFill="1" applyBorder="1" applyAlignment="1">
      <alignment horizontal="left" vertical="center" shrinkToFit="1"/>
    </xf>
    <xf numFmtId="165" fontId="25" fillId="4" borderId="0" xfId="0" applyNumberFormat="1" applyFont="1" applyFill="1" applyBorder="1" applyAlignment="1">
      <alignment horizontal="right" vertical="center" shrinkToFit="1"/>
    </xf>
    <xf numFmtId="165" fontId="25" fillId="4" borderId="0" xfId="0" applyNumberFormat="1" applyFont="1" applyFill="1" applyBorder="1" applyAlignment="1">
      <alignment horizontal="center" vertical="center" shrinkToFit="1"/>
    </xf>
    <xf numFmtId="165" fontId="25" fillId="4" borderId="0" xfId="0" applyNumberFormat="1" applyFont="1" applyFill="1" applyBorder="1" applyAlignment="1">
      <alignment vertical="center" shrinkToFit="1"/>
    </xf>
    <xf numFmtId="165" fontId="26" fillId="4" borderId="0" xfId="0" applyNumberFormat="1" applyFont="1" applyFill="1" applyBorder="1"/>
    <xf numFmtId="165" fontId="25" fillId="29" borderId="0" xfId="0" applyNumberFormat="1" applyFont="1" applyFill="1" applyBorder="1" applyAlignment="1">
      <alignment vertical="center" shrinkToFit="1"/>
    </xf>
    <xf numFmtId="166" fontId="25" fillId="29" borderId="0" xfId="0" applyNumberFormat="1" applyFont="1" applyFill="1" applyBorder="1" applyAlignment="1">
      <alignment horizontal="center" vertical="center" shrinkToFit="1"/>
    </xf>
    <xf numFmtId="165" fontId="29" fillId="0" borderId="1" xfId="0" applyNumberFormat="1" applyFont="1" applyBorder="1" applyAlignment="1">
      <alignment vertical="center" shrinkToFit="1"/>
    </xf>
    <xf numFmtId="165" fontId="29" fillId="0" borderId="1" xfId="0" applyNumberFormat="1" applyFont="1" applyBorder="1" applyAlignment="1">
      <alignment horizontal="center" vertical="center" shrinkToFit="1"/>
    </xf>
    <xf numFmtId="165" fontId="29" fillId="0" borderId="1" xfId="0" applyNumberFormat="1" applyFont="1" applyBorder="1" applyAlignment="1">
      <alignment horizontal="right" vertical="center" shrinkToFit="1"/>
    </xf>
    <xf numFmtId="165" fontId="30" fillId="0" borderId="1" xfId="0" applyNumberFormat="1" applyFont="1" applyBorder="1"/>
    <xf numFmtId="165" fontId="29" fillId="28" borderId="1" xfId="0" applyNumberFormat="1" applyFont="1" applyFill="1" applyBorder="1" applyAlignment="1">
      <alignment vertical="center" shrinkToFit="1"/>
    </xf>
    <xf numFmtId="0" fontId="31" fillId="0" borderId="1" xfId="0" applyFont="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vertical="center" wrapText="1"/>
    </xf>
    <xf numFmtId="0" fontId="1" fillId="4" borderId="3" xfId="0" applyFont="1" applyFill="1" applyBorder="1" applyAlignment="1">
      <alignment vertical="center" wrapText="1"/>
    </xf>
    <xf numFmtId="0" fontId="1" fillId="4" borderId="4" xfId="0" applyFont="1" applyFill="1" applyBorder="1" applyAlignment="1">
      <alignment vertical="center" wrapText="1"/>
    </xf>
    <xf numFmtId="6" fontId="1" fillId="4" borderId="1" xfId="0" applyNumberFormat="1" applyFont="1" applyFill="1" applyBorder="1" applyAlignment="1">
      <alignment horizontal="right" vertical="center"/>
    </xf>
    <xf numFmtId="0" fontId="31" fillId="30" borderId="1" xfId="0" applyFont="1" applyFill="1" applyBorder="1" applyAlignment="1">
      <alignment horizontal="center" vertical="center"/>
    </xf>
    <xf numFmtId="0" fontId="31" fillId="30"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165" fontId="1" fillId="4" borderId="1" xfId="0" applyNumberFormat="1" applyFont="1" applyFill="1" applyBorder="1" applyAlignment="1">
      <alignment horizontal="center" vertical="center"/>
    </xf>
    <xf numFmtId="0" fontId="3" fillId="31" borderId="1" xfId="0" applyFont="1" applyFill="1" applyBorder="1" applyAlignment="1">
      <alignment vertical="center"/>
    </xf>
    <xf numFmtId="0" fontId="16" fillId="33" borderId="0" xfId="2" applyFont="1" applyFill="1" applyBorder="1" applyAlignment="1"/>
    <xf numFmtId="164" fontId="16" fillId="33" borderId="0" xfId="2" applyNumberFormat="1" applyFont="1" applyFill="1" applyBorder="1" applyAlignment="1">
      <alignment horizontal="right"/>
    </xf>
    <xf numFmtId="42" fontId="1" fillId="4" borderId="19" xfId="0" applyNumberFormat="1" applyFont="1" applyFill="1" applyBorder="1" applyAlignment="1">
      <alignment vertical="center"/>
    </xf>
    <xf numFmtId="165" fontId="29" fillId="6" borderId="1" xfId="0" applyNumberFormat="1" applyFont="1" applyFill="1" applyBorder="1" applyAlignment="1">
      <alignment horizontal="left" vertical="center" shrinkToFit="1"/>
    </xf>
    <xf numFmtId="165" fontId="29" fillId="35" borderId="1" xfId="0" applyNumberFormat="1" applyFont="1" applyFill="1" applyBorder="1" applyAlignment="1">
      <alignment vertical="center" shrinkToFit="1"/>
    </xf>
    <xf numFmtId="165" fontId="29" fillId="29" borderId="0" xfId="0" applyNumberFormat="1" applyFont="1" applyFill="1" applyBorder="1" applyAlignment="1">
      <alignment vertical="center" shrinkToFit="1"/>
    </xf>
    <xf numFmtId="0" fontId="1" fillId="4" borderId="13" xfId="0" applyFont="1" applyFill="1" applyBorder="1"/>
    <xf numFmtId="0" fontId="1" fillId="4" borderId="14" xfId="0" applyFont="1" applyFill="1" applyBorder="1"/>
    <xf numFmtId="0" fontId="1" fillId="4" borderId="46" xfId="0" applyFont="1" applyFill="1" applyBorder="1"/>
    <xf numFmtId="0" fontId="1" fillId="4" borderId="18" xfId="0" applyFont="1" applyFill="1" applyBorder="1"/>
    <xf numFmtId="0" fontId="2" fillId="4" borderId="47" xfId="0" applyFont="1" applyFill="1" applyBorder="1" applyAlignment="1">
      <alignment horizontal="center"/>
    </xf>
    <xf numFmtId="165" fontId="29" fillId="29" borderId="47" xfId="0" applyNumberFormat="1" applyFont="1" applyFill="1" applyBorder="1" applyAlignment="1">
      <alignment vertical="center" shrinkToFit="1"/>
    </xf>
    <xf numFmtId="0" fontId="1" fillId="4" borderId="20" xfId="0" applyFont="1" applyFill="1" applyBorder="1"/>
    <xf numFmtId="0" fontId="1" fillId="4" borderId="21" xfId="0" applyFont="1" applyFill="1" applyBorder="1"/>
    <xf numFmtId="0" fontId="1" fillId="4" borderId="48" xfId="0" applyFont="1" applyFill="1" applyBorder="1"/>
    <xf numFmtId="164" fontId="16" fillId="20" borderId="1" xfId="2" applyNumberFormat="1" applyFont="1" applyFill="1" applyBorder="1" applyAlignment="1"/>
    <xf numFmtId="165" fontId="29" fillId="2" borderId="1" xfId="0" applyNumberFormat="1" applyFont="1" applyFill="1" applyBorder="1" applyAlignment="1">
      <alignment horizontal="left" vertical="center" shrinkToFit="1"/>
    </xf>
    <xf numFmtId="165" fontId="29" fillId="2" borderId="1" xfId="0" applyNumberFormat="1" applyFont="1" applyFill="1" applyBorder="1" applyAlignment="1">
      <alignment horizontal="right" vertical="center" shrinkToFit="1"/>
    </xf>
    <xf numFmtId="165" fontId="29" fillId="2" borderId="1" xfId="0" applyNumberFormat="1" applyFont="1" applyFill="1" applyBorder="1" applyAlignment="1">
      <alignment horizontal="center" vertical="center" shrinkToFit="1"/>
    </xf>
    <xf numFmtId="165" fontId="29" fillId="2" borderId="1" xfId="0" applyNumberFormat="1" applyFont="1" applyFill="1" applyBorder="1" applyAlignment="1">
      <alignment vertical="center" shrinkToFit="1"/>
    </xf>
    <xf numFmtId="165" fontId="30" fillId="2" borderId="1" xfId="0" applyNumberFormat="1" applyFont="1" applyFill="1" applyBorder="1"/>
    <xf numFmtId="165" fontId="29" fillId="37" borderId="1" xfId="0" applyNumberFormat="1" applyFont="1" applyFill="1" applyBorder="1" applyAlignment="1">
      <alignment vertical="center" shrinkToFit="1"/>
    </xf>
    <xf numFmtId="165" fontId="1" fillId="2" borderId="1" xfId="0" applyNumberFormat="1" applyFont="1" applyFill="1" applyBorder="1" applyAlignment="1">
      <alignment vertical="center"/>
    </xf>
    <xf numFmtId="164" fontId="1" fillId="4" borderId="0" xfId="0" applyNumberFormat="1" applyFont="1" applyFill="1" applyBorder="1" applyAlignment="1">
      <alignment vertical="center"/>
    </xf>
    <xf numFmtId="164" fontId="1" fillId="2" borderId="1" xfId="0" applyNumberFormat="1" applyFont="1" applyFill="1" applyBorder="1" applyAlignment="1">
      <alignment horizontal="center" vertical="center"/>
    </xf>
    <xf numFmtId="0" fontId="1" fillId="38" borderId="1" xfId="0" applyFont="1" applyFill="1" applyBorder="1" applyAlignment="1">
      <alignment horizontal="center" vertical="center"/>
    </xf>
    <xf numFmtId="0" fontId="1" fillId="38" borderId="1" xfId="0" applyFont="1" applyFill="1" applyBorder="1" applyAlignment="1">
      <alignment horizontal="center" vertical="center" wrapText="1"/>
    </xf>
    <xf numFmtId="164" fontId="1" fillId="38" borderId="1" xfId="0" applyNumberFormat="1" applyFont="1" applyFill="1" applyBorder="1" applyAlignment="1">
      <alignment horizontal="center" vertical="center" wrapText="1"/>
    </xf>
    <xf numFmtId="164" fontId="1" fillId="38" borderId="1" xfId="0" applyNumberFormat="1" applyFont="1" applyFill="1" applyBorder="1" applyAlignment="1">
      <alignment horizontal="center" vertical="center"/>
    </xf>
    <xf numFmtId="164" fontId="1" fillId="6" borderId="1" xfId="0" applyNumberFormat="1" applyFont="1" applyFill="1" applyBorder="1" applyAlignment="1">
      <alignment horizontal="center" vertical="center"/>
    </xf>
    <xf numFmtId="0" fontId="1" fillId="7" borderId="1" xfId="0" applyFont="1" applyFill="1" applyBorder="1" applyAlignment="1">
      <alignment horizontal="center" vertical="center" textRotation="90"/>
    </xf>
    <xf numFmtId="0" fontId="1" fillId="7" borderId="1" xfId="0" applyFont="1" applyFill="1" applyBorder="1" applyAlignment="1">
      <alignment vertical="center"/>
    </xf>
    <xf numFmtId="0" fontId="1" fillId="7" borderId="1" xfId="0" applyFont="1" applyFill="1" applyBorder="1" applyAlignment="1">
      <alignment horizontal="center" vertical="center" wrapText="1"/>
    </xf>
    <xf numFmtId="164" fontId="1" fillId="7" borderId="1" xfId="0" applyNumberFormat="1" applyFont="1" applyFill="1" applyBorder="1" applyAlignment="1">
      <alignment horizontal="center" vertical="center"/>
    </xf>
    <xf numFmtId="0" fontId="1" fillId="14" borderId="1" xfId="0" applyFont="1" applyFill="1" applyBorder="1" applyAlignment="1">
      <alignment horizontal="center" vertical="center"/>
    </xf>
    <xf numFmtId="0" fontId="1" fillId="14" borderId="1" xfId="0" applyFont="1" applyFill="1" applyBorder="1" applyAlignment="1">
      <alignment horizontal="center" vertical="center" wrapText="1"/>
    </xf>
    <xf numFmtId="164" fontId="1" fillId="14" borderId="1" xfId="0" applyNumberFormat="1" applyFont="1" applyFill="1" applyBorder="1" applyAlignment="1">
      <alignment horizontal="center" vertical="center"/>
    </xf>
    <xf numFmtId="0" fontId="1" fillId="2" borderId="1" xfId="0" applyFont="1" applyFill="1" applyBorder="1" applyAlignment="1">
      <alignment horizontal="center" vertical="center" textRotation="90"/>
    </xf>
    <xf numFmtId="0" fontId="1" fillId="6" borderId="1" xfId="0" applyFont="1" applyFill="1" applyBorder="1" applyAlignment="1">
      <alignment vertical="center" wrapText="1"/>
    </xf>
    <xf numFmtId="0" fontId="1" fillId="6" borderId="42" xfId="0" applyFont="1" applyFill="1" applyBorder="1" applyAlignment="1">
      <alignment horizontal="center" vertical="center"/>
    </xf>
    <xf numFmtId="164" fontId="1" fillId="7" borderId="1" xfId="0" applyNumberFormat="1" applyFont="1" applyFill="1" applyBorder="1" applyAlignment="1">
      <alignment horizontal="right" vertical="center"/>
    </xf>
    <xf numFmtId="164" fontId="1" fillId="14" borderId="1" xfId="0" applyNumberFormat="1" applyFont="1" applyFill="1" applyBorder="1" applyAlignment="1">
      <alignment horizontal="right" vertical="center"/>
    </xf>
    <xf numFmtId="164" fontId="1" fillId="2" borderId="1" xfId="0" applyNumberFormat="1" applyFont="1" applyFill="1" applyBorder="1" applyAlignment="1">
      <alignment horizontal="center"/>
    </xf>
    <xf numFmtId="164" fontId="1" fillId="6" borderId="1" xfId="0" applyNumberFormat="1" applyFont="1" applyFill="1" applyBorder="1" applyAlignment="1">
      <alignment horizontal="center"/>
    </xf>
    <xf numFmtId="0" fontId="1" fillId="42" borderId="1" xfId="0" applyFont="1" applyFill="1" applyBorder="1"/>
    <xf numFmtId="0" fontId="2" fillId="16" borderId="1" xfId="0" applyFont="1" applyFill="1" applyBorder="1" applyAlignment="1">
      <alignment horizontal="center" vertical="center"/>
    </xf>
    <xf numFmtId="0" fontId="2" fillId="16" borderId="42" xfId="0" applyFont="1" applyFill="1" applyBorder="1" applyAlignment="1">
      <alignment horizontal="center" vertical="center"/>
    </xf>
    <xf numFmtId="0" fontId="2" fillId="16" borderId="1" xfId="0" applyFont="1" applyFill="1" applyBorder="1"/>
    <xf numFmtId="164" fontId="2" fillId="8" borderId="1" xfId="0" applyNumberFormat="1" applyFont="1" applyFill="1" applyBorder="1"/>
    <xf numFmtId="164" fontId="2" fillId="12" borderId="1" xfId="0" applyNumberFormat="1" applyFont="1" applyFill="1" applyBorder="1" applyAlignment="1">
      <alignment horizontal="center" vertical="center"/>
    </xf>
    <xf numFmtId="0" fontId="2" fillId="16" borderId="42" xfId="0" applyFont="1" applyFill="1" applyBorder="1"/>
    <xf numFmtId="164" fontId="2" fillId="8" borderId="1" xfId="0" applyNumberFormat="1" applyFont="1" applyFill="1" applyBorder="1" applyAlignment="1">
      <alignment horizontal="center" vertical="center"/>
    </xf>
    <xf numFmtId="0" fontId="1" fillId="13" borderId="1" xfId="0" applyFont="1" applyFill="1" applyBorder="1"/>
    <xf numFmtId="164" fontId="1" fillId="13" borderId="1" xfId="0" applyNumberFormat="1" applyFont="1" applyFill="1" applyBorder="1"/>
    <xf numFmtId="0" fontId="1" fillId="9" borderId="1" xfId="0" applyFont="1" applyFill="1" applyBorder="1"/>
    <xf numFmtId="164" fontId="1" fillId="9" borderId="1" xfId="0" applyNumberFormat="1" applyFont="1" applyFill="1" applyBorder="1"/>
    <xf numFmtId="6" fontId="1" fillId="2" borderId="1" xfId="0" applyNumberFormat="1" applyFont="1" applyFill="1" applyBorder="1" applyAlignment="1">
      <alignment vertical="center"/>
    </xf>
    <xf numFmtId="164" fontId="1" fillId="2" borderId="1" xfId="0" applyNumberFormat="1" applyFont="1" applyFill="1" applyBorder="1" applyAlignment="1">
      <alignment vertical="center"/>
    </xf>
    <xf numFmtId="0" fontId="28" fillId="4" borderId="0" xfId="0" applyFont="1" applyFill="1" applyAlignment="1">
      <alignment vertical="center"/>
    </xf>
    <xf numFmtId="0" fontId="31" fillId="4" borderId="32" xfId="0" applyFont="1" applyFill="1" applyBorder="1" applyAlignment="1">
      <alignment horizontal="center" vertical="center"/>
    </xf>
    <xf numFmtId="0" fontId="28" fillId="4" borderId="19" xfId="0" applyFont="1" applyFill="1" applyBorder="1" applyAlignment="1">
      <alignment vertical="center"/>
    </xf>
    <xf numFmtId="0" fontId="28" fillId="4" borderId="24" xfId="0" applyFont="1" applyFill="1" applyBorder="1" applyAlignment="1">
      <alignment vertical="center"/>
    </xf>
    <xf numFmtId="0" fontId="28" fillId="4" borderId="17" xfId="0" applyFont="1" applyFill="1" applyBorder="1" applyAlignment="1">
      <alignment vertical="center"/>
    </xf>
    <xf numFmtId="0" fontId="28" fillId="4" borderId="1" xfId="0" applyFont="1" applyFill="1" applyBorder="1" applyAlignment="1">
      <alignment vertical="center"/>
    </xf>
    <xf numFmtId="0" fontId="28" fillId="4" borderId="67" xfId="0" applyFont="1" applyFill="1" applyBorder="1" applyAlignment="1">
      <alignment vertical="center"/>
    </xf>
    <xf numFmtId="0" fontId="28" fillId="4" borderId="17" xfId="1" applyFont="1" applyFill="1" applyBorder="1" applyAlignment="1">
      <alignment vertical="center"/>
    </xf>
    <xf numFmtId="0" fontId="28" fillId="4" borderId="19" xfId="1" applyFont="1" applyFill="1" applyBorder="1" applyAlignment="1">
      <alignment vertical="center"/>
    </xf>
    <xf numFmtId="0" fontId="28" fillId="4" borderId="1" xfId="1" applyFont="1" applyFill="1" applyBorder="1" applyAlignment="1">
      <alignment vertical="center"/>
    </xf>
    <xf numFmtId="0" fontId="28" fillId="0" borderId="1" xfId="1" applyFont="1" applyFill="1" applyBorder="1" applyAlignment="1">
      <alignment vertical="center"/>
    </xf>
    <xf numFmtId="164" fontId="1" fillId="4" borderId="16" xfId="0" applyNumberFormat="1" applyFont="1" applyFill="1" applyBorder="1" applyAlignment="1">
      <alignment vertical="center"/>
    </xf>
    <xf numFmtId="0" fontId="1" fillId="4"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2" borderId="1" xfId="0" applyFont="1" applyFill="1" applyBorder="1" applyAlignment="1">
      <alignment horizontal="center" vertical="center"/>
    </xf>
    <xf numFmtId="164" fontId="1" fillId="4" borderId="1" xfId="0" applyNumberFormat="1" applyFont="1" applyFill="1" applyBorder="1" applyAlignment="1">
      <alignment vertical="center"/>
    </xf>
    <xf numFmtId="0" fontId="1" fillId="2" borderId="23" xfId="0" applyFont="1" applyFill="1" applyBorder="1" applyAlignment="1">
      <alignment horizontal="center" vertical="center"/>
    </xf>
    <xf numFmtId="0" fontId="2" fillId="4" borderId="1" xfId="0" applyFont="1" applyFill="1" applyBorder="1" applyAlignment="1">
      <alignment horizontal="center"/>
    </xf>
    <xf numFmtId="164" fontId="1" fillId="6" borderId="4" xfId="0" applyNumberFormat="1" applyFont="1" applyFill="1" applyBorder="1"/>
    <xf numFmtId="164" fontId="1" fillId="3" borderId="4" xfId="0" applyNumberFormat="1" applyFont="1" applyFill="1" applyBorder="1"/>
    <xf numFmtId="164" fontId="1" fillId="7" borderId="1" xfId="0" applyNumberFormat="1" applyFont="1" applyFill="1" applyBorder="1"/>
    <xf numFmtId="164" fontId="1" fillId="7" borderId="4" xfId="0" applyNumberFormat="1" applyFont="1" applyFill="1" applyBorder="1"/>
    <xf numFmtId="164" fontId="1" fillId="10" borderId="16" xfId="0" applyNumberFormat="1" applyFont="1" applyFill="1" applyBorder="1"/>
    <xf numFmtId="164" fontId="1" fillId="10" borderId="17" xfId="0" applyNumberFormat="1" applyFont="1" applyFill="1" applyBorder="1"/>
    <xf numFmtId="164" fontId="1" fillId="10" borderId="19" xfId="0" applyNumberFormat="1" applyFont="1" applyFill="1" applyBorder="1"/>
    <xf numFmtId="164" fontId="1" fillId="2" borderId="19" xfId="0" applyNumberFormat="1" applyFont="1" applyFill="1" applyBorder="1"/>
    <xf numFmtId="164" fontId="1" fillId="2" borderId="23" xfId="0" applyNumberFormat="1" applyFont="1" applyFill="1" applyBorder="1"/>
    <xf numFmtId="164" fontId="1" fillId="2" borderId="24" xfId="0" applyNumberFormat="1" applyFont="1" applyFill="1" applyBorder="1"/>
    <xf numFmtId="164" fontId="1" fillId="6" borderId="16" xfId="0" applyNumberFormat="1" applyFont="1" applyFill="1" applyBorder="1"/>
    <xf numFmtId="164" fontId="1" fillId="6" borderId="60" xfId="0" applyNumberFormat="1" applyFont="1" applyFill="1" applyBorder="1"/>
    <xf numFmtId="164" fontId="1" fillId="6" borderId="17" xfId="0" applyNumberFormat="1" applyFont="1" applyFill="1" applyBorder="1"/>
    <xf numFmtId="164" fontId="1" fillId="6" borderId="19" xfId="0" applyNumberFormat="1" applyFont="1" applyFill="1" applyBorder="1"/>
    <xf numFmtId="164" fontId="1" fillId="6" borderId="23" xfId="0" applyNumberFormat="1" applyFont="1" applyFill="1" applyBorder="1"/>
    <xf numFmtId="164" fontId="1" fillId="6" borderId="24" xfId="0" applyNumberFormat="1" applyFont="1" applyFill="1" applyBorder="1"/>
    <xf numFmtId="164" fontId="1" fillId="3" borderId="16" xfId="0" applyNumberFormat="1" applyFont="1" applyFill="1" applyBorder="1"/>
    <xf numFmtId="164" fontId="1" fillId="3" borderId="60" xfId="0" applyNumberFormat="1" applyFont="1" applyFill="1" applyBorder="1"/>
    <xf numFmtId="164" fontId="1" fillId="3" borderId="17" xfId="0" applyNumberFormat="1" applyFont="1" applyFill="1" applyBorder="1"/>
    <xf numFmtId="164" fontId="1" fillId="3" borderId="19" xfId="0" applyNumberFormat="1" applyFont="1" applyFill="1" applyBorder="1"/>
    <xf numFmtId="164" fontId="1" fillId="3" borderId="23" xfId="0" applyNumberFormat="1" applyFont="1" applyFill="1" applyBorder="1"/>
    <xf numFmtId="164" fontId="1" fillId="3" borderId="44" xfId="0" applyNumberFormat="1" applyFont="1" applyFill="1" applyBorder="1"/>
    <xf numFmtId="164" fontId="1" fillId="3" borderId="24" xfId="0" applyNumberFormat="1" applyFont="1" applyFill="1" applyBorder="1"/>
    <xf numFmtId="164" fontId="1" fillId="7" borderId="16" xfId="0" applyNumberFormat="1" applyFont="1" applyFill="1" applyBorder="1"/>
    <xf numFmtId="164" fontId="1" fillId="7" borderId="60" xfId="0" applyNumberFormat="1" applyFont="1" applyFill="1" applyBorder="1"/>
    <xf numFmtId="164" fontId="1" fillId="7" borderId="17" xfId="0" applyNumberFormat="1" applyFont="1" applyFill="1" applyBorder="1"/>
    <xf numFmtId="164" fontId="1" fillId="7" borderId="19" xfId="0" applyNumberFormat="1" applyFont="1" applyFill="1" applyBorder="1"/>
    <xf numFmtId="164" fontId="1" fillId="7" borderId="23" xfId="0" applyNumberFormat="1" applyFont="1" applyFill="1" applyBorder="1"/>
    <xf numFmtId="164" fontId="1" fillId="7" borderId="44" xfId="0" applyNumberFormat="1" applyFont="1" applyFill="1" applyBorder="1"/>
    <xf numFmtId="164" fontId="1" fillId="7" borderId="24" xfId="0" applyNumberFormat="1" applyFont="1" applyFill="1" applyBorder="1"/>
    <xf numFmtId="0" fontId="2" fillId="4" borderId="40" xfId="0" applyFont="1" applyFill="1" applyBorder="1" applyAlignment="1">
      <alignment horizontal="center"/>
    </xf>
    <xf numFmtId="0" fontId="2" fillId="4" borderId="41" xfId="0" applyFont="1" applyFill="1" applyBorder="1" applyAlignment="1">
      <alignment horizontal="center"/>
    </xf>
    <xf numFmtId="0" fontId="1" fillId="10" borderId="60" xfId="0" applyFont="1" applyFill="1" applyBorder="1"/>
    <xf numFmtId="0" fontId="1" fillId="10" borderId="4" xfId="0" applyFont="1" applyFill="1" applyBorder="1"/>
    <xf numFmtId="0" fontId="1" fillId="2" borderId="4" xfId="0" applyFont="1" applyFill="1" applyBorder="1"/>
    <xf numFmtId="0" fontId="1" fillId="2" borderId="44" xfId="0" applyFont="1" applyFill="1" applyBorder="1"/>
    <xf numFmtId="0" fontId="1" fillId="3" borderId="44" xfId="0" applyFont="1" applyFill="1" applyBorder="1"/>
    <xf numFmtId="0" fontId="1" fillId="7" borderId="60" xfId="0" applyFont="1" applyFill="1" applyBorder="1"/>
    <xf numFmtId="0" fontId="1" fillId="7" borderId="4" xfId="0" applyFont="1" applyFill="1" applyBorder="1"/>
    <xf numFmtId="0" fontId="1" fillId="10" borderId="16" xfId="0" applyFont="1" applyFill="1" applyBorder="1" applyAlignment="1">
      <alignment horizontal="center" vertical="center"/>
    </xf>
    <xf numFmtId="0" fontId="1" fillId="3" borderId="40" xfId="0" applyFont="1" applyFill="1" applyBorder="1" applyAlignment="1">
      <alignment horizontal="center" vertical="center"/>
    </xf>
    <xf numFmtId="0" fontId="1" fillId="3" borderId="42" xfId="0" applyFont="1" applyFill="1" applyBorder="1" applyAlignment="1">
      <alignment horizontal="center" vertical="center"/>
    </xf>
    <xf numFmtId="0" fontId="1" fillId="3" borderId="23" xfId="0" applyFont="1" applyFill="1" applyBorder="1" applyAlignment="1">
      <alignment horizontal="center" vertical="center"/>
    </xf>
    <xf numFmtId="0" fontId="1" fillId="7" borderId="40" xfId="0" applyFont="1" applyFill="1" applyBorder="1" applyAlignment="1">
      <alignment horizontal="center" vertical="center"/>
    </xf>
    <xf numFmtId="0" fontId="1" fillId="7" borderId="42" xfId="0" applyFont="1" applyFill="1" applyBorder="1" applyAlignment="1">
      <alignment horizontal="center" vertical="center"/>
    </xf>
    <xf numFmtId="164" fontId="1" fillId="4" borderId="0" xfId="0" applyNumberFormat="1" applyFont="1" applyFill="1" applyBorder="1" applyAlignment="1">
      <alignment horizontal="center" vertical="center"/>
    </xf>
    <xf numFmtId="0" fontId="1" fillId="4" borderId="0" xfId="0" applyNumberFormat="1" applyFont="1" applyFill="1" applyBorder="1"/>
    <xf numFmtId="0" fontId="1" fillId="4" borderId="1" xfId="0" applyFont="1" applyFill="1" applyBorder="1" applyAlignment="1">
      <alignment horizontal="right" vertical="center"/>
    </xf>
    <xf numFmtId="0" fontId="3" fillId="4" borderId="1" xfId="0" applyFont="1" applyFill="1" applyBorder="1" applyAlignment="1">
      <alignment horizontal="center" vertical="center"/>
    </xf>
    <xf numFmtId="0" fontId="3" fillId="4" borderId="1" xfId="0" applyFont="1" applyFill="1" applyBorder="1"/>
    <xf numFmtId="0" fontId="3" fillId="4" borderId="68" xfId="0" applyFont="1" applyFill="1" applyBorder="1" applyAlignment="1">
      <alignment horizontal="center" vertical="center"/>
    </xf>
    <xf numFmtId="164" fontId="1" fillId="4" borderId="0" xfId="0" applyNumberFormat="1" applyFont="1" applyFill="1" applyAlignment="1">
      <alignment vertical="center"/>
    </xf>
    <xf numFmtId="164" fontId="1" fillId="4" borderId="0" xfId="0" applyNumberFormat="1" applyFont="1" applyFill="1" applyAlignment="1">
      <alignment horizontal="center" vertical="center"/>
    </xf>
    <xf numFmtId="9" fontId="1" fillId="4" borderId="0" xfId="0" applyNumberFormat="1" applyFont="1" applyFill="1" applyAlignment="1">
      <alignment vertical="center"/>
    </xf>
    <xf numFmtId="0" fontId="1" fillId="6" borderId="1" xfId="0" applyFont="1" applyFill="1" applyBorder="1" applyAlignment="1">
      <alignment horizontal="center" vertical="center"/>
    </xf>
    <xf numFmtId="6" fontId="1" fillId="4" borderId="0" xfId="0" applyNumberFormat="1" applyFont="1" applyFill="1" applyAlignment="1">
      <alignment vertical="center"/>
    </xf>
    <xf numFmtId="8" fontId="1" fillId="4" borderId="0" xfId="0" applyNumberFormat="1" applyFont="1" applyFill="1" applyAlignment="1">
      <alignment vertical="center"/>
    </xf>
    <xf numFmtId="0" fontId="1" fillId="4" borderId="1" xfId="0" applyFont="1" applyFill="1" applyBorder="1" applyAlignment="1">
      <alignment horizontal="center" vertical="center"/>
    </xf>
    <xf numFmtId="164" fontId="1" fillId="4" borderId="1" xfId="0" applyNumberFormat="1" applyFont="1" applyFill="1" applyBorder="1" applyAlignment="1">
      <alignment vertical="center"/>
    </xf>
    <xf numFmtId="0" fontId="1" fillId="0" borderId="1" xfId="0" applyFont="1" applyBorder="1" applyAlignment="1">
      <alignment horizontal="center" vertical="center"/>
    </xf>
    <xf numFmtId="164" fontId="1" fillId="3" borderId="0" xfId="0" applyNumberFormat="1" applyFont="1" applyFill="1"/>
    <xf numFmtId="0" fontId="1" fillId="6" borderId="2" xfId="0" applyFont="1" applyFill="1" applyBorder="1" applyAlignment="1"/>
    <xf numFmtId="0" fontId="1" fillId="6" borderId="3" xfId="0" applyFont="1" applyFill="1" applyBorder="1" applyAlignment="1"/>
    <xf numFmtId="0" fontId="1" fillId="6" borderId="4" xfId="0" applyFont="1" applyFill="1" applyBorder="1" applyAlignment="1"/>
    <xf numFmtId="164" fontId="1" fillId="6" borderId="63" xfId="0" applyNumberFormat="1" applyFont="1" applyFill="1" applyBorder="1"/>
    <xf numFmtId="164" fontId="1" fillId="6" borderId="22" xfId="0" applyNumberFormat="1" applyFont="1" applyFill="1" applyBorder="1"/>
    <xf numFmtId="164" fontId="1" fillId="6" borderId="64" xfId="0" applyNumberFormat="1" applyFont="1" applyFill="1" applyBorder="1"/>
    <xf numFmtId="0" fontId="1" fillId="6" borderId="25" xfId="0" applyFont="1" applyFill="1" applyBorder="1"/>
    <xf numFmtId="0" fontId="1" fillId="6" borderId="26" xfId="0" applyFont="1" applyFill="1" applyBorder="1"/>
    <xf numFmtId="0" fontId="1" fillId="6" borderId="65" xfId="0" applyFont="1" applyFill="1" applyBorder="1"/>
    <xf numFmtId="0" fontId="1" fillId="6" borderId="27" xfId="0" applyFont="1" applyFill="1" applyBorder="1"/>
    <xf numFmtId="0" fontId="1" fillId="7" borderId="7" xfId="0" applyFont="1" applyFill="1" applyBorder="1"/>
    <xf numFmtId="164" fontId="1" fillId="7" borderId="42" xfId="0" applyNumberFormat="1" applyFont="1" applyFill="1" applyBorder="1"/>
    <xf numFmtId="164" fontId="1" fillId="7" borderId="7" xfId="0" applyNumberFormat="1" applyFont="1" applyFill="1" applyBorder="1"/>
    <xf numFmtId="164" fontId="1" fillId="7" borderId="58" xfId="0" applyNumberFormat="1" applyFont="1" applyFill="1" applyBorder="1"/>
    <xf numFmtId="0" fontId="1" fillId="7" borderId="25" xfId="0" applyFont="1" applyFill="1" applyBorder="1"/>
    <xf numFmtId="0" fontId="1" fillId="7" borderId="26" xfId="0" applyFont="1" applyFill="1" applyBorder="1"/>
    <xf numFmtId="0" fontId="1" fillId="7" borderId="27" xfId="0" applyFont="1" applyFill="1" applyBorder="1"/>
    <xf numFmtId="0" fontId="1" fillId="4"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7" borderId="1" xfId="0" applyFont="1" applyFill="1" applyBorder="1" applyAlignment="1">
      <alignment horizontal="center" vertical="center"/>
    </xf>
    <xf numFmtId="6" fontId="1" fillId="4" borderId="1" xfId="0" applyNumberFormat="1" applyFont="1" applyFill="1" applyBorder="1" applyAlignment="1">
      <alignment horizontal="right" vertical="center"/>
    </xf>
    <xf numFmtId="0" fontId="3" fillId="16" borderId="15" xfId="0" applyFont="1" applyFill="1" applyBorder="1" applyAlignment="1">
      <alignment horizontal="center" vertical="center"/>
    </xf>
    <xf numFmtId="0" fontId="3" fillId="16" borderId="40" xfId="0" applyFont="1" applyFill="1" applyBorder="1" applyAlignment="1">
      <alignment horizontal="center" vertical="center"/>
    </xf>
    <xf numFmtId="0" fontId="2" fillId="8" borderId="25" xfId="0" applyFont="1" applyFill="1" applyBorder="1" applyAlignment="1">
      <alignment horizontal="center" vertical="center"/>
    </xf>
    <xf numFmtId="0" fontId="2" fillId="12" borderId="26" xfId="0" applyFont="1" applyFill="1" applyBorder="1" applyAlignment="1">
      <alignment horizontal="center" vertical="center"/>
    </xf>
    <xf numFmtId="0" fontId="2" fillId="13" borderId="26" xfId="0" applyFont="1" applyFill="1" applyBorder="1" applyAlignment="1">
      <alignment horizontal="center" vertical="center"/>
    </xf>
    <xf numFmtId="0" fontId="2" fillId="26" borderId="25" xfId="0" applyFont="1" applyFill="1" applyBorder="1" applyAlignment="1">
      <alignment vertical="center"/>
    </xf>
    <xf numFmtId="0" fontId="2" fillId="26" borderId="57" xfId="0" applyFont="1" applyFill="1" applyBorder="1" applyAlignment="1">
      <alignment vertical="center"/>
    </xf>
    <xf numFmtId="0" fontId="3" fillId="16" borderId="39" xfId="0" applyFont="1" applyFill="1" applyBorder="1" applyAlignment="1">
      <alignment horizontal="center" vertical="center"/>
    </xf>
    <xf numFmtId="0" fontId="1" fillId="2" borderId="23" xfId="0" applyFont="1" applyFill="1" applyBorder="1" applyAlignment="1">
      <alignment horizontal="center" vertical="center"/>
    </xf>
    <xf numFmtId="0" fontId="1" fillId="2" borderId="19" xfId="0" applyFont="1" applyFill="1" applyBorder="1" applyAlignment="1">
      <alignment horizontal="left" vertical="center"/>
    </xf>
    <xf numFmtId="0" fontId="1" fillId="2" borderId="1" xfId="0" applyFont="1" applyFill="1" applyBorder="1" applyAlignment="1">
      <alignment horizontal="center" vertical="center" wrapText="1"/>
    </xf>
    <xf numFmtId="0" fontId="1" fillId="2" borderId="4" xfId="0" applyFont="1" applyFill="1" applyBorder="1" applyAlignment="1">
      <alignment vertical="center"/>
    </xf>
    <xf numFmtId="0" fontId="1" fillId="2" borderId="4" xfId="0" applyFont="1" applyFill="1" applyBorder="1" applyAlignment="1">
      <alignment vertical="center" wrapText="1"/>
    </xf>
    <xf numFmtId="0" fontId="1" fillId="4" borderId="59" xfId="0" applyFont="1" applyFill="1" applyBorder="1" applyAlignment="1">
      <alignment horizontal="center" vertical="center"/>
    </xf>
    <xf numFmtId="164" fontId="1" fillId="4" borderId="59" xfId="0" applyNumberFormat="1" applyFont="1" applyFill="1" applyBorder="1" applyAlignment="1">
      <alignment vertical="center"/>
    </xf>
    <xf numFmtId="164" fontId="1" fillId="4" borderId="23" xfId="0" applyNumberFormat="1" applyFont="1" applyFill="1" applyBorder="1" applyAlignment="1">
      <alignment horizontal="right" vertical="center"/>
    </xf>
    <xf numFmtId="0" fontId="1" fillId="2"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4" borderId="0" xfId="0" applyFont="1" applyFill="1" applyBorder="1" applyAlignment="1">
      <alignment vertical="center"/>
    </xf>
    <xf numFmtId="0" fontId="1" fillId="2" borderId="1" xfId="0" applyFont="1" applyFill="1" applyBorder="1" applyAlignment="1">
      <alignment horizontal="center" vertical="center" wrapText="1"/>
    </xf>
    <xf numFmtId="0" fontId="1" fillId="27" borderId="1" xfId="0" applyFont="1" applyFill="1" applyBorder="1" applyAlignment="1">
      <alignment vertical="center"/>
    </xf>
    <xf numFmtId="0" fontId="3" fillId="16" borderId="31" xfId="0" applyFont="1" applyFill="1" applyBorder="1" applyAlignment="1">
      <alignment horizontal="center" vertical="center"/>
    </xf>
    <xf numFmtId="0" fontId="3" fillId="16" borderId="32" xfId="0" applyFont="1" applyFill="1" applyBorder="1" applyAlignment="1">
      <alignment horizontal="center" vertical="center"/>
    </xf>
    <xf numFmtId="0" fontId="1" fillId="2" borderId="23" xfId="0" applyFont="1" applyFill="1" applyBorder="1" applyAlignment="1">
      <alignment horizontal="center" vertical="center" wrapText="1"/>
    </xf>
    <xf numFmtId="0" fontId="1" fillId="14" borderId="54" xfId="0" applyFont="1" applyFill="1" applyBorder="1" applyAlignment="1">
      <alignment horizontal="center" vertical="center" textRotation="90"/>
    </xf>
    <xf numFmtId="0" fontId="1" fillId="14" borderId="31" xfId="0" applyFont="1" applyFill="1" applyBorder="1" applyAlignment="1">
      <alignment horizontal="left" vertical="center"/>
    </xf>
    <xf numFmtId="0" fontId="1" fillId="14" borderId="31" xfId="0" applyFont="1" applyFill="1" applyBorder="1" applyAlignment="1">
      <alignment horizontal="center" vertical="center"/>
    </xf>
    <xf numFmtId="0" fontId="1" fillId="14" borderId="31" xfId="0" applyFont="1" applyFill="1" applyBorder="1" applyAlignment="1">
      <alignment horizontal="center" vertical="center" wrapText="1"/>
    </xf>
    <xf numFmtId="0" fontId="1" fillId="14" borderId="32" xfId="0" applyFont="1" applyFill="1" applyBorder="1" applyAlignment="1">
      <alignment horizontal="left" vertical="center" wrapText="1"/>
    </xf>
    <xf numFmtId="0" fontId="2" fillId="15" borderId="19" xfId="0" applyFont="1" applyFill="1" applyBorder="1" applyAlignment="1">
      <alignment horizontal="center" vertical="center"/>
    </xf>
    <xf numFmtId="0" fontId="2" fillId="16" borderId="24" xfId="0" applyFont="1" applyFill="1" applyBorder="1" applyAlignment="1">
      <alignment horizontal="center" vertical="center"/>
    </xf>
    <xf numFmtId="0" fontId="3" fillId="16" borderId="54" xfId="0" applyFont="1" applyFill="1" applyBorder="1" applyAlignment="1">
      <alignment horizontal="center" vertical="center"/>
    </xf>
    <xf numFmtId="0" fontId="1" fillId="6" borderId="16" xfId="0" applyFont="1" applyFill="1" applyBorder="1" applyAlignment="1">
      <alignment horizontal="center" vertical="center"/>
    </xf>
    <xf numFmtId="0" fontId="1" fillId="6" borderId="17" xfId="0" applyFont="1" applyFill="1" applyBorder="1" applyAlignment="1">
      <alignment vertical="center"/>
    </xf>
    <xf numFmtId="0" fontId="2" fillId="15" borderId="26" xfId="0" applyFont="1" applyFill="1" applyBorder="1" applyAlignment="1">
      <alignment horizontal="center" vertical="center"/>
    </xf>
    <xf numFmtId="0" fontId="2" fillId="16" borderId="27" xfId="0" applyFont="1" applyFill="1" applyBorder="1" applyAlignment="1">
      <alignment horizontal="center" vertical="center"/>
    </xf>
    <xf numFmtId="0" fontId="1" fillId="2" borderId="44" xfId="0" applyFont="1" applyFill="1" applyBorder="1" applyAlignment="1">
      <alignment vertical="center"/>
    </xf>
    <xf numFmtId="0" fontId="1" fillId="7" borderId="60" xfId="0" applyFont="1" applyFill="1" applyBorder="1" applyAlignment="1">
      <alignment vertical="center"/>
    </xf>
    <xf numFmtId="0" fontId="1" fillId="7" borderId="44" xfId="0" applyFont="1" applyFill="1" applyBorder="1" applyAlignment="1">
      <alignment vertical="center"/>
    </xf>
    <xf numFmtId="0" fontId="1" fillId="14" borderId="30" xfId="0" applyFont="1" applyFill="1" applyBorder="1" applyAlignment="1">
      <alignment horizontal="left" vertical="center"/>
    </xf>
    <xf numFmtId="0" fontId="1" fillId="27" borderId="16" xfId="0" applyFont="1" applyFill="1" applyBorder="1" applyAlignment="1">
      <alignment horizontal="center" vertical="center"/>
    </xf>
    <xf numFmtId="0" fontId="1" fillId="6" borderId="17" xfId="0" applyFont="1" applyFill="1" applyBorder="1" applyAlignment="1">
      <alignment vertical="center" wrapText="1"/>
    </xf>
    <xf numFmtId="0" fontId="1" fillId="7" borderId="17" xfId="0" applyFont="1" applyFill="1" applyBorder="1" applyAlignment="1">
      <alignment vertical="center" wrapText="1"/>
    </xf>
    <xf numFmtId="0" fontId="1" fillId="6" borderId="30" xfId="0" applyFont="1" applyFill="1" applyBorder="1" applyAlignment="1">
      <alignment vertical="center"/>
    </xf>
    <xf numFmtId="0" fontId="1" fillId="7" borderId="4" xfId="0" applyFont="1" applyFill="1" applyBorder="1" applyAlignment="1">
      <alignment vertical="center"/>
    </xf>
    <xf numFmtId="0" fontId="1" fillId="6" borderId="45" xfId="0" applyFont="1" applyFill="1" applyBorder="1" applyAlignment="1">
      <alignment horizontal="center" vertical="center" textRotation="90"/>
    </xf>
    <xf numFmtId="0" fontId="2" fillId="8" borderId="37" xfId="0" applyFont="1" applyFill="1" applyBorder="1" applyAlignment="1">
      <alignment horizontal="center" vertical="center"/>
    </xf>
    <xf numFmtId="0" fontId="2" fillId="8" borderId="38" xfId="0" applyFont="1" applyFill="1" applyBorder="1" applyAlignment="1">
      <alignment horizontal="center" vertical="center"/>
    </xf>
    <xf numFmtId="0" fontId="1" fillId="7" borderId="31" xfId="0" applyFont="1" applyFill="1" applyBorder="1" applyAlignment="1">
      <alignment horizontal="center" vertical="center"/>
    </xf>
    <xf numFmtId="0" fontId="1" fillId="7" borderId="32" xfId="0" applyFont="1" applyFill="1" applyBorder="1" applyAlignment="1">
      <alignment vertical="center"/>
    </xf>
    <xf numFmtId="0" fontId="1" fillId="7" borderId="30" xfId="0" applyFont="1" applyFill="1" applyBorder="1" applyAlignment="1">
      <alignment vertical="center"/>
    </xf>
    <xf numFmtId="0" fontId="1" fillId="7" borderId="45" xfId="0" applyFont="1" applyFill="1" applyBorder="1" applyAlignment="1">
      <alignment horizontal="center" vertical="center" textRotation="90"/>
    </xf>
    <xf numFmtId="0" fontId="2" fillId="2" borderId="1" xfId="0" applyFont="1" applyFill="1" applyBorder="1" applyAlignment="1">
      <alignment horizontal="center" vertical="center"/>
    </xf>
    <xf numFmtId="0" fontId="1" fillId="4" borderId="1" xfId="0" applyFont="1" applyFill="1" applyBorder="1" applyAlignment="1">
      <alignment vertical="center"/>
    </xf>
    <xf numFmtId="0" fontId="1" fillId="2" borderId="1" xfId="0" applyFont="1" applyFill="1" applyBorder="1" applyAlignment="1">
      <alignment horizontal="center" vertical="center" wrapText="1"/>
    </xf>
    <xf numFmtId="0" fontId="1" fillId="27" borderId="1" xfId="0" applyFont="1" applyFill="1" applyBorder="1" applyAlignment="1">
      <alignment horizontal="center" vertical="center" wrapText="1"/>
    </xf>
    <xf numFmtId="0" fontId="2" fillId="4" borderId="0" xfId="0" applyFont="1" applyFill="1" applyBorder="1" applyAlignment="1">
      <alignment horizontal="center" vertical="center"/>
    </xf>
    <xf numFmtId="164" fontId="2" fillId="4" borderId="0" xfId="0" applyNumberFormat="1" applyFont="1" applyFill="1" applyBorder="1"/>
    <xf numFmtId="164" fontId="2" fillId="4" borderId="0" xfId="0" applyNumberFormat="1" applyFont="1" applyFill="1" applyBorder="1" applyAlignment="1">
      <alignment horizontal="center" vertical="center"/>
    </xf>
    <xf numFmtId="164" fontId="1" fillId="27" borderId="1" xfId="0" applyNumberFormat="1" applyFont="1" applyFill="1" applyBorder="1" applyAlignment="1">
      <alignment horizontal="center" vertical="center"/>
    </xf>
    <xf numFmtId="164" fontId="1" fillId="27" borderId="1" xfId="0" applyNumberFormat="1" applyFont="1" applyFill="1" applyBorder="1" applyAlignment="1">
      <alignment vertical="center"/>
    </xf>
    <xf numFmtId="164" fontId="1" fillId="6" borderId="1" xfId="0" applyNumberFormat="1" applyFont="1" applyFill="1" applyBorder="1" applyAlignment="1">
      <alignment vertical="center"/>
    </xf>
    <xf numFmtId="164" fontId="1" fillId="7" borderId="1" xfId="0" applyNumberFormat="1" applyFont="1" applyFill="1" applyBorder="1" applyAlignment="1">
      <alignment vertical="center"/>
    </xf>
    <xf numFmtId="0" fontId="1" fillId="4" borderId="1" xfId="0" applyFont="1" applyFill="1" applyBorder="1" applyAlignment="1">
      <alignment horizontal="center" vertical="center"/>
    </xf>
    <xf numFmtId="164" fontId="1" fillId="4" borderId="1" xfId="0" applyNumberFormat="1" applyFont="1" applyFill="1" applyBorder="1" applyAlignment="1">
      <alignment horizontal="left" vertical="center"/>
    </xf>
    <xf numFmtId="0" fontId="1" fillId="4" borderId="0" xfId="0" applyFont="1" applyFill="1" applyAlignment="1">
      <alignment horizontal="left" vertical="center"/>
    </xf>
    <xf numFmtId="0" fontId="1" fillId="4" borderId="1" xfId="0" applyFont="1" applyFill="1" applyBorder="1" applyAlignment="1">
      <alignment horizontal="center" vertical="center"/>
    </xf>
    <xf numFmtId="0" fontId="1" fillId="4" borderId="43" xfId="0" applyFont="1" applyFill="1" applyBorder="1" applyAlignment="1">
      <alignment horizontal="center" vertical="center"/>
    </xf>
    <xf numFmtId="0" fontId="1" fillId="4" borderId="0" xfId="0" applyFont="1" applyFill="1" applyAlignment="1">
      <alignment vertical="center"/>
    </xf>
    <xf numFmtId="0" fontId="1" fillId="4" borderId="0" xfId="0" applyFont="1" applyFill="1" applyBorder="1" applyAlignment="1">
      <alignment vertical="center"/>
    </xf>
    <xf numFmtId="6" fontId="1" fillId="4" borderId="0" xfId="0" applyNumberFormat="1" applyFont="1" applyFill="1" applyBorder="1" applyAlignment="1">
      <alignment vertical="center"/>
    </xf>
    <xf numFmtId="164" fontId="1" fillId="4" borderId="0" xfId="0" applyNumberFormat="1" applyFont="1" applyFill="1" applyAlignment="1">
      <alignment vertical="center"/>
    </xf>
    <xf numFmtId="0" fontId="1" fillId="4" borderId="42" xfId="0" applyFont="1" applyFill="1" applyBorder="1"/>
    <xf numFmtId="0" fontId="1" fillId="4" borderId="0" xfId="0" applyFont="1" applyFill="1" applyBorder="1" applyAlignment="1">
      <alignment vertical="center" textRotation="255"/>
    </xf>
    <xf numFmtId="0" fontId="1" fillId="4" borderId="43" xfId="0" applyFont="1" applyFill="1" applyBorder="1"/>
    <xf numFmtId="164" fontId="1" fillId="4" borderId="43" xfId="0" applyNumberFormat="1" applyFont="1" applyFill="1" applyBorder="1"/>
    <xf numFmtId="0" fontId="3" fillId="43" borderId="1" xfId="0" applyFont="1" applyFill="1" applyBorder="1"/>
    <xf numFmtId="0" fontId="3" fillId="43" borderId="1" xfId="0" applyFont="1" applyFill="1" applyBorder="1" applyAlignment="1">
      <alignment horizontal="center" vertical="center"/>
    </xf>
    <xf numFmtId="0" fontId="3" fillId="43" borderId="39" xfId="0" applyFont="1" applyFill="1" applyBorder="1"/>
    <xf numFmtId="0" fontId="3" fillId="43" borderId="40" xfId="0" applyFont="1" applyFill="1" applyBorder="1" applyAlignment="1">
      <alignment horizontal="center" vertical="center"/>
    </xf>
    <xf numFmtId="0" fontId="3" fillId="43" borderId="41" xfId="0" applyFont="1" applyFill="1" applyBorder="1" applyAlignment="1">
      <alignment horizontal="center" vertical="center"/>
    </xf>
    <xf numFmtId="0" fontId="2" fillId="4" borderId="0" xfId="0" applyFont="1" applyFill="1" applyAlignment="1">
      <alignment vertical="center"/>
    </xf>
    <xf numFmtId="0" fontId="2" fillId="4" borderId="45" xfId="0" applyFont="1" applyFill="1" applyBorder="1" applyAlignment="1">
      <alignment vertical="center"/>
    </xf>
    <xf numFmtId="0" fontId="3" fillId="4" borderId="0" xfId="0" applyFont="1" applyFill="1" applyAlignment="1">
      <alignment vertical="center"/>
    </xf>
    <xf numFmtId="164" fontId="3" fillId="4" borderId="0" xfId="0" applyNumberFormat="1" applyFont="1" applyFill="1" applyBorder="1" applyAlignment="1">
      <alignment horizontal="center" vertical="center"/>
    </xf>
    <xf numFmtId="164" fontId="1" fillId="4" borderId="1" xfId="0" applyNumberFormat="1" applyFont="1" applyFill="1" applyBorder="1" applyAlignment="1">
      <alignment horizontal="right" vertical="center"/>
    </xf>
    <xf numFmtId="0" fontId="1" fillId="3" borderId="12" xfId="0" applyFont="1" applyFill="1" applyBorder="1"/>
    <xf numFmtId="0" fontId="1" fillId="3" borderId="59" xfId="0" applyFont="1" applyFill="1" applyBorder="1" applyAlignment="1">
      <alignment horizontal="center" vertical="center"/>
    </xf>
    <xf numFmtId="164" fontId="1" fillId="3" borderId="43" xfId="0" applyNumberFormat="1" applyFont="1" applyFill="1" applyBorder="1"/>
    <xf numFmtId="164" fontId="1" fillId="3" borderId="12" xfId="0" applyNumberFormat="1" applyFont="1" applyFill="1" applyBorder="1"/>
    <xf numFmtId="164" fontId="1" fillId="3" borderId="38" xfId="0" applyNumberFormat="1" applyFont="1" applyFill="1" applyBorder="1"/>
    <xf numFmtId="0" fontId="1" fillId="3" borderId="25" xfId="0" applyFont="1" applyFill="1" applyBorder="1"/>
    <xf numFmtId="0" fontId="1" fillId="3" borderId="26" xfId="0" applyFont="1" applyFill="1" applyBorder="1"/>
    <xf numFmtId="0" fontId="1" fillId="3" borderId="27" xfId="0" applyFont="1" applyFill="1" applyBorder="1"/>
    <xf numFmtId="165" fontId="1" fillId="7" borderId="1" xfId="0" applyNumberFormat="1" applyFont="1" applyFill="1" applyBorder="1" applyAlignment="1">
      <alignment vertical="center"/>
    </xf>
    <xf numFmtId="0" fontId="13" fillId="4" borderId="0" xfId="0" applyFont="1" applyFill="1" applyAlignment="1">
      <alignment horizontal="center" vertical="center"/>
    </xf>
    <xf numFmtId="0" fontId="1" fillId="4" borderId="1" xfId="0" applyFont="1" applyFill="1" applyBorder="1" applyAlignment="1"/>
    <xf numFmtId="164" fontId="1" fillId="4" borderId="69" xfId="0" applyNumberFormat="1" applyFont="1" applyFill="1" applyBorder="1" applyAlignment="1">
      <alignment horizontal="center" vertical="center"/>
    </xf>
    <xf numFmtId="0" fontId="33" fillId="4" borderId="0" xfId="0" applyNumberFormat="1" applyFont="1" applyFill="1" applyAlignment="1">
      <alignment horizontal="center" vertical="center"/>
    </xf>
    <xf numFmtId="0" fontId="1" fillId="4" borderId="0" xfId="0" applyFont="1" applyFill="1" applyBorder="1" applyAlignment="1">
      <alignment vertical="center"/>
    </xf>
    <xf numFmtId="0" fontId="12" fillId="4" borderId="1" xfId="0" applyFont="1" applyFill="1" applyBorder="1"/>
    <xf numFmtId="0" fontId="11" fillId="2" borderId="1" xfId="0" applyFont="1" applyFill="1" applyBorder="1" applyAlignment="1">
      <alignment horizontal="center" vertical="center"/>
    </xf>
    <xf numFmtId="0" fontId="1" fillId="4" borderId="0" xfId="0" applyNumberFormat="1" applyFont="1" applyFill="1"/>
    <xf numFmtId="167" fontId="1" fillId="4" borderId="0" xfId="0" applyNumberFormat="1" applyFont="1" applyFill="1"/>
    <xf numFmtId="0" fontId="1" fillId="4" borderId="1" xfId="0" applyFont="1" applyFill="1" applyBorder="1" applyAlignment="1">
      <alignment horizontal="center" vertical="center"/>
    </xf>
    <xf numFmtId="0" fontId="1" fillId="4" borderId="1" xfId="0" applyFont="1" applyFill="1" applyBorder="1" applyAlignment="1">
      <alignment horizontal="center"/>
    </xf>
    <xf numFmtId="0" fontId="1" fillId="4" borderId="0" xfId="0" applyFont="1" applyFill="1" applyBorder="1" applyAlignment="1">
      <alignment vertical="center"/>
    </xf>
    <xf numFmtId="0" fontId="1" fillId="39" borderId="0" xfId="0" applyFont="1" applyFill="1" applyAlignment="1">
      <alignment vertical="center"/>
    </xf>
    <xf numFmtId="0" fontId="1" fillId="4" borderId="1" xfId="0" applyFont="1" applyFill="1" applyBorder="1"/>
    <xf numFmtId="0" fontId="1" fillId="4" borderId="0" xfId="0" applyFont="1" applyFill="1" applyBorder="1" applyAlignment="1">
      <alignment vertical="center"/>
    </xf>
    <xf numFmtId="0" fontId="1" fillId="4" borderId="14" xfId="0" applyFont="1" applyFill="1" applyBorder="1" applyAlignment="1">
      <alignment vertical="center"/>
    </xf>
    <xf numFmtId="165" fontId="1" fillId="4" borderId="0" xfId="0" applyNumberFormat="1" applyFont="1" applyFill="1" applyAlignment="1">
      <alignment vertical="center"/>
    </xf>
    <xf numFmtId="164" fontId="1" fillId="4" borderId="1" xfId="0" applyNumberFormat="1" applyFont="1" applyFill="1" applyBorder="1" applyAlignment="1">
      <alignment horizontal="center"/>
    </xf>
    <xf numFmtId="0" fontId="1" fillId="4" borderId="1" xfId="0" applyFont="1" applyFill="1" applyBorder="1" applyAlignment="1">
      <alignment horizontal="center" vertical="center"/>
    </xf>
    <xf numFmtId="0" fontId="1" fillId="4" borderId="1" xfId="0" applyFont="1" applyFill="1" applyBorder="1"/>
    <xf numFmtId="0" fontId="3" fillId="4" borderId="1" xfId="0" applyFont="1" applyFill="1" applyBorder="1" applyAlignment="1">
      <alignment horizontal="center" vertical="center"/>
    </xf>
    <xf numFmtId="164" fontId="1" fillId="4" borderId="1" xfId="0" applyNumberFormat="1" applyFont="1" applyFill="1" applyBorder="1" applyAlignment="1">
      <alignment vertical="center"/>
    </xf>
    <xf numFmtId="0" fontId="1" fillId="7" borderId="1" xfId="0" applyFont="1" applyFill="1" applyBorder="1" applyAlignment="1">
      <alignment horizontal="center" vertical="center"/>
    </xf>
    <xf numFmtId="0" fontId="1" fillId="4" borderId="0" xfId="0" applyFont="1" applyFill="1" applyBorder="1" applyAlignment="1">
      <alignment vertical="center"/>
    </xf>
    <xf numFmtId="0" fontId="28" fillId="4" borderId="19" xfId="0" applyFont="1" applyFill="1" applyBorder="1" applyAlignment="1">
      <alignment vertical="center" wrapText="1"/>
    </xf>
    <xf numFmtId="168" fontId="1" fillId="4" borderId="0" xfId="0" applyNumberFormat="1" applyFont="1" applyFill="1" applyAlignment="1">
      <alignment vertical="center"/>
    </xf>
    <xf numFmtId="169" fontId="1" fillId="4" borderId="0" xfId="4" applyNumberFormat="1" applyFont="1" applyFill="1" applyAlignment="1">
      <alignment vertical="center"/>
    </xf>
    <xf numFmtId="0" fontId="3" fillId="4" borderId="0" xfId="0" applyFont="1" applyFill="1" applyBorder="1" applyAlignment="1">
      <alignment horizontal="center" vertical="center" wrapText="1"/>
    </xf>
    <xf numFmtId="164" fontId="1" fillId="4" borderId="0" xfId="0" applyNumberFormat="1" applyFont="1" applyFill="1" applyBorder="1" applyAlignment="1">
      <alignment horizontal="right" vertical="center"/>
    </xf>
    <xf numFmtId="0" fontId="1" fillId="4" borderId="0" xfId="0" applyFont="1" applyFill="1" applyBorder="1" applyAlignment="1">
      <alignment horizontal="right" vertical="center"/>
    </xf>
    <xf numFmtId="0" fontId="1" fillId="4" borderId="0" xfId="0" applyNumberFormat="1" applyFont="1" applyFill="1" applyBorder="1" applyAlignment="1">
      <alignment horizontal="right" vertical="center"/>
    </xf>
    <xf numFmtId="0" fontId="1" fillId="4" borderId="0" xfId="0" applyNumberFormat="1" applyFont="1" applyFill="1" applyBorder="1" applyAlignment="1">
      <alignment horizontal="right"/>
    </xf>
    <xf numFmtId="0" fontId="1" fillId="4" borderId="0" xfId="0" applyFont="1" applyFill="1" applyBorder="1" applyAlignment="1">
      <alignment horizontal="right"/>
    </xf>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0" fontId="1" fillId="4" borderId="1" xfId="0" applyFont="1" applyFill="1" applyBorder="1" applyAlignment="1">
      <alignment vertical="center" wrapText="1"/>
    </xf>
    <xf numFmtId="0" fontId="1" fillId="4" borderId="1" xfId="0" applyFont="1" applyFill="1" applyBorder="1" applyAlignment="1">
      <alignment vertical="center"/>
    </xf>
    <xf numFmtId="0" fontId="1" fillId="4" borderId="1" xfId="0" applyFont="1" applyFill="1" applyBorder="1" applyAlignment="1">
      <alignment horizontal="left" vertical="center"/>
    </xf>
    <xf numFmtId="0" fontId="1" fillId="2" borderId="1" xfId="0" applyFont="1" applyFill="1" applyBorder="1" applyAlignment="1">
      <alignment vertical="center"/>
    </xf>
    <xf numFmtId="0" fontId="34" fillId="4" borderId="18" xfId="0" applyFont="1" applyFill="1" applyBorder="1"/>
    <xf numFmtId="42" fontId="34" fillId="4" borderId="0" xfId="3" applyFont="1" applyFill="1" applyBorder="1"/>
    <xf numFmtId="0" fontId="19" fillId="4" borderId="0" xfId="0" applyFont="1" applyFill="1" applyBorder="1"/>
    <xf numFmtId="0" fontId="19" fillId="4" borderId="18" xfId="0" applyFont="1" applyFill="1" applyBorder="1"/>
    <xf numFmtId="42" fontId="19" fillId="4" borderId="0" xfId="3" applyFont="1" applyFill="1" applyBorder="1"/>
    <xf numFmtId="0" fontId="19" fillId="4" borderId="1" xfId="0" applyFont="1" applyFill="1" applyBorder="1"/>
    <xf numFmtId="0" fontId="19" fillId="4" borderId="26" xfId="0" applyFont="1" applyFill="1" applyBorder="1"/>
    <xf numFmtId="42" fontId="19" fillId="4" borderId="1" xfId="3" applyFont="1" applyFill="1" applyBorder="1"/>
    <xf numFmtId="42" fontId="19" fillId="4" borderId="1" xfId="0" applyNumberFormat="1" applyFont="1" applyFill="1" applyBorder="1"/>
    <xf numFmtId="0" fontId="2" fillId="2" borderId="1" xfId="0" applyFont="1" applyFill="1" applyBorder="1" applyAlignment="1">
      <alignment horizontal="center" vertical="center"/>
    </xf>
    <xf numFmtId="0" fontId="1" fillId="2" borderId="1" xfId="0" applyFont="1" applyFill="1" applyBorder="1" applyAlignment="1">
      <alignment horizontal="left" vertical="center" wrapText="1"/>
    </xf>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0" fontId="1" fillId="4" borderId="1" xfId="0" applyFont="1" applyFill="1" applyBorder="1" applyAlignment="1">
      <alignment vertical="center"/>
    </xf>
    <xf numFmtId="0" fontId="1" fillId="4" borderId="1" xfId="0" applyFont="1" applyFill="1" applyBorder="1" applyAlignment="1">
      <alignment vertical="center" wrapText="1"/>
    </xf>
    <xf numFmtId="0" fontId="1" fillId="4" borderId="1" xfId="0" applyFont="1" applyFill="1" applyBorder="1" applyAlignment="1">
      <alignment horizontal="left" vertical="center"/>
    </xf>
    <xf numFmtId="0" fontId="1" fillId="27" borderId="1" xfId="0" applyFont="1" applyFill="1" applyBorder="1" applyAlignment="1">
      <alignment horizontal="center" vertical="center" wrapText="1"/>
    </xf>
    <xf numFmtId="0" fontId="1" fillId="2" borderId="1" xfId="0" applyFont="1" applyFill="1" applyBorder="1" applyAlignment="1">
      <alignment vertical="center"/>
    </xf>
    <xf numFmtId="0" fontId="2" fillId="31" borderId="1" xfId="0" applyFont="1" applyFill="1" applyBorder="1" applyAlignment="1">
      <alignment vertical="center"/>
    </xf>
    <xf numFmtId="0" fontId="1" fillId="4" borderId="0" xfId="0" applyFont="1" applyFill="1" applyBorder="1" applyAlignment="1">
      <alignment vertical="center"/>
    </xf>
    <xf numFmtId="0" fontId="1" fillId="2" borderId="1" xfId="0" applyFont="1" applyFill="1" applyBorder="1" applyAlignment="1">
      <alignment horizontal="center" vertical="center" wrapText="1"/>
    </xf>
    <xf numFmtId="0" fontId="1" fillId="4" borderId="47" xfId="0" applyFont="1" applyFill="1" applyBorder="1"/>
    <xf numFmtId="4" fontId="1" fillId="6" borderId="1" xfId="0" applyNumberFormat="1" applyFont="1" applyFill="1" applyBorder="1"/>
    <xf numFmtId="0" fontId="2" fillId="8" borderId="1" xfId="0" applyFont="1" applyFill="1" applyBorder="1" applyAlignment="1">
      <alignment vertical="center"/>
    </xf>
    <xf numFmtId="0" fontId="1" fillId="2"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27" borderId="1" xfId="0" applyFont="1" applyFill="1" applyBorder="1" applyAlignment="1">
      <alignment horizontal="center" vertical="center" wrapText="1"/>
    </xf>
    <xf numFmtId="0" fontId="1" fillId="27" borderId="1" xfId="0" applyFont="1" applyFill="1" applyBorder="1" applyAlignment="1">
      <alignment vertical="center"/>
    </xf>
    <xf numFmtId="0" fontId="1" fillId="27" borderId="1" xfId="0" applyFont="1" applyFill="1" applyBorder="1" applyAlignment="1">
      <alignment horizontal="center" vertical="center"/>
    </xf>
    <xf numFmtId="0" fontId="1" fillId="2" borderId="23"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7" borderId="16" xfId="0" applyFont="1" applyFill="1" applyBorder="1" applyAlignment="1">
      <alignment horizontal="center" vertical="center"/>
    </xf>
    <xf numFmtId="0" fontId="2" fillId="26" borderId="25" xfId="0" applyFont="1" applyFill="1" applyBorder="1" applyAlignment="1">
      <alignment vertical="center"/>
    </xf>
    <xf numFmtId="0" fontId="3" fillId="16" borderId="54" xfId="0" applyFont="1" applyFill="1" applyBorder="1" applyAlignment="1">
      <alignment horizontal="center" vertical="center"/>
    </xf>
    <xf numFmtId="0" fontId="3" fillId="16" borderId="31" xfId="0" applyFont="1" applyFill="1" applyBorder="1" applyAlignment="1">
      <alignment horizontal="center" vertical="center"/>
    </xf>
    <xf numFmtId="0" fontId="2" fillId="4" borderId="0"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4" borderId="1" xfId="0" applyFont="1" applyFill="1" applyBorder="1" applyAlignment="1">
      <alignment horizontal="center"/>
    </xf>
    <xf numFmtId="0" fontId="1" fillId="6" borderId="1" xfId="0" applyFont="1" applyFill="1" applyBorder="1" applyAlignment="1">
      <alignment horizontal="center" vertical="center"/>
    </xf>
    <xf numFmtId="0" fontId="1" fillId="2" borderId="4" xfId="0" applyFont="1" applyFill="1" applyBorder="1" applyAlignment="1">
      <alignment vertical="center"/>
    </xf>
    <xf numFmtId="0" fontId="1" fillId="2" borderId="23"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7" borderId="1" xfId="0" applyFont="1" applyFill="1" applyBorder="1" applyAlignment="1">
      <alignment vertical="center"/>
    </xf>
    <xf numFmtId="0" fontId="1" fillId="6" borderId="1" xfId="0" applyFont="1" applyFill="1" applyBorder="1" applyAlignment="1">
      <alignment vertical="center"/>
    </xf>
    <xf numFmtId="0" fontId="1" fillId="4" borderId="1" xfId="0" applyFont="1" applyFill="1" applyBorder="1"/>
    <xf numFmtId="0" fontId="1" fillId="2" borderId="25" xfId="0" applyFont="1" applyFill="1" applyBorder="1" applyAlignment="1">
      <alignment vertical="center"/>
    </xf>
    <xf numFmtId="0" fontId="1" fillId="2" borderId="26" xfId="0" applyFont="1" applyFill="1" applyBorder="1" applyAlignment="1">
      <alignment vertical="center"/>
    </xf>
    <xf numFmtId="0" fontId="1" fillId="2" borderId="27" xfId="0" applyFont="1" applyFill="1" applyBorder="1" applyAlignment="1">
      <alignment vertical="center"/>
    </xf>
    <xf numFmtId="0" fontId="1" fillId="7" borderId="12" xfId="0" applyFont="1" applyFill="1" applyBorder="1" applyAlignment="1">
      <alignment vertical="center"/>
    </xf>
    <xf numFmtId="0" fontId="1" fillId="7" borderId="43" xfId="0" applyFont="1" applyFill="1" applyBorder="1" applyAlignment="1">
      <alignment horizontal="center" vertical="center"/>
    </xf>
    <xf numFmtId="0" fontId="1" fillId="7" borderId="43" xfId="0" applyFont="1" applyFill="1" applyBorder="1" applyAlignment="1">
      <alignment horizontal="center" vertical="center" wrapText="1"/>
    </xf>
    <xf numFmtId="0" fontId="1" fillId="7" borderId="38" xfId="0" applyFont="1" applyFill="1" applyBorder="1" applyAlignment="1">
      <alignment vertical="center"/>
    </xf>
    <xf numFmtId="0" fontId="1" fillId="6" borderId="25" xfId="0" applyFont="1" applyFill="1" applyBorder="1" applyAlignment="1">
      <alignment vertical="center"/>
    </xf>
    <xf numFmtId="0" fontId="1" fillId="6" borderId="16" xfId="0" applyFont="1" applyFill="1" applyBorder="1" applyAlignment="1">
      <alignment horizontal="center" vertical="center" wrapText="1"/>
    </xf>
    <xf numFmtId="0" fontId="1" fillId="6" borderId="26" xfId="0" applyFont="1" applyFill="1" applyBorder="1" applyAlignment="1">
      <alignment vertical="center"/>
    </xf>
    <xf numFmtId="0" fontId="1" fillId="6" borderId="27" xfId="0" applyFont="1" applyFill="1" applyBorder="1" applyAlignment="1">
      <alignment vertical="center"/>
    </xf>
    <xf numFmtId="0" fontId="1" fillId="6" borderId="23" xfId="0" applyFont="1" applyFill="1" applyBorder="1" applyAlignment="1">
      <alignment horizontal="center" vertical="center" wrapText="1"/>
    </xf>
    <xf numFmtId="0" fontId="1" fillId="2" borderId="60" xfId="0" applyFont="1" applyFill="1" applyBorder="1" applyAlignment="1">
      <alignment vertical="center"/>
    </xf>
    <xf numFmtId="0" fontId="1" fillId="2" borderId="44" xfId="0" applyFont="1" applyFill="1" applyBorder="1" applyAlignment="1">
      <alignment vertical="center"/>
    </xf>
    <xf numFmtId="0" fontId="1" fillId="14" borderId="34" xfId="0" applyFont="1" applyFill="1" applyBorder="1" applyAlignment="1">
      <alignment horizontal="center" vertical="center" textRotation="90"/>
    </xf>
    <xf numFmtId="0" fontId="1" fillId="27" borderId="16" xfId="0" applyFont="1" applyFill="1" applyBorder="1" applyAlignment="1">
      <alignment horizontal="center" vertical="center" wrapText="1"/>
    </xf>
    <xf numFmtId="0" fontId="1" fillId="27" borderId="17" xfId="0" applyFont="1" applyFill="1" applyBorder="1" applyAlignment="1">
      <alignment vertical="center" wrapText="1"/>
    </xf>
    <xf numFmtId="0" fontId="1" fillId="27" borderId="19" xfId="0" applyFont="1" applyFill="1" applyBorder="1" applyAlignment="1">
      <alignment vertical="center" wrapText="1"/>
    </xf>
    <xf numFmtId="0" fontId="1" fillId="6" borderId="23" xfId="0" applyFont="1" applyFill="1" applyBorder="1" applyAlignment="1">
      <alignment vertical="center"/>
    </xf>
    <xf numFmtId="0" fontId="1" fillId="6" borderId="16" xfId="0" applyFont="1" applyFill="1" applyBorder="1" applyAlignment="1">
      <alignment vertical="center"/>
    </xf>
    <xf numFmtId="0" fontId="1" fillId="4" borderId="1" xfId="0" applyFont="1" applyFill="1" applyBorder="1"/>
    <xf numFmtId="0" fontId="1" fillId="4" borderId="0" xfId="0" applyFont="1" applyFill="1" applyBorder="1" applyAlignment="1">
      <alignment vertical="center"/>
    </xf>
    <xf numFmtId="0" fontId="1" fillId="4" borderId="0" xfId="0" applyFont="1" applyFill="1" applyAlignment="1">
      <alignment horizontal="left"/>
    </xf>
    <xf numFmtId="0" fontId="2" fillId="6"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3" fillId="7" borderId="1" xfId="0" applyFont="1" applyFill="1" applyBorder="1" applyAlignment="1">
      <alignment horizontal="center" vertical="center"/>
    </xf>
    <xf numFmtId="0" fontId="1" fillId="4"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12" borderId="1" xfId="0" applyFont="1" applyFill="1" applyBorder="1" applyAlignment="1">
      <alignment horizontal="center" vertical="center"/>
    </xf>
    <xf numFmtId="0" fontId="2" fillId="8" borderId="4" xfId="0" applyFont="1" applyFill="1" applyBorder="1" applyAlignment="1">
      <alignment horizontal="center" vertical="center"/>
    </xf>
    <xf numFmtId="0" fontId="2" fillId="12" borderId="4" xfId="0" applyFont="1" applyFill="1" applyBorder="1" applyAlignment="1">
      <alignment horizontal="center" vertical="center"/>
    </xf>
    <xf numFmtId="0" fontId="1" fillId="4" borderId="1" xfId="0" applyFont="1" applyFill="1" applyBorder="1"/>
    <xf numFmtId="0" fontId="2" fillId="4" borderId="1" xfId="0" applyFont="1" applyFill="1" applyBorder="1" applyAlignment="1">
      <alignment horizontal="center" vertical="center"/>
    </xf>
    <xf numFmtId="0" fontId="2" fillId="4" borderId="11" xfId="0" applyFont="1" applyFill="1" applyBorder="1" applyAlignment="1">
      <alignment horizontal="center" vertical="center"/>
    </xf>
    <xf numFmtId="0" fontId="1" fillId="4" borderId="1" xfId="0" applyFont="1" applyFill="1" applyBorder="1" applyAlignment="1">
      <alignment vertical="center"/>
    </xf>
    <xf numFmtId="164" fontId="1" fillId="4" borderId="1" xfId="0" applyNumberFormat="1" applyFont="1" applyFill="1" applyBorder="1" applyAlignment="1">
      <alignment vertical="center"/>
    </xf>
    <xf numFmtId="6" fontId="1" fillId="4" borderId="1" xfId="0" applyNumberFormat="1" applyFont="1" applyFill="1" applyBorder="1" applyAlignment="1">
      <alignment vertical="center"/>
    </xf>
    <xf numFmtId="0" fontId="1" fillId="4" borderId="3" xfId="0" applyFont="1" applyFill="1" applyBorder="1" applyAlignment="1">
      <alignment vertical="center"/>
    </xf>
    <xf numFmtId="0" fontId="1" fillId="4" borderId="0" xfId="0" applyFont="1" applyFill="1" applyBorder="1" applyAlignment="1">
      <alignment vertical="center"/>
    </xf>
    <xf numFmtId="0" fontId="3" fillId="7" borderId="1" xfId="0" applyFont="1" applyFill="1" applyBorder="1" applyAlignment="1">
      <alignment horizontal="center" vertical="center"/>
    </xf>
    <xf numFmtId="0" fontId="2" fillId="6" borderId="1" xfId="0" applyFont="1" applyFill="1" applyBorder="1" applyAlignment="1">
      <alignment horizontal="center"/>
    </xf>
    <xf numFmtId="0" fontId="2" fillId="2" borderId="2" xfId="0" applyFont="1" applyFill="1" applyBorder="1" applyAlignment="1">
      <alignment horizontal="center"/>
    </xf>
    <xf numFmtId="0" fontId="2" fillId="2" borderId="4" xfId="0" applyFont="1" applyFill="1" applyBorder="1" applyAlignment="1">
      <alignment horizontal="center"/>
    </xf>
    <xf numFmtId="0" fontId="2" fillId="2" borderId="1" xfId="0" applyFont="1" applyFill="1" applyBorder="1" applyAlignment="1">
      <alignment horizontal="center"/>
    </xf>
    <xf numFmtId="0" fontId="1" fillId="4" borderId="1" xfId="0" applyFont="1" applyFill="1" applyBorder="1" applyAlignment="1">
      <alignment horizontal="center" vertical="center"/>
    </xf>
    <xf numFmtId="0" fontId="1" fillId="4" borderId="1" xfId="0" applyFont="1" applyFill="1" applyBorder="1" applyAlignment="1">
      <alignment horizontal="center"/>
    </xf>
    <xf numFmtId="0" fontId="2" fillId="8" borderId="1" xfId="0" applyFont="1" applyFill="1" applyBorder="1" applyAlignment="1">
      <alignment horizontal="center"/>
    </xf>
    <xf numFmtId="0" fontId="2" fillId="12" borderId="1" xfId="0" applyFont="1" applyFill="1" applyBorder="1" applyAlignment="1">
      <alignment horizontal="center"/>
    </xf>
    <xf numFmtId="0" fontId="2" fillId="8" borderId="4" xfId="0" applyFont="1" applyFill="1" applyBorder="1" applyAlignment="1">
      <alignment horizontal="center"/>
    </xf>
    <xf numFmtId="0" fontId="2" fillId="31" borderId="1" xfId="0" applyFont="1" applyFill="1" applyBorder="1" applyAlignment="1">
      <alignment horizontal="center"/>
    </xf>
    <xf numFmtId="0" fontId="1" fillId="4" borderId="1" xfId="0" applyFont="1" applyFill="1" applyBorder="1"/>
    <xf numFmtId="0" fontId="1" fillId="4" borderId="1" xfId="0" applyFont="1" applyFill="1" applyBorder="1" applyAlignment="1">
      <alignment vertical="center"/>
    </xf>
    <xf numFmtId="6" fontId="1" fillId="4" borderId="4" xfId="0" applyNumberFormat="1" applyFont="1" applyFill="1" applyBorder="1" applyAlignment="1">
      <alignment vertical="center"/>
    </xf>
    <xf numFmtId="6" fontId="1" fillId="4" borderId="1" xfId="0" applyNumberFormat="1" applyFont="1" applyFill="1" applyBorder="1" applyAlignment="1">
      <alignment vertical="center"/>
    </xf>
    <xf numFmtId="164" fontId="1" fillId="4" borderId="1" xfId="0" applyNumberFormat="1" applyFont="1" applyFill="1" applyBorder="1" applyAlignment="1">
      <alignment vertical="center"/>
    </xf>
    <xf numFmtId="0" fontId="1" fillId="4" borderId="1" xfId="0" applyFont="1" applyFill="1" applyBorder="1" applyAlignment="1">
      <alignment horizontal="left" vertical="center"/>
    </xf>
    <xf numFmtId="0" fontId="1" fillId="0" borderId="1" xfId="0" applyFont="1" applyBorder="1" applyAlignment="1">
      <alignment horizontal="center" vertical="center"/>
    </xf>
    <xf numFmtId="0" fontId="1" fillId="0" borderId="1" xfId="0" applyFont="1" applyBorder="1" applyAlignment="1">
      <alignment horizontal="left" vertical="center"/>
    </xf>
    <xf numFmtId="0" fontId="1" fillId="44" borderId="0" xfId="0" applyFont="1" applyFill="1"/>
    <xf numFmtId="0" fontId="1" fillId="39" borderId="1" xfId="0" applyFont="1" applyFill="1" applyBorder="1" applyAlignment="1">
      <alignment horizontal="center" vertical="center"/>
    </xf>
    <xf numFmtId="0" fontId="1" fillId="3" borderId="1" xfId="0" applyFont="1" applyFill="1" applyBorder="1" applyAlignment="1"/>
    <xf numFmtId="169" fontId="1" fillId="4" borderId="1" xfId="4" applyNumberFormat="1" applyFont="1" applyFill="1" applyBorder="1" applyAlignment="1">
      <alignment vertical="center"/>
    </xf>
    <xf numFmtId="8" fontId="1" fillId="4" borderId="1" xfId="0" applyNumberFormat="1" applyFont="1" applyFill="1" applyBorder="1" applyAlignment="1">
      <alignment vertical="center"/>
    </xf>
    <xf numFmtId="9" fontId="1" fillId="2" borderId="1" xfId="0" applyNumberFormat="1" applyFont="1" applyFill="1" applyBorder="1" applyAlignment="1">
      <alignment vertical="center"/>
    </xf>
    <xf numFmtId="168" fontId="1" fillId="4" borderId="1" xfId="0" applyNumberFormat="1" applyFont="1" applyFill="1" applyBorder="1" applyAlignment="1">
      <alignment vertical="center"/>
    </xf>
    <xf numFmtId="0" fontId="13" fillId="4" borderId="1" xfId="0" applyFont="1" applyFill="1" applyBorder="1" applyAlignment="1">
      <alignment horizontal="center" vertical="center"/>
    </xf>
    <xf numFmtId="6" fontId="2" fillId="39" borderId="1" xfId="0" applyNumberFormat="1" applyFont="1" applyFill="1" applyBorder="1" applyAlignment="1">
      <alignment horizontal="right" vertical="center"/>
    </xf>
    <xf numFmtId="0" fontId="1" fillId="4" borderId="11" xfId="0" applyFont="1" applyFill="1" applyBorder="1" applyAlignment="1">
      <alignment vertical="center"/>
    </xf>
    <xf numFmtId="164" fontId="1" fillId="4" borderId="11" xfId="0" applyNumberFormat="1" applyFont="1" applyFill="1" applyBorder="1" applyAlignment="1">
      <alignment vertical="center"/>
    </xf>
    <xf numFmtId="0" fontId="2" fillId="4" borderId="3" xfId="0" applyFont="1" applyFill="1" applyBorder="1" applyAlignment="1">
      <alignment horizontal="center" vertical="center"/>
    </xf>
    <xf numFmtId="0" fontId="3" fillId="4" borderId="11" xfId="0" applyFont="1" applyFill="1" applyBorder="1" applyAlignment="1">
      <alignment horizontal="center" vertical="center"/>
    </xf>
    <xf numFmtId="164" fontId="1" fillId="4" borderId="3" xfId="0" applyNumberFormat="1" applyFont="1" applyFill="1" applyBorder="1" applyAlignment="1">
      <alignment vertical="center"/>
    </xf>
    <xf numFmtId="0" fontId="3" fillId="2" borderId="3" xfId="0" applyFont="1" applyFill="1" applyBorder="1" applyAlignment="1">
      <alignment horizontal="center" vertical="center"/>
    </xf>
    <xf numFmtId="0" fontId="1" fillId="2" borderId="3" xfId="0" applyFont="1" applyFill="1" applyBorder="1" applyAlignment="1">
      <alignment vertical="center"/>
    </xf>
    <xf numFmtId="164" fontId="3" fillId="2" borderId="3" xfId="0" applyNumberFormat="1" applyFont="1" applyFill="1" applyBorder="1" applyAlignment="1">
      <alignment vertical="center"/>
    </xf>
    <xf numFmtId="0" fontId="1" fillId="4" borderId="71" xfId="0" applyFont="1" applyFill="1" applyBorder="1" applyAlignment="1">
      <alignment vertical="center"/>
    </xf>
    <xf numFmtId="0" fontId="1" fillId="4" borderId="72" xfId="0" applyFont="1" applyFill="1" applyBorder="1" applyAlignment="1">
      <alignment vertical="center"/>
    </xf>
    <xf numFmtId="164" fontId="1" fillId="4" borderId="72" xfId="0" applyNumberFormat="1" applyFont="1" applyFill="1" applyBorder="1" applyAlignment="1">
      <alignment horizontal="center" vertical="center"/>
    </xf>
    <xf numFmtId="164" fontId="1" fillId="4" borderId="71" xfId="0" applyNumberFormat="1" applyFont="1" applyFill="1" applyBorder="1" applyAlignment="1">
      <alignment vertical="center"/>
    </xf>
    <xf numFmtId="164" fontId="1" fillId="4" borderId="71" xfId="0" applyNumberFormat="1" applyFont="1" applyFill="1" applyBorder="1" applyAlignment="1">
      <alignment horizontal="center" vertical="center"/>
    </xf>
    <xf numFmtId="9" fontId="1" fillId="9" borderId="73" xfId="0" applyNumberFormat="1" applyFont="1" applyFill="1" applyBorder="1" applyAlignment="1">
      <alignment vertical="center"/>
    </xf>
    <xf numFmtId="164" fontId="3" fillId="4" borderId="72" xfId="0" applyNumberFormat="1" applyFont="1" applyFill="1" applyBorder="1" applyAlignment="1">
      <alignment horizontal="center" vertical="center"/>
    </xf>
    <xf numFmtId="0" fontId="35" fillId="4" borderId="0" xfId="0" applyFont="1" applyFill="1" applyAlignment="1">
      <alignment horizontal="center" vertical="center"/>
    </xf>
    <xf numFmtId="0" fontId="3" fillId="7" borderId="1" xfId="0" applyFont="1" applyFill="1" applyBorder="1"/>
    <xf numFmtId="0" fontId="3" fillId="5" borderId="54" xfId="0" applyFont="1" applyFill="1" applyBorder="1"/>
    <xf numFmtId="0" fontId="3" fillId="5" borderId="31" xfId="0" applyFont="1" applyFill="1" applyBorder="1" applyAlignment="1">
      <alignment horizontal="center" vertical="center"/>
    </xf>
    <xf numFmtId="0" fontId="3" fillId="5" borderId="32" xfId="0" applyFont="1" applyFill="1" applyBorder="1" applyAlignment="1">
      <alignment horizontal="center" vertical="center"/>
    </xf>
    <xf numFmtId="164" fontId="1" fillId="4" borderId="1" xfId="0" applyNumberFormat="1" applyFont="1" applyFill="1" applyBorder="1" applyAlignment="1">
      <alignment horizontal="left"/>
    </xf>
    <xf numFmtId="164" fontId="1" fillId="4" borderId="1" xfId="0" applyNumberFormat="1" applyFont="1" applyFill="1" applyBorder="1" applyAlignment="1"/>
    <xf numFmtId="0" fontId="1" fillId="8" borderId="1" xfId="0" applyFont="1" applyFill="1" applyBorder="1"/>
    <xf numFmtId="0" fontId="1" fillId="8" borderId="4" xfId="0" applyFont="1" applyFill="1" applyBorder="1"/>
    <xf numFmtId="164" fontId="1" fillId="8" borderId="1" xfId="0" applyNumberFormat="1" applyFont="1" applyFill="1" applyBorder="1"/>
    <xf numFmtId="164" fontId="1" fillId="8" borderId="4" xfId="0" applyNumberFormat="1" applyFont="1" applyFill="1" applyBorder="1"/>
    <xf numFmtId="0" fontId="1" fillId="31" borderId="1" xfId="0" applyFont="1" applyFill="1" applyBorder="1"/>
    <xf numFmtId="164" fontId="1" fillId="31" borderId="1" xfId="0" applyNumberFormat="1" applyFont="1" applyFill="1" applyBorder="1"/>
    <xf numFmtId="0" fontId="1" fillId="31" borderId="1" xfId="0" applyNumberFormat="1" applyFont="1" applyFill="1" applyBorder="1"/>
    <xf numFmtId="164" fontId="1" fillId="2" borderId="4" xfId="0" applyNumberFormat="1" applyFont="1" applyFill="1" applyBorder="1"/>
    <xf numFmtId="164" fontId="1" fillId="2" borderId="2" xfId="0" applyNumberFormat="1" applyFont="1" applyFill="1" applyBorder="1"/>
    <xf numFmtId="0" fontId="2" fillId="8" borderId="1" xfId="0" applyFont="1" applyFill="1" applyBorder="1"/>
    <xf numFmtId="0" fontId="2" fillId="31" borderId="1" xfId="0" applyFont="1" applyFill="1" applyBorder="1"/>
    <xf numFmtId="0" fontId="2" fillId="2" borderId="1" xfId="0" applyFont="1" applyFill="1" applyBorder="1"/>
    <xf numFmtId="0" fontId="2" fillId="31" borderId="1" xfId="0" applyFont="1" applyFill="1" applyBorder="1" applyAlignment="1">
      <alignment horizontal="center" vertical="center"/>
    </xf>
    <xf numFmtId="0" fontId="2" fillId="8" borderId="1" xfId="0" applyFont="1" applyFill="1" applyBorder="1"/>
    <xf numFmtId="0" fontId="2" fillId="31" borderId="43" xfId="0" applyFont="1" applyFill="1" applyBorder="1"/>
    <xf numFmtId="0" fontId="2" fillId="31" borderId="1" xfId="0" applyFont="1" applyFill="1" applyBorder="1"/>
    <xf numFmtId="0" fontId="2" fillId="31" borderId="1" xfId="0" applyNumberFormat="1" applyFont="1" applyFill="1" applyBorder="1"/>
    <xf numFmtId="0" fontId="2" fillId="2" borderId="1" xfId="0" applyFont="1" applyFill="1" applyBorder="1"/>
    <xf numFmtId="164" fontId="2" fillId="31" borderId="1" xfId="0" applyNumberFormat="1" applyFont="1" applyFill="1" applyBorder="1"/>
    <xf numFmtId="164" fontId="2" fillId="2" borderId="1" xfId="0" applyNumberFormat="1" applyFont="1" applyFill="1" applyBorder="1"/>
    <xf numFmtId="164" fontId="1" fillId="12" borderId="1" xfId="0" applyNumberFormat="1" applyFont="1" applyFill="1" applyBorder="1"/>
    <xf numFmtId="0" fontId="1" fillId="12" borderId="4" xfId="0" applyFont="1" applyFill="1" applyBorder="1"/>
    <xf numFmtId="0" fontId="1" fillId="12" borderId="1" xfId="0" applyFont="1" applyFill="1" applyBorder="1"/>
    <xf numFmtId="164" fontId="1" fillId="12" borderId="4" xfId="0" applyNumberFormat="1" applyFont="1" applyFill="1" applyBorder="1"/>
    <xf numFmtId="0" fontId="2" fillId="12" borderId="1" xfId="0" applyFont="1" applyFill="1" applyBorder="1"/>
    <xf numFmtId="0" fontId="2" fillId="12" borderId="1" xfId="0" applyFont="1" applyFill="1" applyBorder="1"/>
    <xf numFmtId="0" fontId="2" fillId="27" borderId="1" xfId="0" applyFont="1" applyFill="1" applyBorder="1" applyAlignment="1">
      <alignment horizontal="center" vertical="center"/>
    </xf>
    <xf numFmtId="164" fontId="1" fillId="27" borderId="1" xfId="0" applyNumberFormat="1" applyFont="1" applyFill="1" applyBorder="1"/>
    <xf numFmtId="0" fontId="1" fillId="27" borderId="1" xfId="0" applyFont="1" applyFill="1" applyBorder="1"/>
    <xf numFmtId="0" fontId="1" fillId="27" borderId="1" xfId="0" applyNumberFormat="1" applyFont="1" applyFill="1" applyBorder="1"/>
    <xf numFmtId="0" fontId="2" fillId="27" borderId="43" xfId="0" applyFont="1" applyFill="1" applyBorder="1"/>
    <xf numFmtId="0" fontId="2" fillId="27" borderId="1" xfId="0" applyNumberFormat="1" applyFont="1" applyFill="1" applyBorder="1"/>
    <xf numFmtId="164" fontId="2" fillId="27" borderId="1" xfId="0" applyNumberFormat="1" applyFont="1" applyFill="1" applyBorder="1"/>
    <xf numFmtId="0" fontId="2" fillId="27" borderId="1" xfId="0" applyFont="1" applyFill="1" applyBorder="1"/>
    <xf numFmtId="0" fontId="2" fillId="6" borderId="4" xfId="0" applyFont="1" applyFill="1" applyBorder="1" applyAlignment="1">
      <alignment horizontal="center" vertical="center"/>
    </xf>
    <xf numFmtId="0" fontId="2" fillId="6" borderId="2" xfId="0" applyFont="1" applyFill="1" applyBorder="1" applyAlignment="1">
      <alignment horizontal="center" vertical="center"/>
    </xf>
    <xf numFmtId="164" fontId="1" fillId="6" borderId="2" xfId="0" applyNumberFormat="1" applyFont="1" applyFill="1" applyBorder="1"/>
    <xf numFmtId="0" fontId="2" fillId="6" borderId="1" xfId="0" applyFont="1" applyFill="1" applyBorder="1"/>
    <xf numFmtId="0" fontId="2" fillId="6" borderId="1" xfId="0" applyFont="1" applyFill="1" applyBorder="1"/>
    <xf numFmtId="164" fontId="2" fillId="6" borderId="1" xfId="0" applyNumberFormat="1" applyFont="1" applyFill="1" applyBorder="1"/>
    <xf numFmtId="0" fontId="1" fillId="4" borderId="1" xfId="0" applyFont="1" applyFill="1" applyBorder="1" applyAlignment="1">
      <alignment horizontal="center" vertical="center"/>
    </xf>
    <xf numFmtId="0" fontId="1" fillId="4" borderId="1" xfId="0" applyFont="1" applyFill="1" applyBorder="1" applyAlignment="1">
      <alignment horizontal="left" vertical="center"/>
    </xf>
    <xf numFmtId="0" fontId="1" fillId="0" borderId="77" xfId="0" applyFont="1" applyBorder="1" applyAlignment="1">
      <alignment horizontal="left" vertical="center" wrapText="1"/>
    </xf>
    <xf numFmtId="0" fontId="1" fillId="0" borderId="78" xfId="0" applyFont="1" applyBorder="1" applyAlignment="1">
      <alignment horizontal="left" vertical="center" wrapText="1"/>
    </xf>
    <xf numFmtId="0" fontId="1" fillId="43" borderId="1" xfId="0" applyFont="1" applyFill="1" applyBorder="1"/>
    <xf numFmtId="164" fontId="1" fillId="43" borderId="1" xfId="0" applyNumberFormat="1" applyFont="1" applyFill="1" applyBorder="1"/>
    <xf numFmtId="0" fontId="1" fillId="4" borderId="0" xfId="0" applyFont="1" applyFill="1" applyAlignment="1">
      <alignment horizontal="center"/>
    </xf>
    <xf numFmtId="0" fontId="2" fillId="40" borderId="1" xfId="0" applyFont="1" applyFill="1" applyBorder="1" applyAlignment="1">
      <alignment horizontal="center" vertical="center"/>
    </xf>
    <xf numFmtId="0" fontId="2" fillId="40" borderId="2" xfId="0" applyFont="1" applyFill="1" applyBorder="1" applyAlignment="1">
      <alignment horizontal="center" vertical="center"/>
    </xf>
    <xf numFmtId="164" fontId="1" fillId="40" borderId="1" xfId="0" applyNumberFormat="1" applyFont="1" applyFill="1" applyBorder="1"/>
    <xf numFmtId="0" fontId="1" fillId="40" borderId="1" xfId="0" applyFont="1" applyFill="1" applyBorder="1"/>
    <xf numFmtId="0" fontId="1" fillId="40" borderId="2" xfId="0" applyFont="1" applyFill="1" applyBorder="1"/>
    <xf numFmtId="0" fontId="2" fillId="40" borderId="1" xfId="0" applyFont="1" applyFill="1" applyBorder="1"/>
    <xf numFmtId="0" fontId="2" fillId="45" borderId="1" xfId="0" applyFont="1" applyFill="1" applyBorder="1" applyAlignment="1">
      <alignment horizontal="center" vertical="center"/>
    </xf>
    <xf numFmtId="0" fontId="2" fillId="45" borderId="2" xfId="0" applyFont="1" applyFill="1" applyBorder="1" applyAlignment="1">
      <alignment horizontal="center" vertical="center"/>
    </xf>
    <xf numFmtId="164" fontId="1" fillId="45" borderId="1" xfId="0" applyNumberFormat="1" applyFont="1" applyFill="1" applyBorder="1"/>
    <xf numFmtId="0" fontId="1" fillId="45" borderId="1" xfId="0" applyFont="1" applyFill="1" applyBorder="1"/>
    <xf numFmtId="0" fontId="1" fillId="45" borderId="2" xfId="0" applyFont="1" applyFill="1" applyBorder="1"/>
    <xf numFmtId="0" fontId="2" fillId="45" borderId="1" xfId="0" applyFont="1" applyFill="1" applyBorder="1"/>
    <xf numFmtId="0" fontId="2" fillId="45" borderId="1" xfId="0" applyFont="1" applyFill="1" applyBorder="1" applyAlignment="1">
      <alignment horizontal="center"/>
    </xf>
    <xf numFmtId="0" fontId="2" fillId="45" borderId="2" xfId="0" applyFont="1" applyFill="1" applyBorder="1" applyAlignment="1">
      <alignment horizontal="center"/>
    </xf>
    <xf numFmtId="0" fontId="2" fillId="8" borderId="43" xfId="0" applyFont="1" applyFill="1" applyBorder="1"/>
    <xf numFmtId="0" fontId="2" fillId="12" borderId="4" xfId="0" applyFont="1" applyFill="1" applyBorder="1" applyAlignment="1">
      <alignment horizontal="center"/>
    </xf>
    <xf numFmtId="0" fontId="2" fillId="27" borderId="1" xfId="0" applyFont="1" applyFill="1" applyBorder="1" applyAlignment="1">
      <alignment horizontal="center"/>
    </xf>
    <xf numFmtId="0" fontId="2" fillId="6" borderId="4" xfId="0" applyFont="1" applyFill="1" applyBorder="1" applyAlignment="1">
      <alignment horizontal="center"/>
    </xf>
    <xf numFmtId="0" fontId="2" fillId="6" borderId="2" xfId="0" applyFont="1" applyFill="1" applyBorder="1" applyAlignment="1">
      <alignment horizontal="center"/>
    </xf>
    <xf numFmtId="0" fontId="2" fillId="40" borderId="1" xfId="0" applyFont="1" applyFill="1" applyBorder="1" applyAlignment="1">
      <alignment horizontal="center"/>
    </xf>
    <xf numFmtId="0" fontId="2" fillId="40" borderId="2" xfId="0" applyFont="1" applyFill="1" applyBorder="1" applyAlignment="1">
      <alignment horizontal="center"/>
    </xf>
    <xf numFmtId="0" fontId="3" fillId="6" borderId="1" xfId="0" applyFont="1" applyFill="1" applyBorder="1"/>
    <xf numFmtId="164" fontId="1" fillId="0" borderId="1" xfId="0" applyNumberFormat="1" applyFont="1" applyBorder="1" applyAlignment="1">
      <alignment horizontal="center" vertical="center"/>
    </xf>
    <xf numFmtId="0" fontId="1" fillId="0" borderId="42" xfId="0" applyFont="1" applyBorder="1" applyAlignment="1">
      <alignment horizontal="center" vertical="center"/>
    </xf>
    <xf numFmtId="0" fontId="1" fillId="0" borderId="43" xfId="0" applyFont="1" applyBorder="1" applyAlignment="1">
      <alignment horizontal="center" vertical="center"/>
    </xf>
    <xf numFmtId="0" fontId="1" fillId="0" borderId="10" xfId="0" applyFont="1" applyBorder="1" applyAlignment="1">
      <alignment horizontal="center" vertical="center"/>
    </xf>
    <xf numFmtId="164" fontId="1" fillId="0" borderId="2" xfId="0" applyNumberFormat="1" applyFont="1" applyBorder="1" applyAlignment="1">
      <alignment horizontal="center" vertical="center"/>
    </xf>
    <xf numFmtId="164" fontId="1" fillId="0" borderId="42" xfId="0" applyNumberFormat="1" applyFont="1" applyBorder="1" applyAlignment="1">
      <alignment horizontal="center" vertical="center"/>
    </xf>
    <xf numFmtId="164" fontId="1" fillId="0" borderId="5" xfId="0" applyNumberFormat="1" applyFont="1" applyBorder="1" applyAlignment="1">
      <alignment horizontal="center" vertical="center"/>
    </xf>
    <xf numFmtId="0" fontId="1" fillId="0" borderId="42" xfId="0" applyFont="1" applyBorder="1" applyAlignment="1">
      <alignment horizontal="left" vertical="center"/>
    </xf>
    <xf numFmtId="0" fontId="1" fillId="0" borderId="43" xfId="0" applyFont="1" applyBorder="1" applyAlignment="1">
      <alignment horizontal="left" vertical="center"/>
    </xf>
    <xf numFmtId="0" fontId="19" fillId="0" borderId="0" xfId="0" applyFont="1"/>
    <xf numFmtId="0" fontId="34" fillId="0" borderId="0" xfId="0" applyFont="1" applyAlignment="1">
      <alignment horizontal="center" vertical="center"/>
    </xf>
    <xf numFmtId="0" fontId="34" fillId="0" borderId="0" xfId="0" applyFont="1" applyAlignment="1">
      <alignment horizontal="center"/>
    </xf>
    <xf numFmtId="0" fontId="2" fillId="8" borderId="54" xfId="0" applyFont="1" applyFill="1" applyBorder="1" applyAlignment="1">
      <alignment horizontal="center" vertical="center"/>
    </xf>
    <xf numFmtId="0" fontId="2" fillId="8" borderId="31" xfId="0" applyFont="1" applyFill="1" applyBorder="1" applyAlignment="1">
      <alignment horizontal="center" vertical="center"/>
    </xf>
    <xf numFmtId="0" fontId="2" fillId="8" borderId="32" xfId="0" applyFont="1" applyFill="1" applyBorder="1" applyAlignment="1">
      <alignment horizontal="center" vertical="center"/>
    </xf>
    <xf numFmtId="0" fontId="2" fillId="9" borderId="27" xfId="0" applyFont="1" applyFill="1" applyBorder="1" applyAlignment="1">
      <alignment horizontal="center" vertical="center"/>
    </xf>
    <xf numFmtId="0" fontId="2" fillId="9" borderId="23" xfId="0" applyFont="1" applyFill="1" applyBorder="1" applyAlignment="1">
      <alignment horizontal="center" vertical="center"/>
    </xf>
    <xf numFmtId="0" fontId="2" fillId="9" borderId="24" xfId="0" applyFont="1" applyFill="1" applyBorder="1" applyAlignment="1">
      <alignment horizontal="center" vertical="center"/>
    </xf>
    <xf numFmtId="0" fontId="13" fillId="0" borderId="37" xfId="0" applyFont="1" applyBorder="1" applyAlignment="1">
      <alignment horizontal="center" vertical="center"/>
    </xf>
    <xf numFmtId="0" fontId="13" fillId="0" borderId="43" xfId="0" applyFont="1" applyBorder="1" applyAlignment="1">
      <alignment horizontal="center" vertical="center"/>
    </xf>
    <xf numFmtId="0" fontId="13" fillId="0" borderId="38" xfId="0" applyFont="1" applyBorder="1" applyAlignment="1">
      <alignment horizontal="center" vertical="center"/>
    </xf>
    <xf numFmtId="0" fontId="13" fillId="0" borderId="57" xfId="0" applyFont="1" applyBorder="1" applyAlignment="1">
      <alignment horizontal="center" vertical="center"/>
    </xf>
    <xf numFmtId="0" fontId="13" fillId="0" borderId="42" xfId="0" applyFont="1" applyBorder="1" applyAlignment="1">
      <alignment horizontal="center" vertical="center"/>
    </xf>
    <xf numFmtId="0" fontId="13" fillId="0" borderId="58" xfId="0" applyFont="1" applyBorder="1" applyAlignment="1">
      <alignment horizontal="center" vertical="center"/>
    </xf>
    <xf numFmtId="0" fontId="2" fillId="0" borderId="28" xfId="0" applyFont="1" applyBorder="1" applyAlignment="1">
      <alignment horizontal="center"/>
    </xf>
    <xf numFmtId="0" fontId="2" fillId="0" borderId="29" xfId="0" applyFont="1" applyBorder="1" applyAlignment="1">
      <alignment horizontal="center"/>
    </xf>
    <xf numFmtId="0" fontId="2" fillId="0" borderId="52" xfId="0" applyFont="1" applyBorder="1" applyAlignment="1">
      <alignment horizontal="center"/>
    </xf>
    <xf numFmtId="0" fontId="3" fillId="0" borderId="54" xfId="0" applyFont="1" applyBorder="1" applyAlignment="1">
      <alignment horizontal="center" vertical="center"/>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1" fillId="0" borderId="53" xfId="0" applyFont="1" applyBorder="1" applyAlignment="1">
      <alignment horizontal="center" vertical="center"/>
    </xf>
    <xf numFmtId="0" fontId="1" fillId="0" borderId="55" xfId="0" applyFont="1" applyBorder="1" applyAlignment="1">
      <alignment horizontal="center" vertical="center"/>
    </xf>
    <xf numFmtId="0" fontId="2" fillId="7" borderId="1" xfId="0" applyFont="1" applyFill="1" applyBorder="1" applyAlignment="1">
      <alignment horizontal="center"/>
    </xf>
    <xf numFmtId="0" fontId="2" fillId="7" borderId="1" xfId="0" applyFont="1" applyFill="1" applyBorder="1" applyAlignment="1">
      <alignment horizontal="center" vertical="center"/>
    </xf>
    <xf numFmtId="0" fontId="3" fillId="7" borderId="1" xfId="0" applyFont="1" applyFill="1" applyBorder="1" applyAlignment="1">
      <alignment horizontal="center" vertical="center"/>
    </xf>
    <xf numFmtId="0" fontId="1" fillId="7" borderId="1" xfId="0" applyFont="1" applyFill="1" applyBorder="1" applyAlignment="1">
      <alignment horizontal="left" vertical="center"/>
    </xf>
    <xf numFmtId="0" fontId="1" fillId="7" borderId="1" xfId="0" applyFont="1" applyFill="1" applyBorder="1" applyAlignment="1">
      <alignment horizontal="left" vertical="center" wrapText="1"/>
    </xf>
    <xf numFmtId="0" fontId="2" fillId="6" borderId="1" xfId="0" applyFont="1" applyFill="1" applyBorder="1" applyAlignment="1">
      <alignment horizontal="center"/>
    </xf>
    <xf numFmtId="0" fontId="2" fillId="6" borderId="1" xfId="0" applyFont="1" applyFill="1" applyBorder="1" applyAlignment="1">
      <alignment horizontal="center" vertical="center"/>
    </xf>
    <xf numFmtId="0" fontId="3" fillId="6" borderId="1" xfId="0" applyFont="1" applyFill="1" applyBorder="1" applyAlignment="1">
      <alignment horizontal="center" vertical="center"/>
    </xf>
    <xf numFmtId="0" fontId="1" fillId="6" borderId="1" xfId="0" applyFont="1" applyFill="1" applyBorder="1" applyAlignment="1">
      <alignment horizontal="left" vertical="center"/>
    </xf>
    <xf numFmtId="0" fontId="1" fillId="6" borderId="1" xfId="0" applyFont="1" applyFill="1" applyBorder="1" applyAlignment="1">
      <alignment horizontal="left" vertical="center" wrapText="1"/>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 fillId="2" borderId="1" xfId="0" applyFont="1" applyFill="1" applyBorder="1" applyAlignment="1">
      <alignment horizontal="left" vertical="center" wrapText="1"/>
    </xf>
    <xf numFmtId="0" fontId="1" fillId="2" borderId="1" xfId="0" applyFont="1" applyFill="1" applyBorder="1" applyAlignment="1">
      <alignment horizontal="left" vertic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3" fillId="5" borderId="1" xfId="0" applyFont="1" applyFill="1" applyBorder="1" applyAlignment="1">
      <alignment horizontal="center" vertical="center"/>
    </xf>
    <xf numFmtId="0" fontId="1" fillId="5" borderId="1" xfId="0" applyFont="1" applyFill="1" applyBorder="1" applyAlignment="1">
      <alignment horizontal="left" vertical="center"/>
    </xf>
    <xf numFmtId="0" fontId="1" fillId="5" borderId="1" xfId="0" applyFont="1" applyFill="1" applyBorder="1" applyAlignment="1">
      <alignment horizontal="left" vertical="center" wrapText="1"/>
    </xf>
    <xf numFmtId="0" fontId="2" fillId="5" borderId="1" xfId="0" applyFont="1" applyFill="1" applyBorder="1" applyAlignment="1">
      <alignment horizontal="center" vertical="center"/>
    </xf>
    <xf numFmtId="0" fontId="2" fillId="5" borderId="1" xfId="0" applyFont="1" applyFill="1" applyBorder="1" applyAlignment="1">
      <alignment horizontal="center"/>
    </xf>
    <xf numFmtId="0" fontId="1" fillId="2" borderId="49" xfId="0" applyFont="1" applyFill="1" applyBorder="1" applyAlignment="1">
      <alignment horizontal="center" vertical="center" textRotation="90"/>
    </xf>
    <xf numFmtId="0" fontId="1" fillId="2" borderId="50" xfId="0" applyFont="1" applyFill="1" applyBorder="1" applyAlignment="1">
      <alignment horizontal="center" vertical="center" textRotation="90"/>
    </xf>
    <xf numFmtId="0" fontId="1" fillId="2" borderId="51" xfId="0" applyFont="1" applyFill="1" applyBorder="1" applyAlignment="1">
      <alignment horizontal="center" vertical="center" textRotation="90"/>
    </xf>
    <xf numFmtId="0" fontId="2" fillId="2" borderId="1"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4" xfId="0" applyFont="1" applyFill="1" applyBorder="1" applyAlignment="1">
      <alignment horizont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6" xfId="0" applyFont="1" applyFill="1" applyBorder="1" applyAlignment="1">
      <alignment horizontal="center" vertical="center"/>
    </xf>
    <xf numFmtId="0" fontId="3" fillId="5" borderId="7"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0" xfId="0" applyFont="1" applyFill="1" applyBorder="1" applyAlignment="1">
      <alignment horizontal="center" vertical="center"/>
    </xf>
    <xf numFmtId="0" fontId="3" fillId="5" borderId="9"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12" xfId="0" applyFont="1" applyFill="1" applyBorder="1" applyAlignment="1">
      <alignment horizontal="center" vertical="center"/>
    </xf>
    <xf numFmtId="0" fontId="1" fillId="5" borderId="5" xfId="0" applyFont="1" applyFill="1" applyBorder="1" applyAlignment="1">
      <alignment horizontal="left" vertical="center"/>
    </xf>
    <xf numFmtId="0" fontId="1" fillId="5" borderId="6" xfId="0" applyFont="1" applyFill="1" applyBorder="1" applyAlignment="1">
      <alignment horizontal="left" vertical="center"/>
    </xf>
    <xf numFmtId="0" fontId="1" fillId="5" borderId="7" xfId="0" applyFont="1" applyFill="1" applyBorder="1" applyAlignment="1">
      <alignment horizontal="left" vertical="center"/>
    </xf>
    <xf numFmtId="0" fontId="1" fillId="5" borderId="8" xfId="0" applyFont="1" applyFill="1" applyBorder="1" applyAlignment="1">
      <alignment horizontal="left" vertical="center"/>
    </xf>
    <xf numFmtId="0" fontId="1" fillId="5" borderId="0" xfId="0" applyFont="1" applyFill="1" applyBorder="1" applyAlignment="1">
      <alignment horizontal="left" vertical="center"/>
    </xf>
    <xf numFmtId="0" fontId="1" fillId="5" borderId="9" xfId="0" applyFont="1" applyFill="1" applyBorder="1" applyAlignment="1">
      <alignment horizontal="left" vertical="center"/>
    </xf>
    <xf numFmtId="0" fontId="1" fillId="5" borderId="10" xfId="0" applyFont="1" applyFill="1" applyBorder="1" applyAlignment="1">
      <alignment horizontal="left" vertical="center"/>
    </xf>
    <xf numFmtId="0" fontId="1" fillId="5" borderId="11" xfId="0" applyFont="1" applyFill="1" applyBorder="1" applyAlignment="1">
      <alignment horizontal="left" vertical="center"/>
    </xf>
    <xf numFmtId="0" fontId="1" fillId="5" borderId="12" xfId="0" applyFont="1" applyFill="1" applyBorder="1" applyAlignment="1">
      <alignment horizontal="left" vertical="center"/>
    </xf>
    <xf numFmtId="0" fontId="1" fillId="5" borderId="49" xfId="0" applyFont="1" applyFill="1" applyBorder="1" applyAlignment="1">
      <alignment horizontal="center" vertical="center" textRotation="90"/>
    </xf>
    <xf numFmtId="0" fontId="1" fillId="5" borderId="50" xfId="0" applyFont="1" applyFill="1" applyBorder="1" applyAlignment="1">
      <alignment horizontal="center" vertical="center" textRotation="90"/>
    </xf>
    <xf numFmtId="0" fontId="1" fillId="5" borderId="51" xfId="0" applyFont="1" applyFill="1" applyBorder="1" applyAlignment="1">
      <alignment horizontal="center" vertical="center" textRotation="90"/>
    </xf>
    <xf numFmtId="0" fontId="1" fillId="5" borderId="49" xfId="0" applyFont="1" applyFill="1" applyBorder="1" applyAlignment="1">
      <alignment horizontal="center" vertical="center" textRotation="255"/>
    </xf>
    <xf numFmtId="0" fontId="1" fillId="5" borderId="50" xfId="0" applyFont="1" applyFill="1" applyBorder="1" applyAlignment="1">
      <alignment horizontal="center" vertical="center" textRotation="255"/>
    </xf>
    <xf numFmtId="0" fontId="1" fillId="5" borderId="51" xfId="0" applyFont="1" applyFill="1" applyBorder="1" applyAlignment="1">
      <alignment horizontal="center" vertical="center" textRotation="255"/>
    </xf>
    <xf numFmtId="0" fontId="1" fillId="5" borderId="5" xfId="0" applyFont="1" applyFill="1" applyBorder="1" applyAlignment="1">
      <alignment horizontal="left" vertical="center" wrapText="1"/>
    </xf>
    <xf numFmtId="0" fontId="1" fillId="5" borderId="6" xfId="0" applyFont="1" applyFill="1" applyBorder="1" applyAlignment="1">
      <alignment horizontal="left" vertical="center" wrapText="1"/>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0"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1" fillId="5" borderId="11" xfId="0" applyFont="1" applyFill="1" applyBorder="1" applyAlignment="1">
      <alignment horizontal="left" vertical="center" wrapText="1"/>
    </xf>
    <xf numFmtId="0" fontId="1" fillId="5" borderId="12" xfId="0" applyFont="1" applyFill="1" applyBorder="1" applyAlignment="1">
      <alignment horizontal="left" vertical="center"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3" borderId="1" xfId="0" applyFont="1" applyFill="1" applyBorder="1" applyAlignment="1">
      <alignment horizontal="center"/>
    </xf>
    <xf numFmtId="0" fontId="2"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 fillId="3" borderId="1" xfId="0" applyFont="1" applyFill="1" applyBorder="1" applyAlignment="1">
      <alignment horizontal="left" vertical="center"/>
    </xf>
    <xf numFmtId="0" fontId="1" fillId="3" borderId="1" xfId="0" applyFont="1" applyFill="1" applyBorder="1" applyAlignment="1">
      <alignment horizontal="left" vertical="center" wrapText="1"/>
    </xf>
    <xf numFmtId="0" fontId="1" fillId="6" borderId="13" xfId="0" applyFont="1" applyFill="1" applyBorder="1" applyAlignment="1">
      <alignment horizontal="center" vertical="center" textRotation="255"/>
    </xf>
    <xf numFmtId="0" fontId="1" fillId="6" borderId="14" xfId="0" applyFont="1" applyFill="1" applyBorder="1" applyAlignment="1">
      <alignment horizontal="center" vertical="center" textRotation="255"/>
    </xf>
    <xf numFmtId="0" fontId="1" fillId="6" borderId="46" xfId="0" applyFont="1" applyFill="1" applyBorder="1" applyAlignment="1">
      <alignment horizontal="center" vertical="center" textRotation="255"/>
    </xf>
    <xf numFmtId="0" fontId="1" fillId="6" borderId="18" xfId="0" applyFont="1" applyFill="1" applyBorder="1" applyAlignment="1">
      <alignment horizontal="center" vertical="center" textRotation="255"/>
    </xf>
    <xf numFmtId="0" fontId="1" fillId="6" borderId="0" xfId="0" applyFont="1" applyFill="1" applyBorder="1" applyAlignment="1">
      <alignment horizontal="center" vertical="center" textRotation="255"/>
    </xf>
    <xf numFmtId="0" fontId="1" fillId="6" borderId="47" xfId="0" applyFont="1" applyFill="1" applyBorder="1" applyAlignment="1">
      <alignment horizontal="center" vertical="center" textRotation="255"/>
    </xf>
    <xf numFmtId="0" fontId="1" fillId="6" borderId="20" xfId="0" applyFont="1" applyFill="1" applyBorder="1" applyAlignment="1">
      <alignment horizontal="center" vertical="center" textRotation="255"/>
    </xf>
    <xf numFmtId="0" fontId="1" fillId="6" borderId="21" xfId="0" applyFont="1" applyFill="1" applyBorder="1" applyAlignment="1">
      <alignment horizontal="center" vertical="center" textRotation="255"/>
    </xf>
    <xf numFmtId="0" fontId="1" fillId="6" borderId="48" xfId="0" applyFont="1" applyFill="1" applyBorder="1" applyAlignment="1">
      <alignment horizontal="center" vertical="center" textRotation="255"/>
    </xf>
    <xf numFmtId="0" fontId="1" fillId="3" borderId="13" xfId="0" applyFont="1" applyFill="1" applyBorder="1" applyAlignment="1">
      <alignment horizontal="center" vertical="center" textRotation="255"/>
    </xf>
    <xf numFmtId="0" fontId="1" fillId="3" borderId="14" xfId="0" applyFont="1" applyFill="1" applyBorder="1" applyAlignment="1">
      <alignment horizontal="center" vertical="center" textRotation="255"/>
    </xf>
    <xf numFmtId="0" fontId="1" fillId="3" borderId="46" xfId="0" applyFont="1" applyFill="1" applyBorder="1" applyAlignment="1">
      <alignment horizontal="center" vertical="center" textRotation="255"/>
    </xf>
    <xf numFmtId="0" fontId="1" fillId="3" borderId="18" xfId="0" applyFont="1" applyFill="1" applyBorder="1" applyAlignment="1">
      <alignment horizontal="center" vertical="center" textRotation="255"/>
    </xf>
    <xf numFmtId="0" fontId="1" fillId="3" borderId="0" xfId="0" applyFont="1" applyFill="1" applyBorder="1" applyAlignment="1">
      <alignment horizontal="center" vertical="center" textRotation="255"/>
    </xf>
    <xf numFmtId="0" fontId="1" fillId="3" borderId="47" xfId="0" applyFont="1" applyFill="1" applyBorder="1" applyAlignment="1">
      <alignment horizontal="center" vertical="center" textRotation="255"/>
    </xf>
    <xf numFmtId="0" fontId="1" fillId="3" borderId="20" xfId="0" applyFont="1" applyFill="1" applyBorder="1" applyAlignment="1">
      <alignment horizontal="center" vertical="center" textRotation="255"/>
    </xf>
    <xf numFmtId="0" fontId="1" fillId="3" borderId="21" xfId="0" applyFont="1" applyFill="1" applyBorder="1" applyAlignment="1">
      <alignment horizontal="center" vertical="center" textRotation="255"/>
    </xf>
    <xf numFmtId="0" fontId="1" fillId="3" borderId="48" xfId="0" applyFont="1" applyFill="1" applyBorder="1" applyAlignment="1">
      <alignment horizontal="center" vertical="center" textRotation="255"/>
    </xf>
    <xf numFmtId="0" fontId="1" fillId="7" borderId="13" xfId="0" applyFont="1" applyFill="1" applyBorder="1" applyAlignment="1">
      <alignment horizontal="center" vertical="center" textRotation="255"/>
    </xf>
    <xf numFmtId="0" fontId="1" fillId="7" borderId="14" xfId="0" applyFont="1" applyFill="1" applyBorder="1" applyAlignment="1">
      <alignment horizontal="center" vertical="center" textRotation="255"/>
    </xf>
    <xf numFmtId="0" fontId="1" fillId="7" borderId="46" xfId="0" applyFont="1" applyFill="1" applyBorder="1" applyAlignment="1">
      <alignment horizontal="center" vertical="center" textRotation="255"/>
    </xf>
    <xf numFmtId="0" fontId="1" fillId="7" borderId="18" xfId="0" applyFont="1" applyFill="1" applyBorder="1" applyAlignment="1">
      <alignment horizontal="center" vertical="center" textRotation="255"/>
    </xf>
    <xf numFmtId="0" fontId="1" fillId="7" borderId="0" xfId="0" applyFont="1" applyFill="1" applyBorder="1" applyAlignment="1">
      <alignment horizontal="center" vertical="center" textRotation="255"/>
    </xf>
    <xf numFmtId="0" fontId="1" fillId="7" borderId="47" xfId="0" applyFont="1" applyFill="1" applyBorder="1" applyAlignment="1">
      <alignment horizontal="center" vertical="center" textRotation="255"/>
    </xf>
    <xf numFmtId="0" fontId="1" fillId="7" borderId="20" xfId="0" applyFont="1" applyFill="1" applyBorder="1" applyAlignment="1">
      <alignment horizontal="center" vertical="center" textRotation="255"/>
    </xf>
    <xf numFmtId="0" fontId="1" fillId="7" borderId="21" xfId="0" applyFont="1" applyFill="1" applyBorder="1" applyAlignment="1">
      <alignment horizontal="center" vertical="center" textRotation="255"/>
    </xf>
    <xf numFmtId="0" fontId="1" fillId="7" borderId="48" xfId="0" applyFont="1" applyFill="1" applyBorder="1" applyAlignment="1">
      <alignment horizontal="center" vertical="center" textRotation="255"/>
    </xf>
    <xf numFmtId="0" fontId="1" fillId="10" borderId="2" xfId="0" applyFont="1" applyFill="1" applyBorder="1" applyAlignment="1">
      <alignment horizontal="center" vertical="center"/>
    </xf>
    <xf numFmtId="0" fontId="1" fillId="10" borderId="3" xfId="0" applyFont="1" applyFill="1" applyBorder="1" applyAlignment="1">
      <alignment horizontal="center" vertical="center"/>
    </xf>
    <xf numFmtId="0" fontId="1" fillId="10" borderId="4" xfId="0" applyFont="1" applyFill="1" applyBorder="1" applyAlignment="1">
      <alignment horizontal="center" vertical="center"/>
    </xf>
    <xf numFmtId="0" fontId="1" fillId="10" borderId="1" xfId="0" applyFont="1" applyFill="1" applyBorder="1" applyAlignment="1">
      <alignment horizontal="center" vertical="center"/>
    </xf>
    <xf numFmtId="0" fontId="2" fillId="10" borderId="1" xfId="0" applyFont="1" applyFill="1" applyBorder="1" applyAlignment="1">
      <alignment horizontal="center" vertical="center"/>
    </xf>
    <xf numFmtId="0" fontId="3" fillId="10" borderId="1" xfId="0" applyFont="1" applyFill="1" applyBorder="1" applyAlignment="1">
      <alignment horizontal="center" vertical="center"/>
    </xf>
    <xf numFmtId="0" fontId="1" fillId="10" borderId="1" xfId="0" applyFont="1" applyFill="1" applyBorder="1" applyAlignment="1">
      <alignment horizontal="left" vertical="center"/>
    </xf>
    <xf numFmtId="0" fontId="1" fillId="10" borderId="1" xfId="0" applyFont="1" applyFill="1" applyBorder="1" applyAlignment="1">
      <alignment horizontal="left" vertical="center" wrapText="1"/>
    </xf>
    <xf numFmtId="0" fontId="2" fillId="10" borderId="1" xfId="0" applyFont="1" applyFill="1" applyBorder="1" applyAlignment="1">
      <alignment horizontal="center"/>
    </xf>
    <xf numFmtId="0" fontId="1" fillId="10" borderId="1" xfId="0" applyFont="1" applyFill="1" applyBorder="1" applyAlignment="1">
      <alignment horizontal="center"/>
    </xf>
    <xf numFmtId="0" fontId="1" fillId="4" borderId="1" xfId="0" applyFont="1"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1" fillId="4" borderId="4" xfId="0" applyFont="1" applyFill="1" applyBorder="1" applyAlignment="1">
      <alignment horizontal="center"/>
    </xf>
    <xf numFmtId="0" fontId="1" fillId="4" borderId="1" xfId="0" applyFont="1" applyFill="1" applyBorder="1" applyAlignment="1">
      <alignment horizontal="left" vertical="center" wrapText="1"/>
    </xf>
    <xf numFmtId="0" fontId="1" fillId="4" borderId="42" xfId="0" applyFont="1" applyFill="1" applyBorder="1" applyAlignment="1">
      <alignment horizontal="left" vertical="center" wrapText="1"/>
    </xf>
    <xf numFmtId="0" fontId="1" fillId="4" borderId="43" xfId="0" applyFont="1" applyFill="1" applyBorder="1" applyAlignment="1">
      <alignment horizontal="left" vertical="center" wrapText="1"/>
    </xf>
    <xf numFmtId="0" fontId="8" fillId="4"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1" fillId="0" borderId="79" xfId="0" applyFont="1" applyBorder="1" applyAlignment="1">
      <alignment horizontal="left" vertical="center" wrapText="1"/>
    </xf>
    <xf numFmtId="0" fontId="1" fillId="0" borderId="80" xfId="0" applyFont="1" applyBorder="1" applyAlignment="1">
      <alignment horizontal="left" vertical="center" wrapText="1"/>
    </xf>
    <xf numFmtId="0" fontId="2" fillId="4" borderId="1" xfId="0" applyFont="1" applyFill="1" applyBorder="1" applyAlignment="1">
      <alignment horizontal="center" vertical="center" wrapText="1"/>
    </xf>
    <xf numFmtId="0" fontId="1" fillId="10" borderId="5" xfId="0" applyFont="1" applyFill="1" applyBorder="1" applyAlignment="1">
      <alignment horizontal="left" vertical="center" wrapText="1"/>
    </xf>
    <xf numFmtId="0" fontId="1" fillId="10" borderId="6" xfId="0" applyFont="1" applyFill="1" applyBorder="1" applyAlignment="1">
      <alignment horizontal="left" vertical="center" wrapText="1"/>
    </xf>
    <xf numFmtId="0" fontId="1" fillId="10" borderId="7" xfId="0" applyFont="1" applyFill="1" applyBorder="1" applyAlignment="1">
      <alignment horizontal="left" vertical="center" wrapText="1"/>
    </xf>
    <xf numFmtId="0" fontId="1" fillId="10" borderId="8" xfId="0" applyFont="1" applyFill="1" applyBorder="1" applyAlignment="1">
      <alignment horizontal="left" vertical="center" wrapText="1"/>
    </xf>
    <xf numFmtId="0" fontId="1" fillId="10" borderId="0" xfId="0" applyFont="1" applyFill="1" applyBorder="1" applyAlignment="1">
      <alignment horizontal="left" vertical="center" wrapText="1"/>
    </xf>
    <xf numFmtId="0" fontId="1" fillId="10" borderId="9" xfId="0" applyFont="1" applyFill="1" applyBorder="1" applyAlignment="1">
      <alignment horizontal="left" vertical="center" wrapText="1"/>
    </xf>
    <xf numFmtId="0" fontId="1" fillId="10" borderId="10" xfId="0" applyFont="1" applyFill="1" applyBorder="1" applyAlignment="1">
      <alignment horizontal="left" vertical="center" wrapText="1"/>
    </xf>
    <xf numFmtId="0" fontId="1" fillId="10" borderId="11" xfId="0" applyFont="1" applyFill="1" applyBorder="1" applyAlignment="1">
      <alignment horizontal="left" vertical="center" wrapText="1"/>
    </xf>
    <xf numFmtId="0" fontId="1" fillId="10" borderId="12" xfId="0" applyFont="1" applyFill="1" applyBorder="1" applyAlignment="1">
      <alignment horizontal="left" vertical="center" wrapText="1"/>
    </xf>
    <xf numFmtId="0" fontId="2" fillId="10" borderId="2" xfId="0" applyFont="1" applyFill="1" applyBorder="1" applyAlignment="1">
      <alignment horizontal="center" vertical="center"/>
    </xf>
    <xf numFmtId="0" fontId="2" fillId="10" borderId="3" xfId="0" applyFont="1" applyFill="1" applyBorder="1" applyAlignment="1">
      <alignment horizontal="center" vertical="center"/>
    </xf>
    <xf numFmtId="0" fontId="2" fillId="10" borderId="4" xfId="0" applyFont="1" applyFill="1" applyBorder="1" applyAlignment="1">
      <alignment horizontal="center" vertical="center"/>
    </xf>
    <xf numFmtId="0" fontId="3" fillId="10" borderId="5" xfId="0" applyFont="1" applyFill="1" applyBorder="1" applyAlignment="1">
      <alignment horizontal="center" vertical="center"/>
    </xf>
    <xf numFmtId="0" fontId="3" fillId="10" borderId="6"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8" xfId="0" applyFont="1" applyFill="1" applyBorder="1" applyAlignment="1">
      <alignment horizontal="center" vertical="center"/>
    </xf>
    <xf numFmtId="0" fontId="3" fillId="10" borderId="0" xfId="0" applyFont="1" applyFill="1" applyAlignment="1">
      <alignment horizontal="center" vertical="center"/>
    </xf>
    <xf numFmtId="0" fontId="3" fillId="10" borderId="9" xfId="0" applyFont="1" applyFill="1" applyBorder="1" applyAlignment="1">
      <alignment horizontal="center" vertical="center"/>
    </xf>
    <xf numFmtId="0" fontId="3" fillId="10" borderId="10" xfId="0" applyFont="1" applyFill="1" applyBorder="1" applyAlignment="1">
      <alignment horizontal="center" vertical="center"/>
    </xf>
    <xf numFmtId="0" fontId="3" fillId="10" borderId="11" xfId="0" applyFont="1" applyFill="1" applyBorder="1" applyAlignment="1">
      <alignment horizontal="center" vertical="center"/>
    </xf>
    <xf numFmtId="0" fontId="3" fillId="10" borderId="12" xfId="0" applyFont="1" applyFill="1" applyBorder="1" applyAlignment="1">
      <alignment horizontal="center" vertical="center"/>
    </xf>
    <xf numFmtId="0" fontId="1" fillId="10" borderId="5" xfId="0" applyFont="1" applyFill="1" applyBorder="1" applyAlignment="1">
      <alignment horizontal="left" vertical="center"/>
    </xf>
    <xf numFmtId="0" fontId="1" fillId="10" borderId="6" xfId="0" applyFont="1" applyFill="1" applyBorder="1" applyAlignment="1">
      <alignment horizontal="left" vertical="center"/>
    </xf>
    <xf numFmtId="0" fontId="1" fillId="10" borderId="7" xfId="0" applyFont="1" applyFill="1" applyBorder="1" applyAlignment="1">
      <alignment horizontal="left" vertical="center"/>
    </xf>
    <xf numFmtId="0" fontId="1" fillId="10" borderId="8" xfId="0" applyFont="1" applyFill="1" applyBorder="1" applyAlignment="1">
      <alignment horizontal="left" vertical="center"/>
    </xf>
    <xf numFmtId="0" fontId="1" fillId="10" borderId="0" xfId="0" applyFont="1" applyFill="1" applyAlignment="1">
      <alignment horizontal="left" vertical="center"/>
    </xf>
    <xf numFmtId="0" fontId="1" fillId="10" borderId="9" xfId="0" applyFont="1" applyFill="1" applyBorder="1" applyAlignment="1">
      <alignment horizontal="left" vertical="center"/>
    </xf>
    <xf numFmtId="0" fontId="1" fillId="10" borderId="10" xfId="0" applyFont="1" applyFill="1" applyBorder="1" applyAlignment="1">
      <alignment horizontal="left" vertical="center"/>
    </xf>
    <xf numFmtId="0" fontId="1" fillId="10" borderId="11" xfId="0" applyFont="1" applyFill="1" applyBorder="1" applyAlignment="1">
      <alignment horizontal="left" vertical="center"/>
    </xf>
    <xf numFmtId="0" fontId="1" fillId="10" borderId="12" xfId="0" applyFont="1" applyFill="1" applyBorder="1" applyAlignment="1">
      <alignment horizontal="left" vertical="center"/>
    </xf>
    <xf numFmtId="0" fontId="2" fillId="10" borderId="2" xfId="0" applyFont="1" applyFill="1" applyBorder="1" applyAlignment="1">
      <alignment horizontal="center"/>
    </xf>
    <xf numFmtId="0" fontId="2" fillId="10" borderId="3" xfId="0" applyFont="1" applyFill="1" applyBorder="1" applyAlignment="1">
      <alignment horizontal="center"/>
    </xf>
    <xf numFmtId="0" fontId="2" fillId="10" borderId="4" xfId="0" applyFont="1" applyFill="1" applyBorder="1" applyAlignment="1">
      <alignment horizontal="center"/>
    </xf>
    <xf numFmtId="0" fontId="1" fillId="10" borderId="0" xfId="0" applyFont="1" applyFill="1" applyAlignment="1">
      <alignment horizontal="left" vertical="center" wrapText="1"/>
    </xf>
    <xf numFmtId="0" fontId="1" fillId="6" borderId="2" xfId="0" applyFont="1" applyFill="1" applyBorder="1" applyAlignment="1">
      <alignment horizontal="center"/>
    </xf>
    <xf numFmtId="0" fontId="1" fillId="6" borderId="3" xfId="0" applyFont="1" applyFill="1" applyBorder="1" applyAlignment="1">
      <alignment horizontal="center"/>
    </xf>
    <xf numFmtId="0" fontId="1" fillId="6" borderId="4" xfId="0" applyFont="1" applyFill="1" applyBorder="1" applyAlignment="1">
      <alignment horizontal="center"/>
    </xf>
    <xf numFmtId="0" fontId="1" fillId="6" borderId="1" xfId="0" applyFont="1" applyFill="1" applyBorder="1" applyAlignment="1">
      <alignment horizontal="center"/>
    </xf>
    <xf numFmtId="0" fontId="1" fillId="6" borderId="2" xfId="0" applyFont="1" applyFill="1" applyBorder="1" applyAlignment="1">
      <alignment horizontal="center" vertical="center"/>
    </xf>
    <xf numFmtId="0" fontId="1" fillId="6" borderId="3" xfId="0" applyFont="1" applyFill="1" applyBorder="1" applyAlignment="1">
      <alignment horizontal="center" vertical="center"/>
    </xf>
    <xf numFmtId="0" fontId="1" fillId="6"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4" xfId="0" applyFont="1" applyFill="1" applyBorder="1" applyAlignment="1">
      <alignment horizontal="center" vertical="center"/>
    </xf>
    <xf numFmtId="0" fontId="2" fillId="8" borderId="2"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4" xfId="0" applyFont="1" applyFill="1" applyBorder="1" applyAlignment="1">
      <alignment horizontal="center" vertical="center"/>
    </xf>
    <xf numFmtId="0" fontId="2" fillId="12" borderId="2" xfId="0" applyFont="1" applyFill="1" applyBorder="1" applyAlignment="1">
      <alignment horizontal="center" vertical="center"/>
    </xf>
    <xf numFmtId="0" fontId="2" fillId="12" borderId="3" xfId="0" applyFont="1" applyFill="1" applyBorder="1" applyAlignment="1">
      <alignment horizontal="center" vertical="center"/>
    </xf>
    <xf numFmtId="0" fontId="2" fillId="12" borderId="4" xfId="0" applyFont="1" applyFill="1" applyBorder="1" applyAlignment="1">
      <alignment horizontal="center" vertical="center"/>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2" borderId="2" xfId="0" applyFont="1" applyFill="1" applyBorder="1" applyAlignment="1">
      <alignment vertical="center"/>
    </xf>
    <xf numFmtId="0" fontId="1" fillId="2" borderId="4" xfId="0" applyFont="1" applyFill="1" applyBorder="1" applyAlignment="1">
      <alignment vertical="center"/>
    </xf>
    <xf numFmtId="0" fontId="1" fillId="27" borderId="2" xfId="0" applyFont="1" applyFill="1" applyBorder="1" applyAlignment="1">
      <alignment vertical="center"/>
    </xf>
    <xf numFmtId="0" fontId="1" fillId="27" borderId="4" xfId="0" applyFont="1" applyFill="1" applyBorder="1" applyAlignment="1">
      <alignment vertical="center"/>
    </xf>
    <xf numFmtId="0" fontId="1" fillId="14" borderId="5" xfId="0" applyFont="1" applyFill="1" applyBorder="1" applyAlignment="1">
      <alignment horizontal="center" vertical="center"/>
    </xf>
    <xf numFmtId="0" fontId="1" fillId="14" borderId="7" xfId="0" applyFont="1" applyFill="1" applyBorder="1" applyAlignment="1">
      <alignment horizontal="center" vertical="center"/>
    </xf>
    <xf numFmtId="0" fontId="1" fillId="14" borderId="10" xfId="0" applyFont="1" applyFill="1" applyBorder="1" applyAlignment="1">
      <alignment horizontal="center" vertical="center"/>
    </xf>
    <xf numFmtId="0" fontId="1" fillId="14" borderId="12" xfId="0" applyFont="1" applyFill="1" applyBorder="1" applyAlignment="1">
      <alignment horizontal="center" vertical="center"/>
    </xf>
    <xf numFmtId="0" fontId="1" fillId="7" borderId="1" xfId="0" applyFont="1" applyFill="1" applyBorder="1" applyAlignment="1">
      <alignment vertical="center"/>
    </xf>
    <xf numFmtId="0" fontId="1" fillId="40" borderId="1" xfId="0" applyNumberFormat="1" applyFont="1" applyFill="1" applyBorder="1" applyAlignment="1">
      <alignment horizontal="center" vertical="center" textRotation="90"/>
    </xf>
    <xf numFmtId="0" fontId="1" fillId="14" borderId="1" xfId="0" applyFont="1" applyFill="1" applyBorder="1" applyAlignment="1">
      <alignment horizontal="center" vertical="center" textRotation="90"/>
    </xf>
    <xf numFmtId="0" fontId="2" fillId="16" borderId="1" xfId="0" applyFont="1" applyFill="1" applyBorder="1" applyAlignment="1">
      <alignment horizontal="center"/>
    </xf>
    <xf numFmtId="0" fontId="1" fillId="2" borderId="1" xfId="0" applyFont="1" applyFill="1" applyBorder="1" applyAlignment="1">
      <alignment horizontal="center" vertical="center" textRotation="90"/>
    </xf>
    <xf numFmtId="0" fontId="2" fillId="17" borderId="42" xfId="0" applyFont="1" applyFill="1" applyBorder="1" applyAlignment="1">
      <alignment horizontal="center" vertical="center" textRotation="90"/>
    </xf>
    <xf numFmtId="0" fontId="2" fillId="17" borderId="59" xfId="0" applyFont="1" applyFill="1" applyBorder="1" applyAlignment="1">
      <alignment horizontal="center" vertical="center" textRotation="90"/>
    </xf>
    <xf numFmtId="0" fontId="2" fillId="17" borderId="43" xfId="0" applyFont="1" applyFill="1" applyBorder="1" applyAlignment="1">
      <alignment horizontal="center" vertical="center" textRotation="90"/>
    </xf>
    <xf numFmtId="0" fontId="2" fillId="8" borderId="1" xfId="0" applyFont="1" applyFill="1" applyBorder="1" applyAlignment="1">
      <alignment horizontal="center"/>
    </xf>
    <xf numFmtId="0" fontId="1" fillId="7" borderId="42" xfId="0" applyFont="1" applyFill="1" applyBorder="1" applyAlignment="1">
      <alignment horizontal="center" vertical="center" textRotation="90"/>
    </xf>
    <xf numFmtId="0" fontId="1" fillId="7" borderId="43" xfId="0" applyFont="1" applyFill="1" applyBorder="1" applyAlignment="1">
      <alignment horizontal="center" vertical="center" textRotation="90"/>
    </xf>
    <xf numFmtId="0" fontId="2" fillId="11" borderId="1" xfId="0" applyFont="1" applyFill="1" applyBorder="1" applyAlignment="1">
      <alignment horizontal="center"/>
    </xf>
    <xf numFmtId="0" fontId="2" fillId="13" borderId="1" xfId="0" applyFont="1" applyFill="1" applyBorder="1" applyAlignment="1">
      <alignment horizontal="center"/>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xf>
    <xf numFmtId="0" fontId="1" fillId="7" borderId="1" xfId="0" applyFont="1" applyFill="1" applyBorder="1" applyAlignment="1">
      <alignment horizontal="center" vertical="center"/>
    </xf>
    <xf numFmtId="0" fontId="2" fillId="41" borderId="1" xfId="0" applyFont="1" applyFill="1" applyBorder="1" applyAlignment="1">
      <alignment horizontal="center" vertical="center" textRotation="90"/>
    </xf>
    <xf numFmtId="0" fontId="2" fillId="12" borderId="1" xfId="0" applyFont="1" applyFill="1" applyBorder="1" applyAlignment="1">
      <alignment horizontal="center" vertical="center"/>
    </xf>
    <xf numFmtId="0" fontId="1" fillId="27" borderId="42" xfId="0" applyFont="1" applyFill="1" applyBorder="1" applyAlignment="1">
      <alignment horizontal="center" vertical="center"/>
    </xf>
    <xf numFmtId="0" fontId="1" fillId="27" borderId="59" xfId="0" applyFont="1" applyFill="1" applyBorder="1" applyAlignment="1">
      <alignment horizontal="center" vertical="center"/>
    </xf>
    <xf numFmtId="0" fontId="1" fillId="27" borderId="43" xfId="0" applyFont="1" applyFill="1" applyBorder="1" applyAlignment="1">
      <alignment horizontal="center" vertical="center"/>
    </xf>
    <xf numFmtId="0" fontId="2" fillId="16" borderId="1" xfId="0" applyFont="1" applyFill="1" applyBorder="1" applyAlignment="1">
      <alignment horizontal="center" vertical="center"/>
    </xf>
    <xf numFmtId="0" fontId="2" fillId="40" borderId="1" xfId="0" applyFont="1" applyFill="1" applyBorder="1" applyAlignment="1">
      <alignment horizontal="center" vertical="center" textRotation="90" wrapText="1"/>
    </xf>
    <xf numFmtId="0" fontId="2" fillId="9" borderId="1" xfId="0" applyFont="1" applyFill="1" applyBorder="1" applyAlignment="1">
      <alignment horizontal="center" vertical="center" textRotation="90"/>
    </xf>
    <xf numFmtId="0" fontId="2" fillId="40" borderId="42" xfId="0" applyFont="1" applyFill="1" applyBorder="1" applyAlignment="1">
      <alignment horizontal="center" vertical="center" textRotation="90"/>
    </xf>
    <xf numFmtId="0" fontId="2" fillId="40" borderId="59" xfId="0" applyFont="1" applyFill="1" applyBorder="1" applyAlignment="1">
      <alignment horizontal="center" vertical="center" textRotation="90"/>
    </xf>
    <xf numFmtId="0" fontId="2" fillId="40" borderId="43" xfId="0" applyFont="1" applyFill="1" applyBorder="1" applyAlignment="1">
      <alignment horizontal="center" vertical="center" textRotation="90"/>
    </xf>
    <xf numFmtId="0" fontId="2" fillId="12" borderId="1" xfId="0" applyFont="1" applyFill="1" applyBorder="1" applyAlignment="1">
      <alignment horizontal="center"/>
    </xf>
    <xf numFmtId="0" fontId="2" fillId="39" borderId="1" xfId="0" applyFont="1" applyFill="1" applyBorder="1" applyAlignment="1">
      <alignment horizontal="center" vertical="center" textRotation="90" wrapText="1"/>
    </xf>
    <xf numFmtId="0" fontId="2" fillId="39" borderId="1" xfId="0" applyFont="1" applyFill="1" applyBorder="1" applyAlignment="1">
      <alignment horizontal="center" vertical="center" textRotation="90"/>
    </xf>
    <xf numFmtId="0" fontId="2" fillId="40" borderId="42" xfId="0" applyFont="1" applyFill="1" applyBorder="1" applyAlignment="1">
      <alignment horizontal="center" vertical="center" textRotation="90" wrapText="1"/>
    </xf>
    <xf numFmtId="0" fontId="2" fillId="40" borderId="59" xfId="0" applyFont="1" applyFill="1" applyBorder="1" applyAlignment="1">
      <alignment horizontal="center" vertical="center" textRotation="90" wrapText="1"/>
    </xf>
    <xf numFmtId="0" fontId="2" fillId="40" borderId="43" xfId="0" applyFont="1" applyFill="1" applyBorder="1" applyAlignment="1">
      <alignment horizontal="center" vertical="center" textRotation="90" wrapText="1"/>
    </xf>
    <xf numFmtId="0" fontId="1" fillId="14" borderId="42" xfId="0" applyFont="1" applyFill="1" applyBorder="1" applyAlignment="1">
      <alignment horizontal="center" vertical="center" textRotation="90"/>
    </xf>
    <xf numFmtId="0" fontId="1" fillId="14" borderId="43" xfId="0" applyFont="1" applyFill="1" applyBorder="1" applyAlignment="1">
      <alignment horizontal="center" vertical="center" textRotation="90"/>
    </xf>
    <xf numFmtId="0" fontId="1" fillId="14" borderId="42" xfId="0" applyFont="1" applyFill="1" applyBorder="1" applyAlignment="1">
      <alignment horizontal="left" vertical="center"/>
    </xf>
    <xf numFmtId="0" fontId="1" fillId="14" borderId="43" xfId="0" applyFont="1" applyFill="1" applyBorder="1" applyAlignment="1">
      <alignment horizontal="left" vertical="center"/>
    </xf>
    <xf numFmtId="0" fontId="2" fillId="8" borderId="2" xfId="0" applyFont="1" applyFill="1" applyBorder="1" applyAlignment="1">
      <alignment horizontal="center"/>
    </xf>
    <xf numFmtId="0" fontId="2" fillId="8" borderId="3" xfId="0" applyFont="1" applyFill="1" applyBorder="1" applyAlignment="1">
      <alignment horizontal="center"/>
    </xf>
    <xf numFmtId="0" fontId="2" fillId="8" borderId="4" xfId="0" applyFont="1" applyFill="1" applyBorder="1" applyAlignment="1">
      <alignment horizontal="center"/>
    </xf>
    <xf numFmtId="0" fontId="2" fillId="41" borderId="42" xfId="0" applyFont="1" applyFill="1" applyBorder="1" applyAlignment="1">
      <alignment horizontal="center" vertical="center" textRotation="90"/>
    </xf>
    <xf numFmtId="0" fontId="2" fillId="41" borderId="59" xfId="0" applyFont="1" applyFill="1" applyBorder="1" applyAlignment="1">
      <alignment horizontal="center" vertical="center" textRotation="90"/>
    </xf>
    <xf numFmtId="0" fontId="2" fillId="41" borderId="43" xfId="0" applyFont="1" applyFill="1" applyBorder="1" applyAlignment="1">
      <alignment horizontal="center" vertical="center" textRotation="90"/>
    </xf>
    <xf numFmtId="0" fontId="1" fillId="14" borderId="42" xfId="0" applyFont="1" applyFill="1" applyBorder="1" applyAlignment="1">
      <alignment horizontal="center" vertical="center"/>
    </xf>
    <xf numFmtId="0" fontId="1" fillId="14" borderId="43" xfId="0" applyFont="1" applyFill="1" applyBorder="1" applyAlignment="1">
      <alignment horizontal="center" vertical="center"/>
    </xf>
    <xf numFmtId="0" fontId="2" fillId="8" borderId="1" xfId="0" applyFont="1" applyFill="1" applyBorder="1" applyAlignment="1">
      <alignment horizontal="center" vertical="center"/>
    </xf>
    <xf numFmtId="0" fontId="2" fillId="39" borderId="42" xfId="0" applyFont="1" applyFill="1" applyBorder="1" applyAlignment="1">
      <alignment horizontal="center" vertical="center" textRotation="90" wrapText="1"/>
    </xf>
    <xf numFmtId="0" fontId="2" fillId="39" borderId="43" xfId="0" applyFont="1" applyFill="1" applyBorder="1" applyAlignment="1">
      <alignment horizontal="center" vertical="center" textRotation="90" wrapText="1"/>
    </xf>
    <xf numFmtId="0" fontId="1" fillId="38" borderId="42" xfId="0" applyFont="1" applyFill="1" applyBorder="1" applyAlignment="1">
      <alignment horizontal="center" vertical="center" textRotation="90"/>
    </xf>
    <xf numFmtId="0" fontId="1" fillId="38" borderId="43" xfId="0" applyFont="1" applyFill="1" applyBorder="1" applyAlignment="1">
      <alignment horizontal="center" vertical="center" textRotation="90"/>
    </xf>
    <xf numFmtId="0" fontId="1" fillId="38" borderId="42" xfId="0" applyFont="1" applyFill="1" applyBorder="1" applyAlignment="1">
      <alignment horizontal="center" vertical="center"/>
    </xf>
    <xf numFmtId="0" fontId="1" fillId="38" borderId="43" xfId="0" applyFont="1" applyFill="1" applyBorder="1" applyAlignment="1">
      <alignment horizontal="center" vertical="center"/>
    </xf>
    <xf numFmtId="0" fontId="2" fillId="9" borderId="42" xfId="0" applyFont="1" applyFill="1" applyBorder="1" applyAlignment="1">
      <alignment horizontal="center" vertical="center" textRotation="90"/>
    </xf>
    <xf numFmtId="0" fontId="2" fillId="9" borderId="59" xfId="0" applyFont="1" applyFill="1" applyBorder="1" applyAlignment="1">
      <alignment horizontal="center" vertical="center" textRotation="90"/>
    </xf>
    <xf numFmtId="0" fontId="2" fillId="9" borderId="43" xfId="0" applyFont="1" applyFill="1" applyBorder="1" applyAlignment="1">
      <alignment horizontal="center" vertical="center" textRotation="90"/>
    </xf>
    <xf numFmtId="0" fontId="1" fillId="16" borderId="2" xfId="0" applyFont="1" applyFill="1" applyBorder="1" applyAlignment="1">
      <alignment horizontal="center"/>
    </xf>
    <xf numFmtId="0" fontId="1" fillId="16" borderId="3" xfId="0" applyFont="1" applyFill="1" applyBorder="1" applyAlignment="1">
      <alignment horizontal="center"/>
    </xf>
    <xf numFmtId="0" fontId="1" fillId="16" borderId="4" xfId="0" applyFont="1" applyFill="1" applyBorder="1" applyAlignment="1">
      <alignment horizontal="center"/>
    </xf>
    <xf numFmtId="0" fontId="2" fillId="31" borderId="1" xfId="0" applyFont="1" applyFill="1" applyBorder="1" applyAlignment="1">
      <alignment horizontal="center"/>
    </xf>
    <xf numFmtId="0" fontId="3" fillId="4" borderId="1" xfId="0" applyFont="1" applyFill="1" applyBorder="1" applyAlignment="1">
      <alignment horizontal="center" vertical="center"/>
    </xf>
    <xf numFmtId="0" fontId="3" fillId="4" borderId="25" xfId="0" applyFont="1" applyFill="1" applyBorder="1" applyAlignment="1">
      <alignment horizontal="center" vertical="center"/>
    </xf>
    <xf numFmtId="0" fontId="3" fillId="4" borderId="70" xfId="0" applyFont="1" applyFill="1" applyBorder="1" applyAlignment="1">
      <alignment horizontal="center" vertical="center"/>
    </xf>
    <xf numFmtId="0" fontId="2" fillId="4" borderId="2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57" xfId="0" applyFont="1" applyFill="1" applyBorder="1" applyAlignment="1">
      <alignment horizontal="center" vertical="center"/>
    </xf>
    <xf numFmtId="0" fontId="2" fillId="4" borderId="42" xfId="0" applyFont="1" applyFill="1" applyBorder="1" applyAlignment="1">
      <alignment horizontal="center" vertical="center"/>
    </xf>
    <xf numFmtId="0" fontId="2" fillId="4" borderId="58" xfId="0" applyFont="1" applyFill="1" applyBorder="1" applyAlignment="1">
      <alignment horizontal="center" vertical="center"/>
    </xf>
    <xf numFmtId="0" fontId="3" fillId="4" borderId="66"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1" fillId="4" borderId="1" xfId="0" applyFont="1" applyFill="1" applyBorder="1" applyAlignment="1">
      <alignment horizontal="center" vertical="center" textRotation="255"/>
    </xf>
    <xf numFmtId="0" fontId="2" fillId="4" borderId="1" xfId="0" applyFont="1" applyFill="1" applyBorder="1" applyAlignment="1">
      <alignment horizontal="center"/>
    </xf>
    <xf numFmtId="0" fontId="1" fillId="4" borderId="42" xfId="0" applyFont="1" applyFill="1" applyBorder="1" applyAlignment="1">
      <alignment horizontal="center" vertical="center" textRotation="255"/>
    </xf>
    <xf numFmtId="0" fontId="1" fillId="4" borderId="59" xfId="0" applyFont="1" applyFill="1" applyBorder="1" applyAlignment="1">
      <alignment horizontal="center" vertical="center" textRotation="255"/>
    </xf>
    <xf numFmtId="0" fontId="1" fillId="4" borderId="43" xfId="0" applyFont="1" applyFill="1" applyBorder="1" applyAlignment="1">
      <alignment horizontal="center" vertical="center" textRotation="255"/>
    </xf>
    <xf numFmtId="0" fontId="2" fillId="2" borderId="1" xfId="0" applyFont="1" applyFill="1" applyBorder="1"/>
    <xf numFmtId="0" fontId="2" fillId="40" borderId="1" xfId="0" applyFont="1" applyFill="1" applyBorder="1"/>
    <xf numFmtId="0" fontId="2" fillId="12" borderId="1" xfId="0" applyFont="1" applyFill="1" applyBorder="1"/>
    <xf numFmtId="0" fontId="2" fillId="27" borderId="1" xfId="0" applyFont="1" applyFill="1" applyBorder="1"/>
    <xf numFmtId="0" fontId="2" fillId="6" borderId="1" xfId="0" applyFont="1" applyFill="1" applyBorder="1"/>
    <xf numFmtId="0" fontId="2" fillId="45" borderId="1" xfId="0" applyFont="1" applyFill="1" applyBorder="1"/>
    <xf numFmtId="0" fontId="2" fillId="8" borderId="1" xfId="0" applyFont="1" applyFill="1" applyBorder="1"/>
    <xf numFmtId="0" fontId="2" fillId="31" borderId="1" xfId="0" applyFont="1" applyFill="1" applyBorder="1"/>
    <xf numFmtId="0" fontId="2" fillId="13" borderId="49" xfId="0" applyFont="1" applyFill="1" applyBorder="1" applyAlignment="1">
      <alignment horizontal="center" vertical="center" textRotation="255"/>
    </xf>
    <xf numFmtId="0" fontId="2" fillId="13" borderId="50" xfId="0" applyFont="1" applyFill="1" applyBorder="1" applyAlignment="1">
      <alignment horizontal="center" vertical="center" textRotation="255"/>
    </xf>
    <xf numFmtId="0" fontId="2" fillId="13" borderId="51" xfId="0" applyFont="1" applyFill="1" applyBorder="1" applyAlignment="1">
      <alignment horizontal="center" vertical="center" textRotation="255"/>
    </xf>
    <xf numFmtId="0" fontId="2" fillId="12" borderId="13" xfId="0" applyFont="1" applyFill="1" applyBorder="1" applyAlignment="1">
      <alignment horizontal="center" vertical="center" textRotation="255"/>
    </xf>
    <xf numFmtId="0" fontId="2" fillId="12" borderId="18" xfId="0" applyFont="1" applyFill="1" applyBorder="1" applyAlignment="1">
      <alignment horizontal="center" vertical="center" textRotation="255"/>
    </xf>
    <xf numFmtId="0" fontId="2" fillId="12" borderId="20" xfId="0" applyFont="1" applyFill="1" applyBorder="1" applyAlignment="1">
      <alignment horizontal="center" vertical="center" textRotation="255"/>
    </xf>
    <xf numFmtId="0" fontId="2" fillId="44" borderId="53" xfId="0" applyFont="1" applyFill="1" applyBorder="1" applyAlignment="1">
      <alignment horizontal="center" vertical="center" textRotation="255"/>
    </xf>
    <xf numFmtId="0" fontId="2" fillId="44" borderId="33" xfId="0" applyFont="1" applyFill="1" applyBorder="1" applyAlignment="1">
      <alignment horizontal="center" vertical="center" textRotation="255"/>
    </xf>
    <xf numFmtId="0" fontId="2" fillId="44" borderId="34" xfId="0" applyFont="1" applyFill="1" applyBorder="1" applyAlignment="1">
      <alignment horizontal="center" vertical="center" textRotation="255"/>
    </xf>
    <xf numFmtId="0" fontId="2" fillId="16" borderId="13" xfId="0" applyFont="1" applyFill="1" applyBorder="1" applyAlignment="1">
      <alignment horizontal="center" vertical="center" textRotation="255"/>
    </xf>
    <xf numFmtId="0" fontId="2" fillId="16" borderId="18" xfId="0" applyFont="1" applyFill="1" applyBorder="1" applyAlignment="1">
      <alignment horizontal="center" vertical="center" textRotation="255"/>
    </xf>
    <xf numFmtId="0" fontId="2" fillId="16" borderId="50" xfId="0" applyFont="1" applyFill="1" applyBorder="1" applyAlignment="1">
      <alignment horizontal="center" vertical="center" textRotation="255"/>
    </xf>
    <xf numFmtId="0" fontId="2" fillId="16" borderId="51" xfId="0" applyFont="1" applyFill="1" applyBorder="1" applyAlignment="1">
      <alignment horizontal="center" vertical="center" textRotation="255"/>
    </xf>
    <xf numFmtId="0" fontId="2" fillId="6" borderId="27" xfId="0" applyFont="1" applyFill="1" applyBorder="1" applyAlignment="1">
      <alignment horizontal="center" vertical="center"/>
    </xf>
    <xf numFmtId="0" fontId="2" fillId="6" borderId="24" xfId="0" applyFont="1" applyFill="1" applyBorder="1" applyAlignment="1">
      <alignment horizontal="center" vertical="center"/>
    </xf>
    <xf numFmtId="0" fontId="1" fillId="4" borderId="25" xfId="0" applyFont="1" applyFill="1" applyBorder="1" applyAlignment="1">
      <alignment horizontal="center" vertical="center"/>
    </xf>
    <xf numFmtId="0" fontId="1" fillId="4" borderId="17" xfId="0" applyFont="1" applyFill="1" applyBorder="1" applyAlignment="1">
      <alignment horizontal="center" vertical="center"/>
    </xf>
    <xf numFmtId="0" fontId="1" fillId="4" borderId="39" xfId="0" applyFont="1" applyFill="1" applyBorder="1" applyAlignment="1">
      <alignment horizontal="center" vertical="center"/>
    </xf>
    <xf numFmtId="0" fontId="1" fillId="4" borderId="40" xfId="0" applyFont="1" applyFill="1" applyBorder="1" applyAlignment="1">
      <alignment horizontal="center" vertical="center"/>
    </xf>
    <xf numFmtId="0" fontId="1" fillId="4" borderId="41" xfId="0" applyFont="1" applyFill="1" applyBorder="1" applyAlignment="1">
      <alignment horizontal="center" vertical="center"/>
    </xf>
    <xf numFmtId="0" fontId="12" fillId="6" borderId="1"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4"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2" xfId="0" applyFont="1" applyFill="1" applyBorder="1" applyAlignment="1">
      <alignment horizontal="center"/>
    </xf>
    <xf numFmtId="0" fontId="12" fillId="2" borderId="4" xfId="0" applyFont="1" applyFill="1" applyBorder="1" applyAlignment="1">
      <alignment horizontal="center"/>
    </xf>
    <xf numFmtId="0" fontId="11" fillId="2" borderId="1" xfId="0" applyFont="1" applyFill="1" applyBorder="1" applyAlignment="1">
      <alignment horizontal="center"/>
    </xf>
    <xf numFmtId="0" fontId="11" fillId="11" borderId="2" xfId="0" applyFont="1" applyFill="1" applyBorder="1" applyAlignment="1">
      <alignment horizontal="center" vertical="center"/>
    </xf>
    <xf numFmtId="0" fontId="11" fillId="11" borderId="3" xfId="0" applyFont="1" applyFill="1" applyBorder="1" applyAlignment="1">
      <alignment horizontal="center" vertical="center"/>
    </xf>
    <xf numFmtId="0" fontId="11" fillId="11" borderId="4" xfId="0" applyFont="1" applyFill="1" applyBorder="1" applyAlignment="1">
      <alignment horizontal="center" vertical="center"/>
    </xf>
    <xf numFmtId="0" fontId="11" fillId="17" borderId="10" xfId="0" applyFont="1" applyFill="1" applyBorder="1" applyAlignment="1">
      <alignment horizontal="center"/>
    </xf>
    <xf numFmtId="0" fontId="11" fillId="17" borderId="11" xfId="0" applyFont="1" applyFill="1" applyBorder="1" applyAlignment="1">
      <alignment horizontal="center"/>
    </xf>
    <xf numFmtId="0" fontId="11" fillId="17" borderId="12" xfId="0" applyFont="1" applyFill="1" applyBorder="1" applyAlignment="1">
      <alignment horizontal="center"/>
    </xf>
    <xf numFmtId="0" fontId="11" fillId="19" borderId="1" xfId="0" applyFont="1" applyFill="1" applyBorder="1" applyAlignment="1">
      <alignment horizontal="center" vertical="center"/>
    </xf>
    <xf numFmtId="0" fontId="20" fillId="18" borderId="1" xfId="0" applyFont="1" applyFill="1" applyBorder="1" applyAlignment="1">
      <alignment vertical="center" wrapText="1"/>
    </xf>
    <xf numFmtId="0" fontId="12" fillId="18" borderId="1" xfId="0" applyFont="1" applyFill="1" applyBorder="1" applyAlignment="1">
      <alignment horizontal="center" vertical="center"/>
    </xf>
    <xf numFmtId="0" fontId="12" fillId="8" borderId="2" xfId="0" applyFont="1" applyFill="1" applyBorder="1" applyAlignment="1">
      <alignment horizontal="center"/>
    </xf>
    <xf numFmtId="0" fontId="12" fillId="8" borderId="4" xfId="0" applyFont="1" applyFill="1" applyBorder="1" applyAlignment="1">
      <alignment horizontal="center"/>
    </xf>
    <xf numFmtId="0" fontId="12" fillId="12" borderId="2" xfId="0" applyFont="1" applyFill="1" applyBorder="1" applyAlignment="1">
      <alignment horizontal="center"/>
    </xf>
    <xf numFmtId="0" fontId="12" fillId="12" borderId="4" xfId="0" applyFont="1" applyFill="1" applyBorder="1" applyAlignment="1">
      <alignment horizontal="center"/>
    </xf>
    <xf numFmtId="0" fontId="12" fillId="13" borderId="2" xfId="0" applyFont="1" applyFill="1" applyBorder="1" applyAlignment="1">
      <alignment horizontal="center"/>
    </xf>
    <xf numFmtId="0" fontId="12" fillId="13" borderId="4" xfId="0" applyFont="1" applyFill="1" applyBorder="1" applyAlignment="1">
      <alignment horizontal="center"/>
    </xf>
    <xf numFmtId="0" fontId="12" fillId="16" borderId="2" xfId="0" applyFont="1" applyFill="1" applyBorder="1" applyAlignment="1">
      <alignment horizontal="center"/>
    </xf>
    <xf numFmtId="0" fontId="12" fillId="16" borderId="4" xfId="0" applyFont="1" applyFill="1" applyBorder="1" applyAlignment="1">
      <alignment horizontal="center"/>
    </xf>
    <xf numFmtId="0" fontId="12" fillId="15" borderId="2" xfId="0" applyFont="1" applyFill="1" applyBorder="1" applyAlignment="1">
      <alignment horizontal="center"/>
    </xf>
    <xf numFmtId="0" fontId="12" fillId="15" borderId="4" xfId="0" applyFont="1" applyFill="1" applyBorder="1" applyAlignment="1">
      <alignment horizontal="center"/>
    </xf>
    <xf numFmtId="0" fontId="12" fillId="6" borderId="5" xfId="0" applyFont="1" applyFill="1" applyBorder="1" applyAlignment="1">
      <alignment horizontal="center" vertical="center"/>
    </xf>
    <xf numFmtId="0" fontId="12" fillId="6" borderId="7" xfId="0" applyFont="1" applyFill="1" applyBorder="1" applyAlignment="1">
      <alignment horizontal="center" vertical="center"/>
    </xf>
    <xf numFmtId="0" fontId="12" fillId="6" borderId="8" xfId="0" applyFont="1" applyFill="1" applyBorder="1" applyAlignment="1">
      <alignment horizontal="center" vertical="center"/>
    </xf>
    <xf numFmtId="0" fontId="12" fillId="6" borderId="9" xfId="0" applyFont="1" applyFill="1" applyBorder="1" applyAlignment="1">
      <alignment horizontal="center" vertical="center"/>
    </xf>
    <xf numFmtId="0" fontId="12" fillId="6" borderId="10" xfId="0" applyFont="1" applyFill="1" applyBorder="1" applyAlignment="1">
      <alignment horizontal="center" vertical="center"/>
    </xf>
    <xf numFmtId="0" fontId="12" fillId="6" borderId="12" xfId="0" applyFont="1" applyFill="1" applyBorder="1" applyAlignment="1">
      <alignment horizontal="center" vertical="center"/>
    </xf>
    <xf numFmtId="0" fontId="20" fillId="18" borderId="10" xfId="0" applyFont="1" applyFill="1" applyBorder="1" applyAlignment="1">
      <alignment horizontal="left"/>
    </xf>
    <xf numFmtId="0" fontId="20" fillId="18" borderId="11" xfId="0" applyFont="1" applyFill="1" applyBorder="1" applyAlignment="1">
      <alignment horizontal="left"/>
    </xf>
    <xf numFmtId="0" fontId="12" fillId="18" borderId="5" xfId="0" applyFont="1" applyFill="1" applyBorder="1" applyAlignment="1">
      <alignment horizontal="left" vertical="top" wrapText="1"/>
    </xf>
    <xf numFmtId="0" fontId="12" fillId="18" borderId="8" xfId="0" applyFont="1" applyFill="1" applyBorder="1" applyAlignment="1">
      <alignment horizontal="left" vertical="top"/>
    </xf>
    <xf numFmtId="0" fontId="12" fillId="18" borderId="10" xfId="0" applyFont="1" applyFill="1" applyBorder="1" applyAlignment="1">
      <alignment horizontal="left" vertical="top"/>
    </xf>
    <xf numFmtId="0" fontId="12" fillId="7" borderId="8" xfId="0" applyFont="1" applyFill="1" applyBorder="1" applyAlignment="1">
      <alignment horizontal="center" vertical="center"/>
    </xf>
    <xf numFmtId="0" fontId="12" fillId="7" borderId="9" xfId="0" applyFont="1" applyFill="1" applyBorder="1" applyAlignment="1">
      <alignment horizontal="center" vertical="center"/>
    </xf>
    <xf numFmtId="0" fontId="12" fillId="7" borderId="10" xfId="0" applyFont="1" applyFill="1" applyBorder="1" applyAlignment="1">
      <alignment horizontal="center" vertical="center"/>
    </xf>
    <xf numFmtId="0" fontId="12" fillId="7" borderId="12" xfId="0" applyFont="1" applyFill="1" applyBorder="1" applyAlignment="1">
      <alignment horizontal="center" vertical="center"/>
    </xf>
    <xf numFmtId="0" fontId="18" fillId="19" borderId="2" xfId="0" applyFont="1" applyFill="1" applyBorder="1" applyAlignment="1">
      <alignment horizontal="center" vertical="center"/>
    </xf>
    <xf numFmtId="0" fontId="18" fillId="19" borderId="3" xfId="0" applyFont="1" applyFill="1" applyBorder="1" applyAlignment="1">
      <alignment horizontal="center" vertical="center"/>
    </xf>
    <xf numFmtId="0" fontId="18" fillId="19" borderId="4" xfId="0" applyFont="1" applyFill="1" applyBorder="1" applyAlignment="1">
      <alignment horizontal="center" vertical="center"/>
    </xf>
    <xf numFmtId="0" fontId="11" fillId="19" borderId="1" xfId="0" applyFont="1" applyFill="1" applyBorder="1" applyAlignment="1">
      <alignment horizontal="center"/>
    </xf>
    <xf numFmtId="0" fontId="11" fillId="18" borderId="5" xfId="0" applyFont="1" applyFill="1" applyBorder="1" applyAlignment="1">
      <alignment horizontal="left" vertical="center"/>
    </xf>
    <xf numFmtId="0" fontId="11" fillId="18" borderId="6" xfId="0" applyFont="1" applyFill="1" applyBorder="1" applyAlignment="1">
      <alignment horizontal="left" vertical="center"/>
    </xf>
    <xf numFmtId="0" fontId="11" fillId="18" borderId="10" xfId="0" applyFont="1" applyFill="1" applyBorder="1" applyAlignment="1">
      <alignment horizontal="left" vertical="center"/>
    </xf>
    <xf numFmtId="0" fontId="11" fillId="18" borderId="11" xfId="0" applyFont="1" applyFill="1" applyBorder="1" applyAlignment="1">
      <alignment horizontal="left" vertical="center"/>
    </xf>
    <xf numFmtId="0" fontId="20" fillId="18" borderId="1" xfId="0" applyFont="1" applyFill="1" applyBorder="1" applyAlignment="1">
      <alignment horizontal="left" vertical="center" wrapText="1"/>
    </xf>
    <xf numFmtId="0" fontId="12" fillId="18" borderId="1" xfId="0" applyFont="1" applyFill="1" applyBorder="1" applyAlignment="1">
      <alignment horizontal="center" vertical="center" wrapText="1"/>
    </xf>
    <xf numFmtId="0" fontId="12" fillId="18" borderId="5" xfId="0" applyFont="1" applyFill="1" applyBorder="1" applyAlignment="1">
      <alignment horizontal="left" vertical="center" wrapText="1"/>
    </xf>
    <xf numFmtId="0" fontId="12" fillId="18" borderId="6"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11" xfId="0" applyFont="1" applyFill="1" applyBorder="1" applyAlignment="1">
      <alignment horizontal="left" vertical="center" wrapText="1"/>
    </xf>
    <xf numFmtId="0" fontId="12" fillId="18" borderId="6" xfId="0" applyFont="1" applyFill="1" applyBorder="1" applyAlignment="1">
      <alignment horizontal="left" vertical="top"/>
    </xf>
    <xf numFmtId="0" fontId="12" fillId="18" borderId="0" xfId="0" applyFont="1" applyFill="1" applyAlignment="1">
      <alignment horizontal="left" vertical="top"/>
    </xf>
    <xf numFmtId="0" fontId="12" fillId="18" borderId="11" xfId="0" applyFont="1" applyFill="1" applyBorder="1" applyAlignment="1">
      <alignment horizontal="left" vertical="top"/>
    </xf>
    <xf numFmtId="0" fontId="20" fillId="18" borderId="1" xfId="0" applyFont="1" applyFill="1" applyBorder="1" applyAlignment="1">
      <alignment horizontal="left" vertical="top"/>
    </xf>
    <xf numFmtId="0" fontId="20" fillId="18" borderId="1" xfId="0" applyFont="1" applyFill="1" applyBorder="1" applyAlignment="1">
      <alignment horizontal="left"/>
    </xf>
    <xf numFmtId="0" fontId="1" fillId="4" borderId="1" xfId="0" applyFont="1" applyFill="1" applyBorder="1" applyAlignment="1">
      <alignment vertical="center"/>
    </xf>
    <xf numFmtId="0" fontId="1" fillId="0" borderId="2" xfId="0" applyFont="1" applyFill="1" applyBorder="1" applyAlignment="1">
      <alignment vertical="center" wrapText="1"/>
    </xf>
    <xf numFmtId="0" fontId="1" fillId="0" borderId="3" xfId="0" applyFont="1" applyFill="1" applyBorder="1" applyAlignment="1">
      <alignment vertical="center" wrapText="1"/>
    </xf>
    <xf numFmtId="0" fontId="1" fillId="0" borderId="4" xfId="0" applyFont="1" applyFill="1" applyBorder="1" applyAlignment="1">
      <alignment vertical="center" wrapText="1"/>
    </xf>
    <xf numFmtId="0" fontId="1" fillId="4" borderId="2" xfId="0" applyFont="1" applyFill="1" applyBorder="1" applyAlignment="1">
      <alignment vertical="center" wrapText="1"/>
    </xf>
    <xf numFmtId="0" fontId="1" fillId="4" borderId="3" xfId="0" applyFont="1" applyFill="1" applyBorder="1" applyAlignment="1">
      <alignment vertical="center" wrapText="1"/>
    </xf>
    <xf numFmtId="0" fontId="1" fillId="4" borderId="4" xfId="0" applyFont="1" applyFill="1" applyBorder="1" applyAlignment="1">
      <alignment vertical="center" wrapText="1"/>
    </xf>
    <xf numFmtId="0" fontId="1" fillId="4" borderId="2" xfId="0" applyFont="1" applyFill="1" applyBorder="1" applyAlignment="1">
      <alignment horizontal="left" vertical="center"/>
    </xf>
    <xf numFmtId="0" fontId="1" fillId="4" borderId="3" xfId="0" applyFont="1" applyFill="1" applyBorder="1" applyAlignment="1">
      <alignment horizontal="left" vertical="center"/>
    </xf>
    <xf numFmtId="0" fontId="1" fillId="4" borderId="4" xfId="0" applyFont="1" applyFill="1" applyBorder="1" applyAlignment="1">
      <alignment horizontal="left" vertical="center"/>
    </xf>
    <xf numFmtId="164" fontId="1" fillId="4" borderId="2" xfId="0" applyNumberFormat="1" applyFont="1" applyFill="1" applyBorder="1" applyAlignment="1">
      <alignment horizontal="right" vertical="center"/>
    </xf>
    <xf numFmtId="164" fontId="1" fillId="4" borderId="4" xfId="0" applyNumberFormat="1" applyFont="1" applyFill="1" applyBorder="1" applyAlignment="1">
      <alignment horizontal="right" vertical="center"/>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6" fontId="1" fillId="4" borderId="2" xfId="0" applyNumberFormat="1" applyFont="1" applyFill="1" applyBorder="1" applyAlignment="1">
      <alignment horizontal="right" vertical="center"/>
    </xf>
    <xf numFmtId="6" fontId="1" fillId="4" borderId="4" xfId="0" applyNumberFormat="1" applyFont="1" applyFill="1" applyBorder="1" applyAlignment="1">
      <alignment horizontal="right" vertical="center"/>
    </xf>
    <xf numFmtId="0" fontId="1" fillId="4" borderId="2" xfId="0" applyFont="1" applyFill="1" applyBorder="1" applyAlignment="1">
      <alignment vertical="center"/>
    </xf>
    <xf numFmtId="0" fontId="1" fillId="4" borderId="3" xfId="0" applyFont="1" applyFill="1" applyBorder="1" applyAlignment="1">
      <alignment vertical="center"/>
    </xf>
    <xf numFmtId="0" fontId="1" fillId="4" borderId="4" xfId="0" applyFont="1" applyFill="1" applyBorder="1" applyAlignment="1">
      <alignment vertical="center"/>
    </xf>
    <xf numFmtId="0" fontId="1" fillId="4" borderId="1" xfId="0" applyFont="1" applyFill="1" applyBorder="1" applyAlignment="1">
      <alignment vertical="center" wrapText="1"/>
    </xf>
    <xf numFmtId="0" fontId="1" fillId="4" borderId="16" xfId="0" applyFont="1" applyFill="1" applyBorder="1" applyAlignment="1">
      <alignment vertical="center"/>
    </xf>
    <xf numFmtId="6" fontId="1" fillId="4" borderId="2" xfId="0" applyNumberFormat="1" applyFont="1" applyFill="1" applyBorder="1" applyAlignment="1">
      <alignment vertical="center"/>
    </xf>
    <xf numFmtId="6" fontId="1" fillId="4" borderId="4" xfId="0" applyNumberFormat="1" applyFont="1" applyFill="1" applyBorder="1" applyAlignment="1">
      <alignment vertical="center"/>
    </xf>
    <xf numFmtId="0" fontId="1" fillId="4" borderId="1" xfId="0" applyFont="1" applyFill="1" applyBorder="1" applyAlignment="1">
      <alignment horizontal="left" vertical="center"/>
    </xf>
    <xf numFmtId="0" fontId="1" fillId="4" borderId="5" xfId="0" applyFont="1" applyFill="1" applyBorder="1" applyAlignment="1">
      <alignment horizontal="left" vertical="center" wrapText="1"/>
    </xf>
    <xf numFmtId="0" fontId="1" fillId="4" borderId="6" xfId="0" applyFont="1" applyFill="1" applyBorder="1" applyAlignment="1">
      <alignment horizontal="left" vertical="center" wrapText="1"/>
    </xf>
    <xf numFmtId="0" fontId="1" fillId="4" borderId="7" xfId="0" applyFont="1" applyFill="1" applyBorder="1" applyAlignment="1">
      <alignment horizontal="left" vertical="center" wrapText="1"/>
    </xf>
    <xf numFmtId="0" fontId="1" fillId="0" borderId="2" xfId="0" applyFont="1" applyFill="1" applyBorder="1" applyAlignment="1">
      <alignment vertical="center"/>
    </xf>
    <xf numFmtId="0" fontId="1" fillId="0" borderId="3" xfId="0" applyFont="1" applyFill="1" applyBorder="1" applyAlignment="1">
      <alignment vertical="center"/>
    </xf>
    <xf numFmtId="0" fontId="1" fillId="0" borderId="4" xfId="0" applyFont="1" applyFill="1" applyBorder="1" applyAlignment="1">
      <alignment vertical="center"/>
    </xf>
    <xf numFmtId="6" fontId="1" fillId="4" borderId="1" xfId="0" applyNumberFormat="1" applyFont="1" applyFill="1" applyBorder="1" applyAlignment="1">
      <alignment vertical="center"/>
    </xf>
    <xf numFmtId="0" fontId="1" fillId="4" borderId="2"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4" borderId="4" xfId="0" applyFont="1" applyFill="1" applyBorder="1" applyAlignment="1">
      <alignment horizontal="left" vertical="center" wrapText="1"/>
    </xf>
    <xf numFmtId="6" fontId="1" fillId="4" borderId="1" xfId="0" applyNumberFormat="1" applyFont="1" applyFill="1" applyBorder="1" applyAlignment="1">
      <alignment horizontal="right" vertical="center"/>
    </xf>
    <xf numFmtId="6" fontId="1" fillId="0" borderId="2" xfId="0" applyNumberFormat="1" applyFont="1" applyFill="1" applyBorder="1" applyAlignment="1">
      <alignment vertical="center"/>
    </xf>
    <xf numFmtId="6" fontId="1" fillId="0" borderId="4" xfId="0" applyNumberFormat="1" applyFont="1" applyFill="1" applyBorder="1" applyAlignment="1">
      <alignment vertical="center"/>
    </xf>
    <xf numFmtId="164" fontId="1" fillId="4" borderId="1" xfId="0" applyNumberFormat="1" applyFont="1" applyFill="1" applyBorder="1" applyAlignment="1">
      <alignment vertical="center"/>
    </xf>
    <xf numFmtId="6" fontId="1" fillId="4" borderId="16" xfId="0" applyNumberFormat="1" applyFont="1" applyFill="1" applyBorder="1" applyAlignment="1">
      <alignment vertical="center"/>
    </xf>
    <xf numFmtId="0" fontId="2" fillId="4" borderId="31" xfId="0" applyFont="1" applyFill="1" applyBorder="1" applyAlignment="1">
      <alignment horizontal="center" vertical="center"/>
    </xf>
    <xf numFmtId="6" fontId="1" fillId="4" borderId="16" xfId="0" applyNumberFormat="1" applyFont="1" applyFill="1" applyBorder="1" applyAlignment="1">
      <alignment horizontal="right" vertical="center"/>
    </xf>
    <xf numFmtId="0" fontId="1" fillId="4" borderId="16" xfId="0" applyFont="1" applyFill="1" applyBorder="1" applyAlignment="1">
      <alignment horizontal="right" vertical="center"/>
    </xf>
    <xf numFmtId="0" fontId="1" fillId="4" borderId="16" xfId="0" applyFont="1" applyFill="1" applyBorder="1" applyAlignment="1">
      <alignment horizontal="left" vertical="center" wrapText="1"/>
    </xf>
    <xf numFmtId="0" fontId="1" fillId="4" borderId="16" xfId="0" applyFont="1" applyFill="1" applyBorder="1" applyAlignment="1">
      <alignment horizontal="left" vertical="center"/>
    </xf>
    <xf numFmtId="0" fontId="1" fillId="4" borderId="16" xfId="0" applyFont="1" applyFill="1" applyBorder="1" applyAlignment="1">
      <alignment vertical="center" wrapText="1"/>
    </xf>
    <xf numFmtId="0" fontId="2" fillId="0" borderId="28" xfId="0"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8" xfId="0" applyFont="1" applyBorder="1" applyAlignment="1">
      <alignment horizontal="center" vertical="center"/>
    </xf>
    <xf numFmtId="0" fontId="1" fillId="0" borderId="0" xfId="0" applyFont="1" applyAlignment="1">
      <alignment horizontal="center" vertical="center"/>
    </xf>
    <xf numFmtId="0" fontId="1" fillId="0" borderId="9" xfId="0" applyFont="1" applyBorder="1" applyAlignment="1">
      <alignment horizontal="center" vertical="center"/>
    </xf>
    <xf numFmtId="0" fontId="1" fillId="0" borderId="25" xfId="0" applyFont="1" applyBorder="1" applyAlignment="1">
      <alignment horizontal="center" vertical="center"/>
    </xf>
    <xf numFmtId="0" fontId="1" fillId="0" borderId="16" xfId="0" applyFont="1" applyBorder="1" applyAlignment="1">
      <alignment horizontal="center" vertical="center"/>
    </xf>
    <xf numFmtId="0" fontId="1" fillId="0" borderId="26"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1" xfId="0" applyFont="1" applyBorder="1" applyAlignment="1">
      <alignment vertical="center"/>
    </xf>
    <xf numFmtId="0" fontId="1" fillId="4" borderId="42" xfId="0" applyFont="1" applyFill="1" applyBorder="1" applyAlignment="1">
      <alignment horizontal="left" vertical="center"/>
    </xf>
    <xf numFmtId="0" fontId="1" fillId="4" borderId="8" xfId="0" applyFont="1" applyFill="1" applyBorder="1" applyAlignment="1">
      <alignment vertical="center" wrapText="1"/>
    </xf>
    <xf numFmtId="0" fontId="1" fillId="4" borderId="0" xfId="0" applyFont="1" applyFill="1" applyBorder="1" applyAlignment="1">
      <alignment vertical="center"/>
    </xf>
    <xf numFmtId="0" fontId="1" fillId="4" borderId="9" xfId="0" applyFont="1" applyFill="1" applyBorder="1" applyAlignment="1">
      <alignment vertical="center"/>
    </xf>
    <xf numFmtId="164" fontId="1" fillId="4" borderId="2" xfId="0" applyNumberFormat="1" applyFont="1" applyFill="1" applyBorder="1" applyAlignment="1">
      <alignment vertical="center"/>
    </xf>
    <xf numFmtId="164" fontId="1" fillId="4" borderId="4" xfId="0" applyNumberFormat="1" applyFont="1" applyFill="1" applyBorder="1" applyAlignment="1">
      <alignment vertical="center"/>
    </xf>
    <xf numFmtId="164" fontId="1" fillId="0" borderId="1" xfId="0" applyNumberFormat="1" applyFont="1" applyBorder="1" applyAlignment="1">
      <alignment vertical="center"/>
    </xf>
    <xf numFmtId="0" fontId="1" fillId="0" borderId="0" xfId="0" applyFont="1" applyBorder="1" applyAlignment="1">
      <alignment horizontal="center" vertical="center"/>
    </xf>
    <xf numFmtId="6" fontId="1" fillId="4" borderId="42" xfId="0" applyNumberFormat="1" applyFont="1" applyFill="1" applyBorder="1" applyAlignment="1">
      <alignment horizontal="right" vertical="center"/>
    </xf>
    <xf numFmtId="164" fontId="1" fillId="4" borderId="8" xfId="0" applyNumberFormat="1" applyFont="1" applyFill="1" applyBorder="1" applyAlignment="1">
      <alignment vertical="center"/>
    </xf>
    <xf numFmtId="164" fontId="1" fillId="4" borderId="9" xfId="0" applyNumberFormat="1" applyFont="1" applyFill="1" applyBorder="1" applyAlignment="1">
      <alignment vertical="center"/>
    </xf>
    <xf numFmtId="0" fontId="1" fillId="4" borderId="8" xfId="0" applyFont="1" applyFill="1" applyBorder="1" applyAlignment="1">
      <alignment vertical="center"/>
    </xf>
    <xf numFmtId="0" fontId="1" fillId="0" borderId="27" xfId="0" applyFont="1" applyBorder="1" applyAlignment="1">
      <alignment horizontal="center" vertical="center"/>
    </xf>
    <xf numFmtId="0" fontId="1" fillId="0" borderId="23" xfId="0" applyFont="1" applyBorder="1" applyAlignment="1">
      <alignment horizontal="center" vertical="center"/>
    </xf>
    <xf numFmtId="0" fontId="1" fillId="4" borderId="23" xfId="0" applyFont="1" applyFill="1" applyBorder="1" applyAlignment="1">
      <alignment horizontal="left" vertical="center"/>
    </xf>
    <xf numFmtId="164" fontId="1" fillId="4" borderId="16" xfId="0" applyNumberFormat="1" applyFont="1" applyFill="1" applyBorder="1" applyAlignment="1">
      <alignment vertical="center"/>
    </xf>
    <xf numFmtId="0" fontId="13" fillId="4" borderId="1" xfId="0" applyFont="1" applyFill="1" applyBorder="1" applyAlignment="1">
      <alignment horizontal="center" vertical="center"/>
    </xf>
    <xf numFmtId="0" fontId="1" fillId="4" borderId="14" xfId="0" applyFont="1" applyFill="1" applyBorder="1" applyAlignment="1">
      <alignment vertical="center"/>
    </xf>
    <xf numFmtId="164" fontId="1" fillId="4" borderId="23" xfId="0" applyNumberFormat="1" applyFont="1" applyFill="1" applyBorder="1" applyAlignment="1">
      <alignment horizontal="right" vertical="center"/>
    </xf>
    <xf numFmtId="0" fontId="1" fillId="0" borderId="23" xfId="0" quotePrefix="1" applyFont="1" applyBorder="1" applyAlignment="1">
      <alignment horizontal="center" vertical="center"/>
    </xf>
    <xf numFmtId="0" fontId="1" fillId="27" borderId="19" xfId="0" applyFont="1" applyFill="1" applyBorder="1" applyAlignment="1">
      <alignment horizontal="center" vertical="center" wrapText="1"/>
    </xf>
    <xf numFmtId="0" fontId="1" fillId="2" borderId="60" xfId="0" applyFont="1" applyFill="1" applyBorder="1" applyAlignment="1">
      <alignment vertical="center"/>
    </xf>
    <xf numFmtId="0" fontId="1" fillId="2" borderId="16" xfId="0" applyFont="1" applyFill="1" applyBorder="1" applyAlignment="1">
      <alignment vertical="center"/>
    </xf>
    <xf numFmtId="0" fontId="1" fillId="2" borderId="1" xfId="0" applyFont="1" applyFill="1" applyBorder="1" applyAlignment="1">
      <alignment vertical="center"/>
    </xf>
    <xf numFmtId="0" fontId="1" fillId="2" borderId="44" xfId="0" applyFont="1" applyFill="1" applyBorder="1" applyAlignment="1">
      <alignment vertical="center"/>
    </xf>
    <xf numFmtId="0" fontId="1" fillId="2" borderId="23" xfId="0" applyFont="1" applyFill="1" applyBorder="1" applyAlignment="1">
      <alignment vertical="center"/>
    </xf>
    <xf numFmtId="0" fontId="1" fillId="27" borderId="25" xfId="0" applyFont="1" applyFill="1" applyBorder="1" applyAlignment="1">
      <alignment vertical="center"/>
    </xf>
    <xf numFmtId="0" fontId="1" fillId="27" borderId="16" xfId="0" applyFont="1" applyFill="1" applyBorder="1" applyAlignment="1">
      <alignment vertical="center"/>
    </xf>
    <xf numFmtId="0" fontId="2" fillId="15" borderId="26" xfId="0" applyFont="1" applyFill="1" applyBorder="1" applyAlignment="1">
      <alignment horizontal="center" vertical="center"/>
    </xf>
    <xf numFmtId="0" fontId="2" fillId="15" borderId="1" xfId="0" applyFont="1" applyFill="1" applyBorder="1" applyAlignment="1">
      <alignment horizontal="center" vertical="center"/>
    </xf>
    <xf numFmtId="0" fontId="2" fillId="16" borderId="27" xfId="0" applyFont="1" applyFill="1" applyBorder="1" applyAlignment="1">
      <alignment horizontal="center" vertical="center"/>
    </xf>
    <xf numFmtId="0" fontId="2" fillId="16" borderId="23" xfId="0" applyFont="1" applyFill="1" applyBorder="1" applyAlignment="1">
      <alignment horizontal="center" vertical="center"/>
    </xf>
    <xf numFmtId="0" fontId="1" fillId="27" borderId="26" xfId="0" applyFont="1" applyFill="1" applyBorder="1" applyAlignment="1">
      <alignment horizontal="center" vertical="center"/>
    </xf>
    <xf numFmtId="0" fontId="1" fillId="27" borderId="26" xfId="0" applyFont="1" applyFill="1" applyBorder="1" applyAlignment="1">
      <alignment vertical="center"/>
    </xf>
    <xf numFmtId="0" fontId="1" fillId="27" borderId="1" xfId="0" applyFont="1" applyFill="1" applyBorder="1" applyAlignment="1">
      <alignment vertical="center"/>
    </xf>
    <xf numFmtId="0" fontId="1" fillId="6" borderId="26" xfId="0" applyFont="1" applyFill="1" applyBorder="1" applyAlignment="1">
      <alignment vertical="center"/>
    </xf>
    <xf numFmtId="0" fontId="1" fillId="6" borderId="1" xfId="0" applyFont="1" applyFill="1" applyBorder="1" applyAlignment="1">
      <alignment vertical="center"/>
    </xf>
    <xf numFmtId="0" fontId="1" fillId="6" borderId="27" xfId="0" applyFont="1" applyFill="1" applyBorder="1" applyAlignment="1">
      <alignment vertical="center"/>
    </xf>
    <xf numFmtId="0" fontId="1" fillId="6" borderId="23" xfId="0" applyFont="1" applyFill="1" applyBorder="1" applyAlignment="1">
      <alignment vertical="center"/>
    </xf>
    <xf numFmtId="0" fontId="1" fillId="7" borderId="25" xfId="0" applyFont="1" applyFill="1" applyBorder="1" applyAlignment="1">
      <alignment vertical="center"/>
    </xf>
    <xf numFmtId="0" fontId="1" fillId="7" borderId="16" xfId="0" applyFont="1" applyFill="1" applyBorder="1" applyAlignment="1">
      <alignment vertical="center"/>
    </xf>
    <xf numFmtId="0" fontId="1" fillId="7" borderId="27" xfId="0" applyFont="1" applyFill="1" applyBorder="1" applyAlignment="1">
      <alignment vertical="center"/>
    </xf>
    <xf numFmtId="0" fontId="1" fillId="7" borderId="23" xfId="0" applyFont="1" applyFill="1" applyBorder="1" applyAlignment="1">
      <alignment vertical="center"/>
    </xf>
    <xf numFmtId="0" fontId="1" fillId="14" borderId="54" xfId="0" applyFont="1" applyFill="1" applyBorder="1" applyAlignment="1">
      <alignment horizontal="left" vertical="center"/>
    </xf>
    <xf numFmtId="0" fontId="1" fillId="14" borderId="31" xfId="0" applyFont="1" applyFill="1" applyBorder="1" applyAlignment="1">
      <alignment horizontal="left" vertical="center"/>
    </xf>
    <xf numFmtId="0" fontId="2" fillId="8" borderId="25" xfId="0" applyFont="1" applyFill="1" applyBorder="1" applyAlignment="1">
      <alignment horizontal="center" vertical="center"/>
    </xf>
    <xf numFmtId="0" fontId="2" fillId="8" borderId="16" xfId="0" applyFont="1" applyFill="1" applyBorder="1" applyAlignment="1">
      <alignment horizontal="center" vertical="center"/>
    </xf>
    <xf numFmtId="0" fontId="2" fillId="12" borderId="26" xfId="0" applyFont="1" applyFill="1" applyBorder="1" applyAlignment="1">
      <alignment horizontal="center" vertical="center"/>
    </xf>
    <xf numFmtId="0" fontId="2" fillId="13" borderId="26" xfId="0" applyFont="1" applyFill="1" applyBorder="1" applyAlignment="1">
      <alignment horizontal="center" vertical="center"/>
    </xf>
    <xf numFmtId="0" fontId="2" fillId="13" borderId="1" xfId="0" applyFont="1" applyFill="1" applyBorder="1" applyAlignment="1">
      <alignment horizontal="center" vertical="center"/>
    </xf>
    <xf numFmtId="0" fontId="1" fillId="6" borderId="56" xfId="0" applyFont="1" applyFill="1" applyBorder="1" applyAlignment="1">
      <alignment horizontal="center" vertical="center" textRotation="90"/>
    </xf>
    <xf numFmtId="0" fontId="1" fillId="6" borderId="33" xfId="0" applyFont="1" applyFill="1" applyBorder="1" applyAlignment="1">
      <alignment horizontal="center" vertical="center" textRotation="90"/>
    </xf>
    <xf numFmtId="0" fontId="1" fillId="7" borderId="33" xfId="0" applyFont="1" applyFill="1" applyBorder="1" applyAlignment="1">
      <alignment horizontal="center" vertical="center" textRotation="90"/>
    </xf>
    <xf numFmtId="0" fontId="2" fillId="26" borderId="16" xfId="0" applyFont="1" applyFill="1" applyBorder="1" applyAlignment="1">
      <alignment horizontal="center" vertical="center"/>
    </xf>
    <xf numFmtId="0" fontId="2" fillId="26" borderId="17" xfId="0" applyFont="1" applyFill="1" applyBorder="1" applyAlignment="1">
      <alignment horizontal="center" vertical="center"/>
    </xf>
    <xf numFmtId="0" fontId="2" fillId="26" borderId="23" xfId="0" applyFont="1" applyFill="1" applyBorder="1" applyAlignment="1">
      <alignment horizontal="left" vertical="center"/>
    </xf>
    <xf numFmtId="0" fontId="2" fillId="26" borderId="24" xfId="0" applyFont="1" applyFill="1" applyBorder="1" applyAlignment="1">
      <alignment horizontal="left" vertical="center"/>
    </xf>
    <xf numFmtId="0" fontId="3" fillId="16" borderId="31" xfId="0" applyFont="1" applyFill="1" applyBorder="1" applyAlignment="1">
      <alignment horizontal="center" vertical="center"/>
    </xf>
    <xf numFmtId="0" fontId="1" fillId="2" borderId="53" xfId="0" applyFont="1" applyFill="1" applyBorder="1" applyAlignment="1">
      <alignment horizontal="center" vertical="center" textRotation="90"/>
    </xf>
    <xf numFmtId="0" fontId="1" fillId="2" borderId="33" xfId="0" applyFont="1" applyFill="1" applyBorder="1" applyAlignment="1">
      <alignment horizontal="center" vertical="center" textRotation="90"/>
    </xf>
    <xf numFmtId="0" fontId="1" fillId="2" borderId="34" xfId="0" applyFont="1" applyFill="1" applyBorder="1" applyAlignment="1">
      <alignment horizontal="center" vertical="center" textRotation="90"/>
    </xf>
    <xf numFmtId="0" fontId="1" fillId="2" borderId="23" xfId="0" applyFont="1" applyFill="1" applyBorder="1" applyAlignment="1">
      <alignment horizontal="center" vertical="center"/>
    </xf>
    <xf numFmtId="0" fontId="1" fillId="7" borderId="53" xfId="0" applyFont="1" applyFill="1" applyBorder="1" applyAlignment="1">
      <alignment horizontal="center" vertical="center" textRotation="90"/>
    </xf>
    <xf numFmtId="0" fontId="1" fillId="7" borderId="34" xfId="0" applyFont="1" applyFill="1" applyBorder="1" applyAlignment="1">
      <alignment horizontal="center" vertical="center" textRotation="90"/>
    </xf>
    <xf numFmtId="0" fontId="1" fillId="6" borderId="53" xfId="0" applyFont="1" applyFill="1" applyBorder="1" applyAlignment="1">
      <alignment horizontal="center" vertical="center" textRotation="90"/>
    </xf>
    <xf numFmtId="0" fontId="1" fillId="6" borderId="34" xfId="0" applyFont="1" applyFill="1" applyBorder="1" applyAlignment="1">
      <alignment horizontal="center" vertical="center" textRotation="90"/>
    </xf>
    <xf numFmtId="0" fontId="12" fillId="2" borderId="53" xfId="0" applyFont="1" applyFill="1" applyBorder="1" applyAlignment="1">
      <alignment horizontal="center" vertical="center" textRotation="90"/>
    </xf>
    <xf numFmtId="0" fontId="12" fillId="2" borderId="33" xfId="0" applyFont="1" applyFill="1" applyBorder="1" applyAlignment="1">
      <alignment horizontal="center" vertical="center" textRotation="90"/>
    </xf>
    <xf numFmtId="0" fontId="12" fillId="2" borderId="34" xfId="0" applyFont="1" applyFill="1" applyBorder="1" applyAlignment="1">
      <alignment horizontal="center" vertical="center" textRotation="90"/>
    </xf>
    <xf numFmtId="0" fontId="2" fillId="8" borderId="60" xfId="0" applyFont="1" applyFill="1" applyBorder="1" applyAlignment="1">
      <alignment horizontal="center" vertical="center"/>
    </xf>
    <xf numFmtId="0" fontId="1" fillId="2" borderId="19" xfId="0" applyFont="1" applyFill="1" applyBorder="1" applyAlignment="1">
      <alignment horizontal="left" vertical="center"/>
    </xf>
    <xf numFmtId="0" fontId="1" fillId="2" borderId="1" xfId="0" applyFont="1" applyFill="1" applyBorder="1" applyAlignment="1">
      <alignment horizontal="center" vertical="center" wrapText="1"/>
    </xf>
    <xf numFmtId="0" fontId="1" fillId="7" borderId="16" xfId="0" applyFont="1" applyFill="1" applyBorder="1" applyAlignment="1">
      <alignment horizontal="center" vertical="center"/>
    </xf>
    <xf numFmtId="0" fontId="1" fillId="6" borderId="25" xfId="0" applyFont="1" applyFill="1" applyBorder="1" applyAlignment="1">
      <alignment horizontal="center" vertical="center" textRotation="90"/>
    </xf>
    <xf numFmtId="0" fontId="1" fillId="6" borderId="26" xfId="0" applyFont="1" applyFill="1" applyBorder="1" applyAlignment="1">
      <alignment horizontal="center" vertical="center" textRotation="90"/>
    </xf>
    <xf numFmtId="0" fontId="1" fillId="6" borderId="27" xfId="0" applyFont="1" applyFill="1" applyBorder="1" applyAlignment="1">
      <alignment horizontal="center" vertical="center" textRotation="90"/>
    </xf>
    <xf numFmtId="0" fontId="2" fillId="26" borderId="53" xfId="0" applyFont="1" applyFill="1" applyBorder="1" applyAlignment="1">
      <alignment horizontal="center" vertical="center" textRotation="255"/>
    </xf>
    <xf numFmtId="0" fontId="2" fillId="26" borderId="33" xfId="0" applyFont="1" applyFill="1" applyBorder="1" applyAlignment="1">
      <alignment horizontal="center" vertical="center" textRotation="255"/>
    </xf>
    <xf numFmtId="0" fontId="2" fillId="26" borderId="34" xfId="0" applyFont="1" applyFill="1" applyBorder="1" applyAlignment="1">
      <alignment horizontal="center" vertical="center" textRotation="255"/>
    </xf>
    <xf numFmtId="0" fontId="1" fillId="7" borderId="56" xfId="0" applyFont="1" applyFill="1" applyBorder="1" applyAlignment="1">
      <alignment horizontal="center" vertical="center" textRotation="90"/>
    </xf>
    <xf numFmtId="0" fontId="2" fillId="15" borderId="7" xfId="0" applyFont="1" applyFill="1" applyBorder="1" applyAlignment="1">
      <alignment horizontal="center" vertical="center"/>
    </xf>
    <xf numFmtId="0" fontId="2" fillId="15" borderId="42" xfId="0" applyFont="1" applyFill="1" applyBorder="1" applyAlignment="1">
      <alignment horizontal="center" vertical="center"/>
    </xf>
    <xf numFmtId="0" fontId="2" fillId="16" borderId="54" xfId="0" applyFont="1" applyFill="1" applyBorder="1" applyAlignment="1">
      <alignment horizontal="center" vertical="center"/>
    </xf>
    <xf numFmtId="0" fontId="2" fillId="16" borderId="31" xfId="0" applyFont="1" applyFill="1" applyBorder="1" applyAlignment="1">
      <alignment horizontal="center" vertical="center"/>
    </xf>
    <xf numFmtId="0" fontId="1" fillId="2" borderId="25" xfId="0" applyFont="1" applyFill="1" applyBorder="1" applyAlignment="1">
      <alignment horizontal="center" vertical="center" textRotation="90"/>
    </xf>
    <xf numFmtId="0" fontId="1" fillId="2" borderId="26" xfId="0" applyFont="1" applyFill="1" applyBorder="1" applyAlignment="1">
      <alignment horizontal="center" vertical="center" textRotation="90"/>
    </xf>
    <xf numFmtId="0" fontId="1" fillId="2" borderId="27" xfId="0" applyFont="1" applyFill="1" applyBorder="1" applyAlignment="1">
      <alignment horizontal="center" vertical="center" textRotation="90"/>
    </xf>
    <xf numFmtId="0" fontId="2" fillId="26" borderId="25" xfId="0" applyFont="1" applyFill="1" applyBorder="1" applyAlignment="1">
      <alignment vertical="center"/>
    </xf>
    <xf numFmtId="0" fontId="2" fillId="26" borderId="16" xfId="0" applyFont="1" applyFill="1" applyBorder="1" applyAlignment="1">
      <alignment vertical="center"/>
    </xf>
    <xf numFmtId="0" fontId="2" fillId="26" borderId="57" xfId="0" applyFont="1" applyFill="1" applyBorder="1" applyAlignment="1">
      <alignment vertical="center"/>
    </xf>
    <xf numFmtId="0" fontId="2" fillId="26" borderId="42" xfId="0" applyFont="1" applyFill="1" applyBorder="1" applyAlignment="1">
      <alignment vertical="center"/>
    </xf>
    <xf numFmtId="0" fontId="3" fillId="16" borderId="54" xfId="0" applyFont="1" applyFill="1" applyBorder="1" applyAlignment="1">
      <alignment horizontal="center" vertical="center"/>
    </xf>
    <xf numFmtId="0" fontId="2" fillId="26" borderId="25" xfId="0" applyFont="1" applyFill="1" applyBorder="1" applyAlignment="1">
      <alignment horizontal="left" vertical="center"/>
    </xf>
    <xf numFmtId="0" fontId="2" fillId="26" borderId="16" xfId="0" applyFont="1" applyFill="1" applyBorder="1" applyAlignment="1">
      <alignment horizontal="left" vertical="center"/>
    </xf>
    <xf numFmtId="0" fontId="2" fillId="26" borderId="27" xfId="0" applyFont="1" applyFill="1" applyBorder="1" applyAlignment="1">
      <alignment horizontal="left" vertical="center"/>
    </xf>
    <xf numFmtId="0" fontId="3" fillId="16" borderId="15" xfId="0" applyFont="1" applyFill="1" applyBorder="1" applyAlignment="1">
      <alignment horizontal="center" vertical="center"/>
    </xf>
    <xf numFmtId="0" fontId="3" fillId="16" borderId="40" xfId="0" applyFont="1" applyFill="1" applyBorder="1" applyAlignment="1">
      <alignment horizontal="center" vertical="center"/>
    </xf>
    <xf numFmtId="0" fontId="1"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2" xfId="0" applyFont="1" applyBorder="1" applyAlignment="1">
      <alignment horizontal="left" vertical="center" wrapText="1"/>
    </xf>
    <xf numFmtId="0" fontId="1" fillId="2" borderId="2" xfId="0" applyFont="1" applyFill="1" applyBorder="1" applyAlignment="1">
      <alignment horizontal="left" vertical="center"/>
    </xf>
    <xf numFmtId="0" fontId="1" fillId="2" borderId="3" xfId="0" applyFont="1" applyFill="1" applyBorder="1" applyAlignment="1">
      <alignment horizontal="left" vertical="center"/>
    </xf>
    <xf numFmtId="0" fontId="31" fillId="30" borderId="1" xfId="0" applyFont="1" applyFill="1" applyBorder="1" applyAlignment="1">
      <alignment horizontal="center" vertical="center"/>
    </xf>
    <xf numFmtId="0" fontId="31" fillId="30" borderId="42" xfId="0" applyFont="1" applyFill="1" applyBorder="1" applyAlignment="1">
      <alignment horizontal="center" vertical="center" wrapText="1"/>
    </xf>
    <xf numFmtId="0" fontId="31" fillId="30" borderId="43" xfId="0" applyFont="1" applyFill="1" applyBorder="1" applyAlignment="1">
      <alignment horizontal="center" vertical="center" wrapText="1"/>
    </xf>
    <xf numFmtId="0" fontId="31" fillId="30" borderId="2" xfId="0" applyFont="1" applyFill="1" applyBorder="1" applyAlignment="1">
      <alignment horizontal="center" vertical="center"/>
    </xf>
    <xf numFmtId="0" fontId="31" fillId="30" borderId="3" xfId="0" applyFont="1" applyFill="1" applyBorder="1" applyAlignment="1">
      <alignment horizontal="center" vertical="center"/>
    </xf>
    <xf numFmtId="0" fontId="31" fillId="30" borderId="4" xfId="0" applyFont="1" applyFill="1" applyBorder="1" applyAlignment="1">
      <alignment horizontal="center" vertical="center"/>
    </xf>
    <xf numFmtId="0" fontId="31" fillId="30" borderId="1" xfId="0" applyFont="1" applyFill="1" applyBorder="1" applyAlignment="1">
      <alignment horizontal="center" vertical="center" wrapText="1"/>
    </xf>
    <xf numFmtId="0" fontId="28" fillId="2" borderId="1" xfId="0" applyFont="1" applyFill="1" applyBorder="1"/>
    <xf numFmtId="0" fontId="31" fillId="36" borderId="1" xfId="0" applyFont="1" applyFill="1" applyBorder="1" applyAlignment="1">
      <alignment horizontal="center" vertical="center" wrapText="1"/>
    </xf>
    <xf numFmtId="0" fontId="31" fillId="8" borderId="1" xfId="0" applyFont="1" applyFill="1" applyBorder="1"/>
    <xf numFmtId="0" fontId="31" fillId="36" borderId="42" xfId="0" applyFont="1" applyFill="1" applyBorder="1" applyAlignment="1">
      <alignment horizontal="center" vertical="center"/>
    </xf>
    <xf numFmtId="0" fontId="31" fillId="36" borderId="43" xfId="0" applyFont="1" applyFill="1" applyBorder="1" applyAlignment="1">
      <alignment horizontal="center" vertical="center"/>
    </xf>
    <xf numFmtId="0" fontId="31" fillId="36" borderId="42" xfId="0" applyFont="1" applyFill="1" applyBorder="1" applyAlignment="1">
      <alignment horizontal="center" vertical="center" wrapText="1"/>
    </xf>
    <xf numFmtId="0" fontId="31" fillId="36" borderId="43" xfId="0" applyFont="1" applyFill="1" applyBorder="1" applyAlignment="1">
      <alignment horizontal="center" vertical="center" wrapText="1"/>
    </xf>
    <xf numFmtId="0" fontId="2" fillId="32" borderId="2"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4" xfId="0" applyFont="1" applyFill="1" applyBorder="1" applyAlignment="1">
      <alignment horizontal="center" vertical="center"/>
    </xf>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0" fontId="1" fillId="2" borderId="3" xfId="0" applyFont="1" applyFill="1" applyBorder="1" applyAlignment="1">
      <alignment vertical="center" wrapText="1"/>
    </xf>
    <xf numFmtId="0" fontId="1" fillId="2" borderId="4" xfId="0" applyFont="1" applyFill="1" applyBorder="1" applyAlignment="1">
      <alignment vertical="center" wrapText="1"/>
    </xf>
    <xf numFmtId="164" fontId="1" fillId="2" borderId="1" xfId="0" applyNumberFormat="1" applyFont="1" applyFill="1" applyBorder="1" applyAlignment="1">
      <alignment vertical="center"/>
    </xf>
    <xf numFmtId="0" fontId="19" fillId="20" borderId="42" xfId="2" applyFont="1" applyFill="1" applyBorder="1" applyAlignment="1">
      <alignment horizontal="center" vertical="center"/>
    </xf>
    <xf numFmtId="0" fontId="19" fillId="20" borderId="59" xfId="2" applyFont="1" applyFill="1" applyBorder="1" applyAlignment="1">
      <alignment horizontal="center" vertical="center"/>
    </xf>
    <xf numFmtId="0" fontId="19" fillId="20" borderId="43" xfId="2" applyFont="1" applyFill="1" applyBorder="1" applyAlignment="1">
      <alignment horizontal="center" vertical="center"/>
    </xf>
    <xf numFmtId="0" fontId="19" fillId="21" borderId="42" xfId="2" applyFont="1" applyFill="1" applyBorder="1" applyAlignment="1">
      <alignment horizontal="center" vertical="center"/>
    </xf>
    <xf numFmtId="0" fontId="19" fillId="21" borderId="59" xfId="2" applyFont="1" applyFill="1" applyBorder="1" applyAlignment="1">
      <alignment horizontal="center" vertical="center"/>
    </xf>
    <xf numFmtId="0" fontId="19" fillId="21" borderId="43" xfId="2" applyFont="1" applyFill="1" applyBorder="1" applyAlignment="1">
      <alignment horizontal="center" vertical="center"/>
    </xf>
    <xf numFmtId="0" fontId="17" fillId="22" borderId="42" xfId="2" applyFont="1" applyFill="1" applyBorder="1" applyAlignment="1">
      <alignment horizontal="center" vertical="center"/>
    </xf>
    <xf numFmtId="0" fontId="17" fillId="22" borderId="59" xfId="2" applyFont="1" applyFill="1" applyBorder="1" applyAlignment="1">
      <alignment horizontal="center" vertical="center"/>
    </xf>
    <xf numFmtId="0" fontId="17" fillId="22" borderId="43" xfId="2" applyFont="1" applyFill="1" applyBorder="1" applyAlignment="1">
      <alignment horizontal="center" vertical="center"/>
    </xf>
    <xf numFmtId="0" fontId="17" fillId="23" borderId="42" xfId="2" applyFont="1" applyFill="1" applyBorder="1" applyAlignment="1">
      <alignment horizontal="center" vertical="center"/>
    </xf>
    <xf numFmtId="0" fontId="17" fillId="23" borderId="59" xfId="2" applyFont="1" applyFill="1" applyBorder="1" applyAlignment="1">
      <alignment horizontal="center" vertical="center"/>
    </xf>
    <xf numFmtId="0" fontId="17" fillId="23" borderId="43" xfId="2" applyFont="1" applyFill="1" applyBorder="1" applyAlignment="1">
      <alignment horizontal="center" vertical="center"/>
    </xf>
    <xf numFmtId="0" fontId="17" fillId="24" borderId="42" xfId="2" applyFont="1" applyFill="1" applyBorder="1" applyAlignment="1">
      <alignment horizontal="center" vertical="center"/>
    </xf>
    <xf numFmtId="0" fontId="17" fillId="24" borderId="59" xfId="2" applyFont="1" applyFill="1" applyBorder="1" applyAlignment="1">
      <alignment horizontal="center" vertical="center"/>
    </xf>
    <xf numFmtId="0" fontId="17" fillId="24" borderId="43" xfId="2" applyFont="1" applyFill="1" applyBorder="1" applyAlignment="1">
      <alignment horizontal="center" vertical="center"/>
    </xf>
    <xf numFmtId="0" fontId="3" fillId="31" borderId="1" xfId="0" applyFont="1" applyFill="1" applyBorder="1" applyAlignment="1">
      <alignment horizontal="center" vertical="center"/>
    </xf>
    <xf numFmtId="0" fontId="2" fillId="34" borderId="1" xfId="0" applyFont="1" applyFill="1" applyBorder="1" applyAlignment="1">
      <alignment horizontal="center" vertical="center"/>
    </xf>
    <xf numFmtId="164" fontId="1" fillId="2" borderId="2" xfId="0" applyNumberFormat="1" applyFont="1" applyFill="1" applyBorder="1" applyAlignment="1">
      <alignment vertical="center"/>
    </xf>
    <xf numFmtId="164" fontId="1" fillId="2" borderId="4" xfId="0" applyNumberFormat="1" applyFont="1" applyFill="1" applyBorder="1" applyAlignment="1">
      <alignment vertical="center"/>
    </xf>
    <xf numFmtId="0" fontId="1" fillId="2" borderId="1" xfId="0" applyFont="1" applyFill="1" applyBorder="1" applyAlignment="1">
      <alignment horizontal="left" vertical="top" wrapText="1"/>
    </xf>
    <xf numFmtId="0" fontId="31" fillId="36" borderId="1" xfId="0" applyFont="1" applyFill="1" applyBorder="1" applyAlignment="1">
      <alignment horizontal="center" vertical="center"/>
    </xf>
    <xf numFmtId="0" fontId="28" fillId="8" borderId="1" xfId="0" applyFont="1" applyFill="1" applyBorder="1"/>
    <xf numFmtId="0" fontId="1" fillId="0" borderId="1" xfId="0" applyFont="1" applyBorder="1" applyAlignment="1">
      <alignment horizontal="left" wrapText="1"/>
    </xf>
    <xf numFmtId="0" fontId="1" fillId="0" borderId="1" xfId="0" applyFont="1" applyBorder="1" applyAlignment="1">
      <alignment horizontal="left"/>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4" borderId="26" xfId="0" applyFont="1" applyFill="1" applyBorder="1" applyAlignment="1">
      <alignment horizontal="center" vertical="center"/>
    </xf>
    <xf numFmtId="0" fontId="1" fillId="4" borderId="19" xfId="0" applyFont="1" applyFill="1" applyBorder="1" applyAlignment="1">
      <alignment horizontal="center" vertical="center"/>
    </xf>
    <xf numFmtId="0" fontId="2" fillId="8" borderId="42" xfId="0" applyFont="1" applyFill="1" applyBorder="1" applyAlignment="1">
      <alignment horizontal="center" vertical="center" wrapText="1"/>
    </xf>
    <xf numFmtId="0" fontId="2" fillId="8" borderId="43"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4" borderId="52" xfId="0" applyFont="1" applyFill="1" applyBorder="1" applyAlignment="1">
      <alignment horizontal="center" vertical="center"/>
    </xf>
    <xf numFmtId="0" fontId="5" fillId="4" borderId="0" xfId="1" applyFill="1" applyAlignment="1">
      <alignment horizontal="center" vertical="center" wrapText="1"/>
    </xf>
    <xf numFmtId="0" fontId="2" fillId="4" borderId="74" xfId="0" applyFont="1" applyFill="1" applyBorder="1" applyAlignment="1">
      <alignment horizontal="center" vertical="center"/>
    </xf>
    <xf numFmtId="0" fontId="2" fillId="4" borderId="75" xfId="0" applyFont="1" applyFill="1" applyBorder="1" applyAlignment="1">
      <alignment horizontal="center" vertical="center"/>
    </xf>
    <xf numFmtId="0" fontId="2" fillId="4" borderId="76" xfId="0" applyFont="1" applyFill="1" applyBorder="1" applyAlignment="1">
      <alignment horizontal="center" vertical="center"/>
    </xf>
  </cellXfs>
  <cellStyles count="5">
    <cellStyle name="Hipervínculo" xfId="1" builtinId="8"/>
    <cellStyle name="Moneda [0]" xfId="3" builtinId="7"/>
    <cellStyle name="Normal" xfId="0" builtinId="0"/>
    <cellStyle name="Normal 2" xfId="2" xr:uid="{5E4E51E9-D2E7-4B5B-A177-86CA8EB7C81C}"/>
    <cellStyle name="Porcentaje" xfId="4" builtinId="5"/>
  </cellStyles>
  <dxfs count="60">
    <dxf>
      <font>
        <b val="0"/>
        <i val="0"/>
        <strike val="0"/>
        <condense val="0"/>
        <extend val="0"/>
        <outline val="0"/>
        <shadow val="0"/>
        <u val="none"/>
        <vertAlign val="baseline"/>
        <sz val="12"/>
        <color theme="1"/>
        <name val="Times New Roman"/>
        <family val="1"/>
        <scheme val="none"/>
      </font>
      <numFmt numFmtId="164" formatCode="&quot;$&quot;\ #,##0.00"/>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dxf>
    <dxf>
      <font>
        <b val="0"/>
        <i val="0"/>
        <strike val="0"/>
        <condense val="0"/>
        <extend val="0"/>
        <outline val="0"/>
        <shadow val="0"/>
        <u val="none"/>
        <vertAlign val="baseline"/>
        <sz val="12"/>
        <color theme="1"/>
        <name val="Times New Roman"/>
        <family val="1"/>
        <scheme val="none"/>
      </font>
      <numFmt numFmtId="164" formatCode="&quot;$&quot;\ #,##0.00"/>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4" formatCode="&quot;$&quot;\ #,##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4" formatCode="&quot;$&quot;\ #,##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4" formatCode="&quot;$&quot;\ #,##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4" formatCode="&quot;$&quot;\ #,##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4" formatCode="&quot;$&quot;\ #,##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4" formatCode="&quot;$&quot;\ #,##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dxf>
    <dxf>
      <border>
        <bottom style="thin">
          <color indexed="64"/>
        </bottom>
      </border>
    </dxf>
    <dxf>
      <font>
        <b val="0"/>
        <i val="0"/>
        <strike val="0"/>
        <condense val="0"/>
        <extend val="0"/>
        <outline val="0"/>
        <shadow val="0"/>
        <u val="none"/>
        <vertAlign val="baseline"/>
        <sz val="12"/>
        <color theme="1"/>
        <name val="Times New Roman"/>
        <family val="1"/>
        <scheme val="none"/>
      </font>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B6DF89"/>
      <color rgb="FF80C5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775188</xdr:colOff>
      <xdr:row>17</xdr:row>
      <xdr:rowOff>76200</xdr:rowOff>
    </xdr:from>
    <xdr:to>
      <xdr:col>8</xdr:col>
      <xdr:colOff>485775</xdr:colOff>
      <xdr:row>23</xdr:row>
      <xdr:rowOff>150058</xdr:rowOff>
    </xdr:to>
    <xdr:pic>
      <xdr:nvPicPr>
        <xdr:cNvPr id="2" name="Imagen 1">
          <a:extLst>
            <a:ext uri="{FF2B5EF4-FFF2-40B4-BE49-F238E27FC236}">
              <a16:creationId xmlns:a16="http://schemas.microsoft.com/office/drawing/2014/main" id="{9C8C5574-D285-469E-B1D5-251B4A71F8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519"/>
        <a:stretch>
          <a:fillRect/>
        </a:stretch>
      </xdr:blipFill>
      <xdr:spPr bwMode="auto">
        <a:xfrm>
          <a:off x="4966188" y="3248025"/>
          <a:ext cx="1567962" cy="1216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57150</xdr:colOff>
      <xdr:row>13</xdr:row>
      <xdr:rowOff>19050</xdr:rowOff>
    </xdr:from>
    <xdr:to>
      <xdr:col>6</xdr:col>
      <xdr:colOff>190500</xdr:colOff>
      <xdr:row>13</xdr:row>
      <xdr:rowOff>152400</xdr:rowOff>
    </xdr:to>
    <xdr:sp macro="" textlink="">
      <xdr:nvSpPr>
        <xdr:cNvPr id="65" name="Oval 1">
          <a:extLst>
            <a:ext uri="{FF2B5EF4-FFF2-40B4-BE49-F238E27FC236}">
              <a16:creationId xmlns:a16="http://schemas.microsoft.com/office/drawing/2014/main" id="{EAAD5D8F-4D01-4F3F-AD86-E75ADFFCC9BD}"/>
            </a:ext>
          </a:extLst>
        </xdr:cNvPr>
        <xdr:cNvSpPr/>
      </xdr:nvSpPr>
      <xdr:spPr>
        <a:xfrm>
          <a:off x="5381625" y="2819400"/>
          <a:ext cx="133350" cy="133350"/>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7</xdr:col>
      <xdr:colOff>57150</xdr:colOff>
      <xdr:row>13</xdr:row>
      <xdr:rowOff>19050</xdr:rowOff>
    </xdr:from>
    <xdr:to>
      <xdr:col>7</xdr:col>
      <xdr:colOff>190500</xdr:colOff>
      <xdr:row>13</xdr:row>
      <xdr:rowOff>152400</xdr:rowOff>
    </xdr:to>
    <xdr:sp macro="" textlink="">
      <xdr:nvSpPr>
        <xdr:cNvPr id="66" name="Rectangle 3">
          <a:extLst>
            <a:ext uri="{FF2B5EF4-FFF2-40B4-BE49-F238E27FC236}">
              <a16:creationId xmlns:a16="http://schemas.microsoft.com/office/drawing/2014/main" id="{C451953C-3885-4E76-9818-8E439D826E29}"/>
            </a:ext>
          </a:extLst>
        </xdr:cNvPr>
        <xdr:cNvSpPr/>
      </xdr:nvSpPr>
      <xdr:spPr>
        <a:xfrm>
          <a:off x="5619750" y="2819400"/>
          <a:ext cx="133350" cy="1333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8</xdr:col>
      <xdr:colOff>57150</xdr:colOff>
      <xdr:row>13</xdr:row>
      <xdr:rowOff>19050</xdr:rowOff>
    </xdr:from>
    <xdr:to>
      <xdr:col>8</xdr:col>
      <xdr:colOff>190500</xdr:colOff>
      <xdr:row>13</xdr:row>
      <xdr:rowOff>152400</xdr:rowOff>
    </xdr:to>
    <xdr:sp macro="" textlink="">
      <xdr:nvSpPr>
        <xdr:cNvPr id="67" name="Flowchart: Delay 4">
          <a:extLst>
            <a:ext uri="{FF2B5EF4-FFF2-40B4-BE49-F238E27FC236}">
              <a16:creationId xmlns:a16="http://schemas.microsoft.com/office/drawing/2014/main" id="{C7D96A71-1FB4-430A-91C2-915EA8C22D46}"/>
            </a:ext>
          </a:extLst>
        </xdr:cNvPr>
        <xdr:cNvSpPr/>
      </xdr:nvSpPr>
      <xdr:spPr>
        <a:xfrm>
          <a:off x="5857875" y="2819400"/>
          <a:ext cx="133350" cy="133350"/>
        </a:xfrm>
        <a:prstGeom prst="flowChartDelay">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9</xdr:col>
      <xdr:colOff>57150</xdr:colOff>
      <xdr:row>13</xdr:row>
      <xdr:rowOff>28575</xdr:rowOff>
    </xdr:from>
    <xdr:to>
      <xdr:col>9</xdr:col>
      <xdr:colOff>190500</xdr:colOff>
      <xdr:row>14</xdr:row>
      <xdr:rowOff>0</xdr:rowOff>
    </xdr:to>
    <xdr:sp macro="" textlink="">
      <xdr:nvSpPr>
        <xdr:cNvPr id="68" name="Right Arrow 6">
          <a:extLst>
            <a:ext uri="{FF2B5EF4-FFF2-40B4-BE49-F238E27FC236}">
              <a16:creationId xmlns:a16="http://schemas.microsoft.com/office/drawing/2014/main" id="{2FE6F2D7-849B-4A4A-97CB-130A47915C48}"/>
            </a:ext>
          </a:extLst>
        </xdr:cNvPr>
        <xdr:cNvSpPr/>
      </xdr:nvSpPr>
      <xdr:spPr>
        <a:xfrm>
          <a:off x="6096000" y="2828925"/>
          <a:ext cx="133350" cy="133350"/>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10</xdr:col>
      <xdr:colOff>38100</xdr:colOff>
      <xdr:row>13</xdr:row>
      <xdr:rowOff>19050</xdr:rowOff>
    </xdr:from>
    <xdr:to>
      <xdr:col>10</xdr:col>
      <xdr:colOff>171450</xdr:colOff>
      <xdr:row>13</xdr:row>
      <xdr:rowOff>152400</xdr:rowOff>
    </xdr:to>
    <xdr:sp macro="" textlink="">
      <xdr:nvSpPr>
        <xdr:cNvPr id="69" name="Flowchart: Merge 7">
          <a:extLst>
            <a:ext uri="{FF2B5EF4-FFF2-40B4-BE49-F238E27FC236}">
              <a16:creationId xmlns:a16="http://schemas.microsoft.com/office/drawing/2014/main" id="{5BE4912E-3F8B-411B-97FF-53ECBB41AF59}"/>
            </a:ext>
          </a:extLst>
        </xdr:cNvPr>
        <xdr:cNvSpPr/>
      </xdr:nvSpPr>
      <xdr:spPr>
        <a:xfrm>
          <a:off x="6315075" y="2819400"/>
          <a:ext cx="133350" cy="133350"/>
        </a:xfrm>
        <a:prstGeom prst="flowChartMerg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6</xdr:col>
      <xdr:colOff>83608</xdr:colOff>
      <xdr:row>14</xdr:row>
      <xdr:rowOff>63500</xdr:rowOff>
    </xdr:from>
    <xdr:to>
      <xdr:col>6</xdr:col>
      <xdr:colOff>157691</xdr:colOff>
      <xdr:row>14</xdr:row>
      <xdr:rowOff>137584</xdr:rowOff>
    </xdr:to>
    <xdr:sp macro="" textlink="">
      <xdr:nvSpPr>
        <xdr:cNvPr id="70" name="Elipse 69">
          <a:extLst>
            <a:ext uri="{FF2B5EF4-FFF2-40B4-BE49-F238E27FC236}">
              <a16:creationId xmlns:a16="http://schemas.microsoft.com/office/drawing/2014/main" id="{77488A44-DEEF-4D04-8C88-E16736E58643}"/>
            </a:ext>
          </a:extLst>
        </xdr:cNvPr>
        <xdr:cNvSpPr/>
      </xdr:nvSpPr>
      <xdr:spPr>
        <a:xfrm>
          <a:off x="5408083" y="3025775"/>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88899</xdr:colOff>
      <xdr:row>15</xdr:row>
      <xdr:rowOff>53975</xdr:rowOff>
    </xdr:from>
    <xdr:to>
      <xdr:col>9</xdr:col>
      <xdr:colOff>162982</xdr:colOff>
      <xdr:row>15</xdr:row>
      <xdr:rowOff>128059</xdr:rowOff>
    </xdr:to>
    <xdr:sp macro="" textlink="">
      <xdr:nvSpPr>
        <xdr:cNvPr id="71" name="Elipse 70">
          <a:extLst>
            <a:ext uri="{FF2B5EF4-FFF2-40B4-BE49-F238E27FC236}">
              <a16:creationId xmlns:a16="http://schemas.microsoft.com/office/drawing/2014/main" id="{457453D9-C6E4-4045-B798-D93E324D1F41}"/>
            </a:ext>
          </a:extLst>
        </xdr:cNvPr>
        <xdr:cNvSpPr/>
      </xdr:nvSpPr>
      <xdr:spPr>
        <a:xfrm>
          <a:off x="6909857" y="3202517"/>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84666</xdr:colOff>
      <xdr:row>64</xdr:row>
      <xdr:rowOff>48683</xdr:rowOff>
    </xdr:from>
    <xdr:to>
      <xdr:col>9</xdr:col>
      <xdr:colOff>158749</xdr:colOff>
      <xdr:row>64</xdr:row>
      <xdr:rowOff>122767</xdr:rowOff>
    </xdr:to>
    <xdr:sp macro="" textlink="">
      <xdr:nvSpPr>
        <xdr:cNvPr id="94" name="Elipse 93">
          <a:extLst>
            <a:ext uri="{FF2B5EF4-FFF2-40B4-BE49-F238E27FC236}">
              <a16:creationId xmlns:a16="http://schemas.microsoft.com/office/drawing/2014/main" id="{A86C0335-CE44-4578-8A80-E3D785A5FD8C}"/>
            </a:ext>
          </a:extLst>
        </xdr:cNvPr>
        <xdr:cNvSpPr/>
      </xdr:nvSpPr>
      <xdr:spPr>
        <a:xfrm>
          <a:off x="6932083" y="10600266"/>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65</xdr:row>
      <xdr:rowOff>48683</xdr:rowOff>
    </xdr:from>
    <xdr:to>
      <xdr:col>6</xdr:col>
      <xdr:colOff>150283</xdr:colOff>
      <xdr:row>65</xdr:row>
      <xdr:rowOff>122767</xdr:rowOff>
    </xdr:to>
    <xdr:sp macro="" textlink="">
      <xdr:nvSpPr>
        <xdr:cNvPr id="95" name="Elipse 94">
          <a:extLst>
            <a:ext uri="{FF2B5EF4-FFF2-40B4-BE49-F238E27FC236}">
              <a16:creationId xmlns:a16="http://schemas.microsoft.com/office/drawing/2014/main" id="{39D1FAFD-B4CB-4991-BBBA-3D0800AAD913}"/>
            </a:ext>
          </a:extLst>
        </xdr:cNvPr>
        <xdr:cNvSpPr/>
      </xdr:nvSpPr>
      <xdr:spPr>
        <a:xfrm>
          <a:off x="6193367" y="10759016"/>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157691</xdr:colOff>
      <xdr:row>14</xdr:row>
      <xdr:rowOff>100542</xdr:rowOff>
    </xdr:from>
    <xdr:to>
      <xdr:col>9</xdr:col>
      <xdr:colOff>88899</xdr:colOff>
      <xdr:row>15</xdr:row>
      <xdr:rowOff>91017</xdr:rowOff>
    </xdr:to>
    <xdr:cxnSp macro="">
      <xdr:nvCxnSpPr>
        <xdr:cNvPr id="97" name="Conector recto 96">
          <a:extLst>
            <a:ext uri="{FF2B5EF4-FFF2-40B4-BE49-F238E27FC236}">
              <a16:creationId xmlns:a16="http://schemas.microsoft.com/office/drawing/2014/main" id="{095AFE26-1F36-49E5-8C0C-9B221D742047}"/>
            </a:ext>
          </a:extLst>
        </xdr:cNvPr>
        <xdr:cNvCxnSpPr>
          <a:cxnSpLocks/>
          <a:stCxn id="70" idx="6"/>
          <a:endCxn id="71" idx="2"/>
        </xdr:cNvCxnSpPr>
      </xdr:nvCxnSpPr>
      <xdr:spPr>
        <a:xfrm>
          <a:off x="6264274" y="3085042"/>
          <a:ext cx="645583" cy="1545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76200</xdr:colOff>
      <xdr:row>64</xdr:row>
      <xdr:rowOff>85725</xdr:rowOff>
    </xdr:from>
    <xdr:to>
      <xdr:col>9</xdr:col>
      <xdr:colOff>158749</xdr:colOff>
      <xdr:row>65</xdr:row>
      <xdr:rowOff>85725</xdr:rowOff>
    </xdr:to>
    <xdr:cxnSp macro="">
      <xdr:nvCxnSpPr>
        <xdr:cNvPr id="121" name="Conector recto 120">
          <a:extLst>
            <a:ext uri="{FF2B5EF4-FFF2-40B4-BE49-F238E27FC236}">
              <a16:creationId xmlns:a16="http://schemas.microsoft.com/office/drawing/2014/main" id="{EAECA3A3-DDB7-4917-8DAB-76C8E3D945F7}"/>
            </a:ext>
          </a:extLst>
        </xdr:cNvPr>
        <xdr:cNvCxnSpPr>
          <a:cxnSpLocks/>
          <a:stCxn id="95" idx="2"/>
          <a:endCxn id="94" idx="6"/>
        </xdr:cNvCxnSpPr>
      </xdr:nvCxnSpPr>
      <xdr:spPr>
        <a:xfrm flipV="1">
          <a:off x="6193367" y="10637308"/>
          <a:ext cx="812799" cy="158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73025</xdr:colOff>
      <xdr:row>16</xdr:row>
      <xdr:rowOff>41010</xdr:rowOff>
    </xdr:from>
    <xdr:to>
      <xdr:col>6</xdr:col>
      <xdr:colOff>147108</xdr:colOff>
      <xdr:row>16</xdr:row>
      <xdr:rowOff>115094</xdr:rowOff>
    </xdr:to>
    <xdr:sp macro="" textlink="">
      <xdr:nvSpPr>
        <xdr:cNvPr id="134" name="Elipse 133">
          <a:extLst>
            <a:ext uri="{FF2B5EF4-FFF2-40B4-BE49-F238E27FC236}">
              <a16:creationId xmlns:a16="http://schemas.microsoft.com/office/drawing/2014/main" id="{04ECE14D-1D34-4182-B5CD-D1DC7772CB87}"/>
            </a:ext>
          </a:extLst>
        </xdr:cNvPr>
        <xdr:cNvSpPr/>
      </xdr:nvSpPr>
      <xdr:spPr>
        <a:xfrm>
          <a:off x="6178550" y="3327135"/>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147108</xdr:colOff>
      <xdr:row>15</xdr:row>
      <xdr:rowOff>91017</xdr:rowOff>
    </xdr:from>
    <xdr:to>
      <xdr:col>9</xdr:col>
      <xdr:colOff>88899</xdr:colOff>
      <xdr:row>16</xdr:row>
      <xdr:rowOff>78052</xdr:rowOff>
    </xdr:to>
    <xdr:cxnSp macro="">
      <xdr:nvCxnSpPr>
        <xdr:cNvPr id="139" name="Conector recto 138">
          <a:extLst>
            <a:ext uri="{FF2B5EF4-FFF2-40B4-BE49-F238E27FC236}">
              <a16:creationId xmlns:a16="http://schemas.microsoft.com/office/drawing/2014/main" id="{3672B80D-2C66-4A80-BE85-172E38FA92CD}"/>
            </a:ext>
          </a:extLst>
        </xdr:cNvPr>
        <xdr:cNvCxnSpPr>
          <a:stCxn id="134" idx="6"/>
          <a:endCxn id="71" idx="2"/>
        </xdr:cNvCxnSpPr>
      </xdr:nvCxnSpPr>
      <xdr:spPr>
        <a:xfrm flipV="1">
          <a:off x="6252633" y="3215217"/>
          <a:ext cx="656166" cy="14896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73025</xdr:colOff>
      <xdr:row>18</xdr:row>
      <xdr:rowOff>41672</xdr:rowOff>
    </xdr:from>
    <xdr:to>
      <xdr:col>10</xdr:col>
      <xdr:colOff>147108</xdr:colOff>
      <xdr:row>18</xdr:row>
      <xdr:rowOff>115756</xdr:rowOff>
    </xdr:to>
    <xdr:sp macro="" textlink="">
      <xdr:nvSpPr>
        <xdr:cNvPr id="144" name="Elipse 143">
          <a:extLst>
            <a:ext uri="{FF2B5EF4-FFF2-40B4-BE49-F238E27FC236}">
              <a16:creationId xmlns:a16="http://schemas.microsoft.com/office/drawing/2014/main" id="{2B4289C6-6404-454F-9C19-1A08CAE41CAC}"/>
            </a:ext>
          </a:extLst>
        </xdr:cNvPr>
        <xdr:cNvSpPr/>
      </xdr:nvSpPr>
      <xdr:spPr>
        <a:xfrm>
          <a:off x="7132108" y="3682339"/>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73892</xdr:colOff>
      <xdr:row>17</xdr:row>
      <xdr:rowOff>89827</xdr:rowOff>
    </xdr:from>
    <xdr:to>
      <xdr:col>10</xdr:col>
      <xdr:colOff>73025</xdr:colOff>
      <xdr:row>18</xdr:row>
      <xdr:rowOff>78714</xdr:rowOff>
    </xdr:to>
    <xdr:cxnSp macro="">
      <xdr:nvCxnSpPr>
        <xdr:cNvPr id="145" name="Conector recto 144">
          <a:extLst>
            <a:ext uri="{FF2B5EF4-FFF2-40B4-BE49-F238E27FC236}">
              <a16:creationId xmlns:a16="http://schemas.microsoft.com/office/drawing/2014/main" id="{115108A7-7C06-4AFE-A66C-B61E909F43CA}"/>
            </a:ext>
          </a:extLst>
        </xdr:cNvPr>
        <xdr:cNvCxnSpPr>
          <a:stCxn id="144" idx="2"/>
          <a:endCxn id="154" idx="2"/>
        </xdr:cNvCxnSpPr>
      </xdr:nvCxnSpPr>
      <xdr:spPr>
        <a:xfrm flipH="1" flipV="1">
          <a:off x="6179417" y="3537877"/>
          <a:ext cx="951633" cy="1508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83608</xdr:colOff>
      <xdr:row>19</xdr:row>
      <xdr:rowOff>54161</xdr:rowOff>
    </xdr:from>
    <xdr:to>
      <xdr:col>7</xdr:col>
      <xdr:colOff>157691</xdr:colOff>
      <xdr:row>19</xdr:row>
      <xdr:rowOff>128245</xdr:rowOff>
    </xdr:to>
    <xdr:sp macro="" textlink="">
      <xdr:nvSpPr>
        <xdr:cNvPr id="146" name="Elipse 145">
          <a:extLst>
            <a:ext uri="{FF2B5EF4-FFF2-40B4-BE49-F238E27FC236}">
              <a16:creationId xmlns:a16="http://schemas.microsoft.com/office/drawing/2014/main" id="{5C33E58D-7641-4A7C-BA9B-CF2880F1357A}"/>
            </a:ext>
          </a:extLst>
        </xdr:cNvPr>
        <xdr:cNvSpPr/>
      </xdr:nvSpPr>
      <xdr:spPr>
        <a:xfrm>
          <a:off x="6433608" y="3770779"/>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73892</xdr:colOff>
      <xdr:row>17</xdr:row>
      <xdr:rowOff>52785</xdr:rowOff>
    </xdr:from>
    <xdr:to>
      <xdr:col>6</xdr:col>
      <xdr:colOff>147975</xdr:colOff>
      <xdr:row>17</xdr:row>
      <xdr:rowOff>126869</xdr:rowOff>
    </xdr:to>
    <xdr:sp macro="" textlink="">
      <xdr:nvSpPr>
        <xdr:cNvPr id="154" name="Elipse 153">
          <a:extLst>
            <a:ext uri="{FF2B5EF4-FFF2-40B4-BE49-F238E27FC236}">
              <a16:creationId xmlns:a16="http://schemas.microsoft.com/office/drawing/2014/main" id="{FB578057-8702-40BC-B5F5-7252AB91FCC2}"/>
            </a:ext>
          </a:extLst>
        </xdr:cNvPr>
        <xdr:cNvSpPr/>
      </xdr:nvSpPr>
      <xdr:spPr>
        <a:xfrm>
          <a:off x="6179417" y="3500835"/>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110067</xdr:colOff>
      <xdr:row>16</xdr:row>
      <xdr:rowOff>115094</xdr:rowOff>
    </xdr:from>
    <xdr:to>
      <xdr:col>6</xdr:col>
      <xdr:colOff>110934</xdr:colOff>
      <xdr:row>17</xdr:row>
      <xdr:rowOff>52785</xdr:rowOff>
    </xdr:to>
    <xdr:cxnSp macro="">
      <xdr:nvCxnSpPr>
        <xdr:cNvPr id="155" name="Conector recto 154">
          <a:extLst>
            <a:ext uri="{FF2B5EF4-FFF2-40B4-BE49-F238E27FC236}">
              <a16:creationId xmlns:a16="http://schemas.microsoft.com/office/drawing/2014/main" id="{4BDBCF2F-FA9F-4BA1-A1F4-8DC3ED02A2F0}"/>
            </a:ext>
          </a:extLst>
        </xdr:cNvPr>
        <xdr:cNvCxnSpPr>
          <a:cxnSpLocks/>
          <a:stCxn id="134" idx="4"/>
          <a:endCxn id="154" idx="0"/>
        </xdr:cNvCxnSpPr>
      </xdr:nvCxnSpPr>
      <xdr:spPr>
        <a:xfrm>
          <a:off x="6215592" y="3401219"/>
          <a:ext cx="867" cy="996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157691</xdr:colOff>
      <xdr:row>18</xdr:row>
      <xdr:rowOff>78714</xdr:rowOff>
    </xdr:from>
    <xdr:to>
      <xdr:col>10</xdr:col>
      <xdr:colOff>73025</xdr:colOff>
      <xdr:row>19</xdr:row>
      <xdr:rowOff>91203</xdr:rowOff>
    </xdr:to>
    <xdr:cxnSp macro="">
      <xdr:nvCxnSpPr>
        <xdr:cNvPr id="167" name="Conector recto 166">
          <a:extLst>
            <a:ext uri="{FF2B5EF4-FFF2-40B4-BE49-F238E27FC236}">
              <a16:creationId xmlns:a16="http://schemas.microsoft.com/office/drawing/2014/main" id="{57768293-2DEA-489E-9241-B0270BCEDD69}"/>
            </a:ext>
          </a:extLst>
        </xdr:cNvPr>
        <xdr:cNvCxnSpPr>
          <a:stCxn id="146" idx="6"/>
          <a:endCxn id="144" idx="2"/>
        </xdr:cNvCxnSpPr>
      </xdr:nvCxnSpPr>
      <xdr:spPr>
        <a:xfrm flipV="1">
          <a:off x="6502240" y="3717019"/>
          <a:ext cx="626643" cy="1760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83608</xdr:colOff>
      <xdr:row>21</xdr:row>
      <xdr:rowOff>63500</xdr:rowOff>
    </xdr:from>
    <xdr:to>
      <xdr:col>6</xdr:col>
      <xdr:colOff>157691</xdr:colOff>
      <xdr:row>21</xdr:row>
      <xdr:rowOff>137584</xdr:rowOff>
    </xdr:to>
    <xdr:sp macro="" textlink="">
      <xdr:nvSpPr>
        <xdr:cNvPr id="202" name="Elipse 201">
          <a:extLst>
            <a:ext uri="{FF2B5EF4-FFF2-40B4-BE49-F238E27FC236}">
              <a16:creationId xmlns:a16="http://schemas.microsoft.com/office/drawing/2014/main" id="{9CA66F0B-602A-4DB3-9E77-5B34A4739812}"/>
            </a:ext>
          </a:extLst>
        </xdr:cNvPr>
        <xdr:cNvSpPr/>
      </xdr:nvSpPr>
      <xdr:spPr>
        <a:xfrm>
          <a:off x="6193985" y="3022840"/>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88899</xdr:colOff>
      <xdr:row>22</xdr:row>
      <xdr:rowOff>53975</xdr:rowOff>
    </xdr:from>
    <xdr:to>
      <xdr:col>9</xdr:col>
      <xdr:colOff>162982</xdr:colOff>
      <xdr:row>22</xdr:row>
      <xdr:rowOff>128059</xdr:rowOff>
    </xdr:to>
    <xdr:sp macro="" textlink="">
      <xdr:nvSpPr>
        <xdr:cNvPr id="203" name="Elipse 202">
          <a:extLst>
            <a:ext uri="{FF2B5EF4-FFF2-40B4-BE49-F238E27FC236}">
              <a16:creationId xmlns:a16="http://schemas.microsoft.com/office/drawing/2014/main" id="{F7688715-B223-4564-ADB5-EF30E9A7423B}"/>
            </a:ext>
          </a:extLst>
        </xdr:cNvPr>
        <xdr:cNvSpPr/>
      </xdr:nvSpPr>
      <xdr:spPr>
        <a:xfrm>
          <a:off x="6918144" y="3175060"/>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157691</xdr:colOff>
      <xdr:row>21</xdr:row>
      <xdr:rowOff>100542</xdr:rowOff>
    </xdr:from>
    <xdr:to>
      <xdr:col>9</xdr:col>
      <xdr:colOff>88899</xdr:colOff>
      <xdr:row>22</xdr:row>
      <xdr:rowOff>91017</xdr:rowOff>
    </xdr:to>
    <xdr:cxnSp macro="">
      <xdr:nvCxnSpPr>
        <xdr:cNvPr id="204" name="Conector recto 203">
          <a:extLst>
            <a:ext uri="{FF2B5EF4-FFF2-40B4-BE49-F238E27FC236}">
              <a16:creationId xmlns:a16="http://schemas.microsoft.com/office/drawing/2014/main" id="{F7053FBE-8B38-4F88-8086-7AE5D8FEDA73}"/>
            </a:ext>
          </a:extLst>
        </xdr:cNvPr>
        <xdr:cNvCxnSpPr>
          <a:cxnSpLocks/>
          <a:stCxn id="202" idx="6"/>
          <a:endCxn id="203" idx="2"/>
        </xdr:cNvCxnSpPr>
      </xdr:nvCxnSpPr>
      <xdr:spPr>
        <a:xfrm>
          <a:off x="6268068" y="3059882"/>
          <a:ext cx="650076" cy="1522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73025</xdr:colOff>
      <xdr:row>23</xdr:row>
      <xdr:rowOff>41010</xdr:rowOff>
    </xdr:from>
    <xdr:to>
      <xdr:col>6</xdr:col>
      <xdr:colOff>147108</xdr:colOff>
      <xdr:row>23</xdr:row>
      <xdr:rowOff>115094</xdr:rowOff>
    </xdr:to>
    <xdr:sp macro="" textlink="">
      <xdr:nvSpPr>
        <xdr:cNvPr id="205" name="Elipse 204">
          <a:extLst>
            <a:ext uri="{FF2B5EF4-FFF2-40B4-BE49-F238E27FC236}">
              <a16:creationId xmlns:a16="http://schemas.microsoft.com/office/drawing/2014/main" id="{FBAF8307-5974-4010-80D9-C48675DF40AB}"/>
            </a:ext>
          </a:extLst>
        </xdr:cNvPr>
        <xdr:cNvSpPr/>
      </xdr:nvSpPr>
      <xdr:spPr>
        <a:xfrm>
          <a:off x="6183402" y="3323840"/>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147108</xdr:colOff>
      <xdr:row>22</xdr:row>
      <xdr:rowOff>91017</xdr:rowOff>
    </xdr:from>
    <xdr:to>
      <xdr:col>9</xdr:col>
      <xdr:colOff>88899</xdr:colOff>
      <xdr:row>23</xdr:row>
      <xdr:rowOff>78052</xdr:rowOff>
    </xdr:to>
    <xdr:cxnSp macro="">
      <xdr:nvCxnSpPr>
        <xdr:cNvPr id="206" name="Conector recto 205">
          <a:extLst>
            <a:ext uri="{FF2B5EF4-FFF2-40B4-BE49-F238E27FC236}">
              <a16:creationId xmlns:a16="http://schemas.microsoft.com/office/drawing/2014/main" id="{89C94D13-E1EE-44B3-8567-F4E460174650}"/>
            </a:ext>
          </a:extLst>
        </xdr:cNvPr>
        <xdr:cNvCxnSpPr>
          <a:stCxn id="205" idx="6"/>
          <a:endCxn id="203" idx="2"/>
        </xdr:cNvCxnSpPr>
      </xdr:nvCxnSpPr>
      <xdr:spPr>
        <a:xfrm flipV="1">
          <a:off x="6257485" y="3212102"/>
          <a:ext cx="660659" cy="1487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110067</xdr:colOff>
      <xdr:row>24</xdr:row>
      <xdr:rowOff>126869</xdr:rowOff>
    </xdr:from>
    <xdr:to>
      <xdr:col>6</xdr:col>
      <xdr:colOff>110934</xdr:colOff>
      <xdr:row>25</xdr:row>
      <xdr:rowOff>41010</xdr:rowOff>
    </xdr:to>
    <xdr:cxnSp macro="">
      <xdr:nvCxnSpPr>
        <xdr:cNvPr id="208" name="Conector recto 207">
          <a:extLst>
            <a:ext uri="{FF2B5EF4-FFF2-40B4-BE49-F238E27FC236}">
              <a16:creationId xmlns:a16="http://schemas.microsoft.com/office/drawing/2014/main" id="{CAA41960-CAB3-47AC-BA7A-F23CE4F89F41}"/>
            </a:ext>
          </a:extLst>
        </xdr:cNvPr>
        <xdr:cNvCxnSpPr>
          <a:cxnSpLocks/>
          <a:stCxn id="107" idx="0"/>
          <a:endCxn id="210" idx="4"/>
        </xdr:cNvCxnSpPr>
      </xdr:nvCxnSpPr>
      <xdr:spPr>
        <a:xfrm flipV="1">
          <a:off x="8572414" y="4869930"/>
          <a:ext cx="867" cy="7613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73892</xdr:colOff>
      <xdr:row>24</xdr:row>
      <xdr:rowOff>52785</xdr:rowOff>
    </xdr:from>
    <xdr:to>
      <xdr:col>6</xdr:col>
      <xdr:colOff>147975</xdr:colOff>
      <xdr:row>24</xdr:row>
      <xdr:rowOff>126869</xdr:rowOff>
    </xdr:to>
    <xdr:sp macro="" textlink="">
      <xdr:nvSpPr>
        <xdr:cNvPr id="210" name="Elipse 209">
          <a:extLst>
            <a:ext uri="{FF2B5EF4-FFF2-40B4-BE49-F238E27FC236}">
              <a16:creationId xmlns:a16="http://schemas.microsoft.com/office/drawing/2014/main" id="{22757136-0F5E-4C31-A372-F95DC855F8E3}"/>
            </a:ext>
          </a:extLst>
        </xdr:cNvPr>
        <xdr:cNvSpPr/>
      </xdr:nvSpPr>
      <xdr:spPr>
        <a:xfrm>
          <a:off x="6184269" y="3497360"/>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110067</xdr:colOff>
      <xdr:row>23</xdr:row>
      <xdr:rowOff>115094</xdr:rowOff>
    </xdr:from>
    <xdr:to>
      <xdr:col>6</xdr:col>
      <xdr:colOff>110934</xdr:colOff>
      <xdr:row>24</xdr:row>
      <xdr:rowOff>52785</xdr:rowOff>
    </xdr:to>
    <xdr:cxnSp macro="">
      <xdr:nvCxnSpPr>
        <xdr:cNvPr id="211" name="Conector recto 210">
          <a:extLst>
            <a:ext uri="{FF2B5EF4-FFF2-40B4-BE49-F238E27FC236}">
              <a16:creationId xmlns:a16="http://schemas.microsoft.com/office/drawing/2014/main" id="{5AEECF5E-4DAB-4A39-A94C-5DE4BA02EC0A}"/>
            </a:ext>
          </a:extLst>
        </xdr:cNvPr>
        <xdr:cNvCxnSpPr>
          <a:cxnSpLocks/>
          <a:stCxn id="205" idx="4"/>
          <a:endCxn id="210" idx="0"/>
        </xdr:cNvCxnSpPr>
      </xdr:nvCxnSpPr>
      <xdr:spPr>
        <a:xfrm>
          <a:off x="6220444" y="3397924"/>
          <a:ext cx="867" cy="9943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29</xdr:row>
      <xdr:rowOff>59644</xdr:rowOff>
    </xdr:from>
    <xdr:to>
      <xdr:col>6</xdr:col>
      <xdr:colOff>147219</xdr:colOff>
      <xdr:row>29</xdr:row>
      <xdr:rowOff>133728</xdr:rowOff>
    </xdr:to>
    <xdr:sp macro="" textlink="">
      <xdr:nvSpPr>
        <xdr:cNvPr id="222" name="Elipse 221">
          <a:extLst>
            <a:ext uri="{FF2B5EF4-FFF2-40B4-BE49-F238E27FC236}">
              <a16:creationId xmlns:a16="http://schemas.microsoft.com/office/drawing/2014/main" id="{2307B1EC-563F-460F-B353-5AE1E4FD7523}"/>
            </a:ext>
          </a:extLst>
        </xdr:cNvPr>
        <xdr:cNvSpPr/>
      </xdr:nvSpPr>
      <xdr:spPr>
        <a:xfrm>
          <a:off x="6172089" y="4977202"/>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28</xdr:row>
      <xdr:rowOff>126869</xdr:rowOff>
    </xdr:from>
    <xdr:to>
      <xdr:col>6</xdr:col>
      <xdr:colOff>110934</xdr:colOff>
      <xdr:row>29</xdr:row>
      <xdr:rowOff>59644</xdr:rowOff>
    </xdr:to>
    <xdr:cxnSp macro="">
      <xdr:nvCxnSpPr>
        <xdr:cNvPr id="223" name="Conector recto 222">
          <a:extLst>
            <a:ext uri="{FF2B5EF4-FFF2-40B4-BE49-F238E27FC236}">
              <a16:creationId xmlns:a16="http://schemas.microsoft.com/office/drawing/2014/main" id="{0E9A8200-F487-4F50-A4D7-0B1E6759CCFA}"/>
            </a:ext>
          </a:extLst>
        </xdr:cNvPr>
        <xdr:cNvCxnSpPr>
          <a:stCxn id="222" idx="0"/>
          <a:endCxn id="224" idx="4"/>
        </xdr:cNvCxnSpPr>
      </xdr:nvCxnSpPr>
      <xdr:spPr>
        <a:xfrm flipV="1">
          <a:off x="6209131" y="4881985"/>
          <a:ext cx="756" cy="952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73892</xdr:colOff>
      <xdr:row>28</xdr:row>
      <xdr:rowOff>52785</xdr:rowOff>
    </xdr:from>
    <xdr:to>
      <xdr:col>6</xdr:col>
      <xdr:colOff>147975</xdr:colOff>
      <xdr:row>28</xdr:row>
      <xdr:rowOff>126869</xdr:rowOff>
    </xdr:to>
    <xdr:sp macro="" textlink="">
      <xdr:nvSpPr>
        <xdr:cNvPr id="224" name="Elipse 223">
          <a:extLst>
            <a:ext uri="{FF2B5EF4-FFF2-40B4-BE49-F238E27FC236}">
              <a16:creationId xmlns:a16="http://schemas.microsoft.com/office/drawing/2014/main" id="{3F26A5D3-9320-4DD8-AE51-9714B05B47FE}"/>
            </a:ext>
          </a:extLst>
        </xdr:cNvPr>
        <xdr:cNvSpPr/>
      </xdr:nvSpPr>
      <xdr:spPr>
        <a:xfrm>
          <a:off x="6172845" y="4807901"/>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110934</xdr:colOff>
      <xdr:row>27</xdr:row>
      <xdr:rowOff>126869</xdr:rowOff>
    </xdr:from>
    <xdr:to>
      <xdr:col>6</xdr:col>
      <xdr:colOff>110934</xdr:colOff>
      <xdr:row>28</xdr:row>
      <xdr:rowOff>52785</xdr:rowOff>
    </xdr:to>
    <xdr:cxnSp macro="">
      <xdr:nvCxnSpPr>
        <xdr:cNvPr id="225" name="Conector recto 224">
          <a:extLst>
            <a:ext uri="{FF2B5EF4-FFF2-40B4-BE49-F238E27FC236}">
              <a16:creationId xmlns:a16="http://schemas.microsoft.com/office/drawing/2014/main" id="{23828445-17BE-43FC-837E-83A7665E8D54}"/>
            </a:ext>
          </a:extLst>
        </xdr:cNvPr>
        <xdr:cNvCxnSpPr>
          <a:cxnSpLocks/>
          <a:stCxn id="113" idx="4"/>
          <a:endCxn id="224" idx="0"/>
        </xdr:cNvCxnSpPr>
      </xdr:nvCxnSpPr>
      <xdr:spPr>
        <a:xfrm>
          <a:off x="8573281" y="5355900"/>
          <a:ext cx="0" cy="8790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30</xdr:row>
      <xdr:rowOff>59644</xdr:rowOff>
    </xdr:from>
    <xdr:to>
      <xdr:col>6</xdr:col>
      <xdr:colOff>147219</xdr:colOff>
      <xdr:row>30</xdr:row>
      <xdr:rowOff>133728</xdr:rowOff>
    </xdr:to>
    <xdr:sp macro="" textlink="">
      <xdr:nvSpPr>
        <xdr:cNvPr id="228" name="Elipse 227">
          <a:extLst>
            <a:ext uri="{FF2B5EF4-FFF2-40B4-BE49-F238E27FC236}">
              <a16:creationId xmlns:a16="http://schemas.microsoft.com/office/drawing/2014/main" id="{31D5F62F-EECF-43BF-9EB5-431424F43D6F}"/>
            </a:ext>
          </a:extLst>
        </xdr:cNvPr>
        <xdr:cNvSpPr/>
      </xdr:nvSpPr>
      <xdr:spPr>
        <a:xfrm>
          <a:off x="6172089" y="5464528"/>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29</xdr:row>
      <xdr:rowOff>126869</xdr:rowOff>
    </xdr:from>
    <xdr:to>
      <xdr:col>6</xdr:col>
      <xdr:colOff>110934</xdr:colOff>
      <xdr:row>30</xdr:row>
      <xdr:rowOff>59644</xdr:rowOff>
    </xdr:to>
    <xdr:cxnSp macro="">
      <xdr:nvCxnSpPr>
        <xdr:cNvPr id="229" name="Conector recto 228">
          <a:extLst>
            <a:ext uri="{FF2B5EF4-FFF2-40B4-BE49-F238E27FC236}">
              <a16:creationId xmlns:a16="http://schemas.microsoft.com/office/drawing/2014/main" id="{4B711301-05C9-46C8-A072-EFB1C1190959}"/>
            </a:ext>
          </a:extLst>
        </xdr:cNvPr>
        <xdr:cNvCxnSpPr>
          <a:stCxn id="228" idx="0"/>
        </xdr:cNvCxnSpPr>
      </xdr:nvCxnSpPr>
      <xdr:spPr>
        <a:xfrm flipV="1">
          <a:off x="6209131" y="5369311"/>
          <a:ext cx="756" cy="952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81221</xdr:colOff>
      <xdr:row>31</xdr:row>
      <xdr:rowOff>51687</xdr:rowOff>
    </xdr:from>
    <xdr:to>
      <xdr:col>9</xdr:col>
      <xdr:colOff>155304</xdr:colOff>
      <xdr:row>31</xdr:row>
      <xdr:rowOff>125771</xdr:rowOff>
    </xdr:to>
    <xdr:sp macro="" textlink="">
      <xdr:nvSpPr>
        <xdr:cNvPr id="234" name="Elipse 233">
          <a:extLst>
            <a:ext uri="{FF2B5EF4-FFF2-40B4-BE49-F238E27FC236}">
              <a16:creationId xmlns:a16="http://schemas.microsoft.com/office/drawing/2014/main" id="{B5320D33-57BB-481C-891D-0D2DC7CFB39D}"/>
            </a:ext>
          </a:extLst>
        </xdr:cNvPr>
        <xdr:cNvSpPr/>
      </xdr:nvSpPr>
      <xdr:spPr>
        <a:xfrm>
          <a:off x="6889012" y="5781454"/>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147219</xdr:colOff>
      <xdr:row>30</xdr:row>
      <xdr:rowOff>96686</xdr:rowOff>
    </xdr:from>
    <xdr:to>
      <xdr:col>9</xdr:col>
      <xdr:colOff>81221</xdr:colOff>
      <xdr:row>31</xdr:row>
      <xdr:rowOff>88729</xdr:rowOff>
    </xdr:to>
    <xdr:cxnSp macro="">
      <xdr:nvCxnSpPr>
        <xdr:cNvPr id="236" name="Conector recto 235">
          <a:extLst>
            <a:ext uri="{FF2B5EF4-FFF2-40B4-BE49-F238E27FC236}">
              <a16:creationId xmlns:a16="http://schemas.microsoft.com/office/drawing/2014/main" id="{A46FFE85-C967-475B-9CE6-C3CFD143364C}"/>
            </a:ext>
          </a:extLst>
        </xdr:cNvPr>
        <xdr:cNvCxnSpPr>
          <a:cxnSpLocks/>
          <a:stCxn id="228" idx="6"/>
          <a:endCxn id="234" idx="2"/>
        </xdr:cNvCxnSpPr>
      </xdr:nvCxnSpPr>
      <xdr:spPr>
        <a:xfrm>
          <a:off x="6246172" y="5664012"/>
          <a:ext cx="642840" cy="1544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32</xdr:row>
      <xdr:rowOff>59644</xdr:rowOff>
    </xdr:from>
    <xdr:to>
      <xdr:col>6</xdr:col>
      <xdr:colOff>147219</xdr:colOff>
      <xdr:row>32</xdr:row>
      <xdr:rowOff>133728</xdr:rowOff>
    </xdr:to>
    <xdr:sp macro="" textlink="">
      <xdr:nvSpPr>
        <xdr:cNvPr id="239" name="Elipse 238">
          <a:extLst>
            <a:ext uri="{FF2B5EF4-FFF2-40B4-BE49-F238E27FC236}">
              <a16:creationId xmlns:a16="http://schemas.microsoft.com/office/drawing/2014/main" id="{CA62BC99-67BF-4D29-9197-CEEDB2A260A0}"/>
            </a:ext>
          </a:extLst>
        </xdr:cNvPr>
        <xdr:cNvSpPr/>
      </xdr:nvSpPr>
      <xdr:spPr>
        <a:xfrm>
          <a:off x="6172089" y="5626970"/>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136370</xdr:colOff>
      <xdr:row>31</xdr:row>
      <xdr:rowOff>88729</xdr:rowOff>
    </xdr:from>
    <xdr:to>
      <xdr:col>9</xdr:col>
      <xdr:colOff>81221</xdr:colOff>
      <xdr:row>32</xdr:row>
      <xdr:rowOff>70493</xdr:rowOff>
    </xdr:to>
    <xdr:cxnSp macro="">
      <xdr:nvCxnSpPr>
        <xdr:cNvPr id="240" name="Conector recto 239">
          <a:extLst>
            <a:ext uri="{FF2B5EF4-FFF2-40B4-BE49-F238E27FC236}">
              <a16:creationId xmlns:a16="http://schemas.microsoft.com/office/drawing/2014/main" id="{67FACBCA-3998-4A83-A049-14BE687067CC}"/>
            </a:ext>
          </a:extLst>
        </xdr:cNvPr>
        <xdr:cNvCxnSpPr>
          <a:stCxn id="239" idx="7"/>
          <a:endCxn id="234" idx="2"/>
        </xdr:cNvCxnSpPr>
      </xdr:nvCxnSpPr>
      <xdr:spPr>
        <a:xfrm flipV="1">
          <a:off x="6235323" y="5818496"/>
          <a:ext cx="653689" cy="1442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83608</xdr:colOff>
      <xdr:row>34</xdr:row>
      <xdr:rowOff>63500</xdr:rowOff>
    </xdr:from>
    <xdr:to>
      <xdr:col>6</xdr:col>
      <xdr:colOff>157691</xdr:colOff>
      <xdr:row>34</xdr:row>
      <xdr:rowOff>137584</xdr:rowOff>
    </xdr:to>
    <xdr:sp macro="" textlink="">
      <xdr:nvSpPr>
        <xdr:cNvPr id="243" name="Elipse 242">
          <a:extLst>
            <a:ext uri="{FF2B5EF4-FFF2-40B4-BE49-F238E27FC236}">
              <a16:creationId xmlns:a16="http://schemas.microsoft.com/office/drawing/2014/main" id="{312F5897-4E29-4C81-AED7-40518A8B2D64}"/>
            </a:ext>
          </a:extLst>
        </xdr:cNvPr>
        <xdr:cNvSpPr/>
      </xdr:nvSpPr>
      <xdr:spPr>
        <a:xfrm>
          <a:off x="6182561" y="4331291"/>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88899</xdr:colOff>
      <xdr:row>35</xdr:row>
      <xdr:rowOff>53975</xdr:rowOff>
    </xdr:from>
    <xdr:to>
      <xdr:col>9</xdr:col>
      <xdr:colOff>162982</xdr:colOff>
      <xdr:row>35</xdr:row>
      <xdr:rowOff>128059</xdr:rowOff>
    </xdr:to>
    <xdr:sp macro="" textlink="">
      <xdr:nvSpPr>
        <xdr:cNvPr id="244" name="Elipse 243">
          <a:extLst>
            <a:ext uri="{FF2B5EF4-FFF2-40B4-BE49-F238E27FC236}">
              <a16:creationId xmlns:a16="http://schemas.microsoft.com/office/drawing/2014/main" id="{01E21EE0-9C25-482B-867A-16500D293B03}"/>
            </a:ext>
          </a:extLst>
        </xdr:cNvPr>
        <xdr:cNvSpPr/>
      </xdr:nvSpPr>
      <xdr:spPr>
        <a:xfrm>
          <a:off x="6896690" y="4484208"/>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157691</xdr:colOff>
      <xdr:row>34</xdr:row>
      <xdr:rowOff>100542</xdr:rowOff>
    </xdr:from>
    <xdr:to>
      <xdr:col>9</xdr:col>
      <xdr:colOff>88899</xdr:colOff>
      <xdr:row>35</xdr:row>
      <xdr:rowOff>91017</xdr:rowOff>
    </xdr:to>
    <xdr:cxnSp macro="">
      <xdr:nvCxnSpPr>
        <xdr:cNvPr id="245" name="Conector recto 244">
          <a:extLst>
            <a:ext uri="{FF2B5EF4-FFF2-40B4-BE49-F238E27FC236}">
              <a16:creationId xmlns:a16="http://schemas.microsoft.com/office/drawing/2014/main" id="{313F8D2A-8D2E-4759-9EEC-6F238231FB72}"/>
            </a:ext>
          </a:extLst>
        </xdr:cNvPr>
        <xdr:cNvCxnSpPr>
          <a:cxnSpLocks/>
          <a:stCxn id="243" idx="6"/>
          <a:endCxn id="244" idx="2"/>
        </xdr:cNvCxnSpPr>
      </xdr:nvCxnSpPr>
      <xdr:spPr>
        <a:xfrm>
          <a:off x="6256644" y="4368333"/>
          <a:ext cx="640046" cy="1529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73025</xdr:colOff>
      <xdr:row>36</xdr:row>
      <xdr:rowOff>41010</xdr:rowOff>
    </xdr:from>
    <xdr:to>
      <xdr:col>6</xdr:col>
      <xdr:colOff>147108</xdr:colOff>
      <xdr:row>36</xdr:row>
      <xdr:rowOff>115094</xdr:rowOff>
    </xdr:to>
    <xdr:sp macro="" textlink="">
      <xdr:nvSpPr>
        <xdr:cNvPr id="246" name="Elipse 245">
          <a:extLst>
            <a:ext uri="{FF2B5EF4-FFF2-40B4-BE49-F238E27FC236}">
              <a16:creationId xmlns:a16="http://schemas.microsoft.com/office/drawing/2014/main" id="{A41E1C7C-E3A9-41EC-AAA2-9E5476C85E16}"/>
            </a:ext>
          </a:extLst>
        </xdr:cNvPr>
        <xdr:cNvSpPr/>
      </xdr:nvSpPr>
      <xdr:spPr>
        <a:xfrm>
          <a:off x="6171978" y="4633684"/>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147108</xdr:colOff>
      <xdr:row>35</xdr:row>
      <xdr:rowOff>91017</xdr:rowOff>
    </xdr:from>
    <xdr:to>
      <xdr:col>9</xdr:col>
      <xdr:colOff>88899</xdr:colOff>
      <xdr:row>36</xdr:row>
      <xdr:rowOff>78052</xdr:rowOff>
    </xdr:to>
    <xdr:cxnSp macro="">
      <xdr:nvCxnSpPr>
        <xdr:cNvPr id="247" name="Conector recto 246">
          <a:extLst>
            <a:ext uri="{FF2B5EF4-FFF2-40B4-BE49-F238E27FC236}">
              <a16:creationId xmlns:a16="http://schemas.microsoft.com/office/drawing/2014/main" id="{71B49D4C-A4C3-47D1-82D4-47D4CBF8DD37}"/>
            </a:ext>
          </a:extLst>
        </xdr:cNvPr>
        <xdr:cNvCxnSpPr>
          <a:stCxn id="246" idx="6"/>
          <a:endCxn id="244" idx="2"/>
        </xdr:cNvCxnSpPr>
      </xdr:nvCxnSpPr>
      <xdr:spPr>
        <a:xfrm flipV="1">
          <a:off x="6246061" y="4521250"/>
          <a:ext cx="650629" cy="1494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37</xdr:row>
      <xdr:rowOff>59644</xdr:rowOff>
    </xdr:from>
    <xdr:to>
      <xdr:col>6</xdr:col>
      <xdr:colOff>147219</xdr:colOff>
      <xdr:row>37</xdr:row>
      <xdr:rowOff>133728</xdr:rowOff>
    </xdr:to>
    <xdr:sp macro="" textlink="">
      <xdr:nvSpPr>
        <xdr:cNvPr id="248" name="Elipse 247">
          <a:extLst>
            <a:ext uri="{FF2B5EF4-FFF2-40B4-BE49-F238E27FC236}">
              <a16:creationId xmlns:a16="http://schemas.microsoft.com/office/drawing/2014/main" id="{DCD8C2C7-1036-4371-90A0-0E3903D3A0FD}"/>
            </a:ext>
          </a:extLst>
        </xdr:cNvPr>
        <xdr:cNvSpPr/>
      </xdr:nvSpPr>
      <xdr:spPr>
        <a:xfrm>
          <a:off x="6172089" y="4977202"/>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37</xdr:row>
      <xdr:rowOff>0</xdr:rowOff>
    </xdr:from>
    <xdr:to>
      <xdr:col>6</xdr:col>
      <xdr:colOff>110934</xdr:colOff>
      <xdr:row>37</xdr:row>
      <xdr:rowOff>59644</xdr:rowOff>
    </xdr:to>
    <xdr:cxnSp macro="">
      <xdr:nvCxnSpPr>
        <xdr:cNvPr id="249" name="Conector recto 248">
          <a:extLst>
            <a:ext uri="{FF2B5EF4-FFF2-40B4-BE49-F238E27FC236}">
              <a16:creationId xmlns:a16="http://schemas.microsoft.com/office/drawing/2014/main" id="{6F7F5DA6-7559-4ACC-826A-5D2DF7B27E0C}"/>
            </a:ext>
          </a:extLst>
        </xdr:cNvPr>
        <xdr:cNvCxnSpPr>
          <a:cxnSpLocks/>
          <a:stCxn id="248" idx="0"/>
        </xdr:cNvCxnSpPr>
      </xdr:nvCxnSpPr>
      <xdr:spPr>
        <a:xfrm flipV="1">
          <a:off x="6209131" y="4881985"/>
          <a:ext cx="756" cy="952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110067</xdr:colOff>
      <xdr:row>36</xdr:row>
      <xdr:rowOff>115094</xdr:rowOff>
    </xdr:from>
    <xdr:to>
      <xdr:col>6</xdr:col>
      <xdr:colOff>110178</xdr:colOff>
      <xdr:row>37</xdr:row>
      <xdr:rowOff>59644</xdr:rowOff>
    </xdr:to>
    <xdr:cxnSp macro="">
      <xdr:nvCxnSpPr>
        <xdr:cNvPr id="251" name="Conector recto 250">
          <a:extLst>
            <a:ext uri="{FF2B5EF4-FFF2-40B4-BE49-F238E27FC236}">
              <a16:creationId xmlns:a16="http://schemas.microsoft.com/office/drawing/2014/main" id="{B2E0FE25-A3D7-4008-BF55-AD56A36A94C7}"/>
            </a:ext>
          </a:extLst>
        </xdr:cNvPr>
        <xdr:cNvCxnSpPr>
          <a:cxnSpLocks/>
          <a:stCxn id="246" idx="4"/>
          <a:endCxn id="248" idx="0"/>
        </xdr:cNvCxnSpPr>
      </xdr:nvCxnSpPr>
      <xdr:spPr>
        <a:xfrm>
          <a:off x="8594981" y="6870180"/>
          <a:ext cx="111" cy="1087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73025</xdr:colOff>
      <xdr:row>38</xdr:row>
      <xdr:rowOff>41010</xdr:rowOff>
    </xdr:from>
    <xdr:to>
      <xdr:col>6</xdr:col>
      <xdr:colOff>147108</xdr:colOff>
      <xdr:row>38</xdr:row>
      <xdr:rowOff>115094</xdr:rowOff>
    </xdr:to>
    <xdr:sp macro="" textlink="">
      <xdr:nvSpPr>
        <xdr:cNvPr id="252" name="Elipse 251">
          <a:extLst>
            <a:ext uri="{FF2B5EF4-FFF2-40B4-BE49-F238E27FC236}">
              <a16:creationId xmlns:a16="http://schemas.microsoft.com/office/drawing/2014/main" id="{7AB9A281-41AE-45CF-9231-A4F5AE763289}"/>
            </a:ext>
          </a:extLst>
        </xdr:cNvPr>
        <xdr:cNvSpPr/>
      </xdr:nvSpPr>
      <xdr:spPr>
        <a:xfrm>
          <a:off x="6171978" y="5121010"/>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73136</xdr:colOff>
      <xdr:row>40</xdr:row>
      <xdr:rowOff>59644</xdr:rowOff>
    </xdr:from>
    <xdr:to>
      <xdr:col>6</xdr:col>
      <xdr:colOff>147219</xdr:colOff>
      <xdr:row>40</xdr:row>
      <xdr:rowOff>133728</xdr:rowOff>
    </xdr:to>
    <xdr:sp macro="" textlink="">
      <xdr:nvSpPr>
        <xdr:cNvPr id="253" name="Elipse 252">
          <a:extLst>
            <a:ext uri="{FF2B5EF4-FFF2-40B4-BE49-F238E27FC236}">
              <a16:creationId xmlns:a16="http://schemas.microsoft.com/office/drawing/2014/main" id="{D2B4A53F-E220-44F5-A543-C54016CE54A6}"/>
            </a:ext>
          </a:extLst>
        </xdr:cNvPr>
        <xdr:cNvSpPr/>
      </xdr:nvSpPr>
      <xdr:spPr>
        <a:xfrm>
          <a:off x="6172089" y="5464528"/>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39</xdr:row>
      <xdr:rowOff>126869</xdr:rowOff>
    </xdr:from>
    <xdr:to>
      <xdr:col>6</xdr:col>
      <xdr:colOff>110934</xdr:colOff>
      <xdr:row>40</xdr:row>
      <xdr:rowOff>59644</xdr:rowOff>
    </xdr:to>
    <xdr:cxnSp macro="">
      <xdr:nvCxnSpPr>
        <xdr:cNvPr id="254" name="Conector recto 253">
          <a:extLst>
            <a:ext uri="{FF2B5EF4-FFF2-40B4-BE49-F238E27FC236}">
              <a16:creationId xmlns:a16="http://schemas.microsoft.com/office/drawing/2014/main" id="{C7B5837C-3E41-4637-B774-29BD9D2275C2}"/>
            </a:ext>
          </a:extLst>
        </xdr:cNvPr>
        <xdr:cNvCxnSpPr>
          <a:cxnSpLocks/>
          <a:stCxn id="253" idx="0"/>
          <a:endCxn id="255" idx="4"/>
        </xdr:cNvCxnSpPr>
      </xdr:nvCxnSpPr>
      <xdr:spPr>
        <a:xfrm flipV="1">
          <a:off x="6209131" y="5369311"/>
          <a:ext cx="756" cy="952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73892</xdr:colOff>
      <xdr:row>39</xdr:row>
      <xdr:rowOff>52785</xdr:rowOff>
    </xdr:from>
    <xdr:to>
      <xdr:col>6</xdr:col>
      <xdr:colOff>147975</xdr:colOff>
      <xdr:row>39</xdr:row>
      <xdr:rowOff>126869</xdr:rowOff>
    </xdr:to>
    <xdr:sp macro="" textlink="">
      <xdr:nvSpPr>
        <xdr:cNvPr id="255" name="Elipse 254">
          <a:extLst>
            <a:ext uri="{FF2B5EF4-FFF2-40B4-BE49-F238E27FC236}">
              <a16:creationId xmlns:a16="http://schemas.microsoft.com/office/drawing/2014/main" id="{2D213366-AE24-4CF0-B2DC-FE8A0402CB0F}"/>
            </a:ext>
          </a:extLst>
        </xdr:cNvPr>
        <xdr:cNvSpPr/>
      </xdr:nvSpPr>
      <xdr:spPr>
        <a:xfrm>
          <a:off x="6172845" y="5295227"/>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110067</xdr:colOff>
      <xdr:row>38</xdr:row>
      <xdr:rowOff>115094</xdr:rowOff>
    </xdr:from>
    <xdr:to>
      <xdr:col>6</xdr:col>
      <xdr:colOff>110934</xdr:colOff>
      <xdr:row>39</xdr:row>
      <xdr:rowOff>52785</xdr:rowOff>
    </xdr:to>
    <xdr:cxnSp macro="">
      <xdr:nvCxnSpPr>
        <xdr:cNvPr id="256" name="Conector recto 255">
          <a:extLst>
            <a:ext uri="{FF2B5EF4-FFF2-40B4-BE49-F238E27FC236}">
              <a16:creationId xmlns:a16="http://schemas.microsoft.com/office/drawing/2014/main" id="{A61341AD-710C-4B08-81EC-FA618B772A5F}"/>
            </a:ext>
          </a:extLst>
        </xdr:cNvPr>
        <xdr:cNvCxnSpPr>
          <a:cxnSpLocks/>
          <a:stCxn id="252" idx="4"/>
          <a:endCxn id="255" idx="0"/>
        </xdr:cNvCxnSpPr>
      </xdr:nvCxnSpPr>
      <xdr:spPr>
        <a:xfrm>
          <a:off x="6209020" y="5195094"/>
          <a:ext cx="867" cy="1001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41</xdr:row>
      <xdr:rowOff>59644</xdr:rowOff>
    </xdr:from>
    <xdr:to>
      <xdr:col>6</xdr:col>
      <xdr:colOff>147219</xdr:colOff>
      <xdr:row>41</xdr:row>
      <xdr:rowOff>133728</xdr:rowOff>
    </xdr:to>
    <xdr:sp macro="" textlink="">
      <xdr:nvSpPr>
        <xdr:cNvPr id="257" name="Elipse 256">
          <a:extLst>
            <a:ext uri="{FF2B5EF4-FFF2-40B4-BE49-F238E27FC236}">
              <a16:creationId xmlns:a16="http://schemas.microsoft.com/office/drawing/2014/main" id="{D520E567-2A73-41A3-A8D1-52747B547ACC}"/>
            </a:ext>
          </a:extLst>
        </xdr:cNvPr>
        <xdr:cNvSpPr/>
      </xdr:nvSpPr>
      <xdr:spPr>
        <a:xfrm>
          <a:off x="6172089" y="5626970"/>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40</xdr:row>
      <xdr:rowOff>133728</xdr:rowOff>
    </xdr:from>
    <xdr:to>
      <xdr:col>6</xdr:col>
      <xdr:colOff>110178</xdr:colOff>
      <xdr:row>41</xdr:row>
      <xdr:rowOff>59644</xdr:rowOff>
    </xdr:to>
    <xdr:cxnSp macro="">
      <xdr:nvCxnSpPr>
        <xdr:cNvPr id="258" name="Conector recto 257">
          <a:extLst>
            <a:ext uri="{FF2B5EF4-FFF2-40B4-BE49-F238E27FC236}">
              <a16:creationId xmlns:a16="http://schemas.microsoft.com/office/drawing/2014/main" id="{CDC97BDE-4CF7-48EC-8B27-2DC83BDBE4E1}"/>
            </a:ext>
          </a:extLst>
        </xdr:cNvPr>
        <xdr:cNvCxnSpPr>
          <a:stCxn id="257" idx="0"/>
          <a:endCxn id="253" idx="4"/>
        </xdr:cNvCxnSpPr>
      </xdr:nvCxnSpPr>
      <xdr:spPr>
        <a:xfrm flipV="1">
          <a:off x="8595092" y="7545711"/>
          <a:ext cx="0" cy="901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110067</xdr:colOff>
      <xdr:row>37</xdr:row>
      <xdr:rowOff>133728</xdr:rowOff>
    </xdr:from>
    <xdr:to>
      <xdr:col>6</xdr:col>
      <xdr:colOff>110178</xdr:colOff>
      <xdr:row>38</xdr:row>
      <xdr:rowOff>41010</xdr:rowOff>
    </xdr:to>
    <xdr:cxnSp macro="">
      <xdr:nvCxnSpPr>
        <xdr:cNvPr id="259" name="Conector recto 258">
          <a:extLst>
            <a:ext uri="{FF2B5EF4-FFF2-40B4-BE49-F238E27FC236}">
              <a16:creationId xmlns:a16="http://schemas.microsoft.com/office/drawing/2014/main" id="{B7D6E077-918D-4135-83B1-7F3B5DC40341}"/>
            </a:ext>
          </a:extLst>
        </xdr:cNvPr>
        <xdr:cNvCxnSpPr>
          <a:cxnSpLocks/>
          <a:stCxn id="248" idx="4"/>
          <a:endCxn id="252" idx="0"/>
        </xdr:cNvCxnSpPr>
      </xdr:nvCxnSpPr>
      <xdr:spPr>
        <a:xfrm flipH="1">
          <a:off x="6209020" y="5051286"/>
          <a:ext cx="111" cy="697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43</xdr:row>
      <xdr:rowOff>59644</xdr:rowOff>
    </xdr:from>
    <xdr:to>
      <xdr:col>6</xdr:col>
      <xdr:colOff>147219</xdr:colOff>
      <xdr:row>43</xdr:row>
      <xdr:rowOff>133728</xdr:rowOff>
    </xdr:to>
    <xdr:sp macro="" textlink="">
      <xdr:nvSpPr>
        <xdr:cNvPr id="262" name="Elipse 261">
          <a:extLst>
            <a:ext uri="{FF2B5EF4-FFF2-40B4-BE49-F238E27FC236}">
              <a16:creationId xmlns:a16="http://schemas.microsoft.com/office/drawing/2014/main" id="{4A5F29F0-3B56-4A4E-8248-8BF825B8E00C}"/>
            </a:ext>
          </a:extLst>
        </xdr:cNvPr>
        <xdr:cNvSpPr/>
      </xdr:nvSpPr>
      <xdr:spPr>
        <a:xfrm>
          <a:off x="6172089" y="5951853"/>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83608</xdr:colOff>
      <xdr:row>47</xdr:row>
      <xdr:rowOff>63500</xdr:rowOff>
    </xdr:from>
    <xdr:to>
      <xdr:col>6</xdr:col>
      <xdr:colOff>157691</xdr:colOff>
      <xdr:row>47</xdr:row>
      <xdr:rowOff>137584</xdr:rowOff>
    </xdr:to>
    <xdr:sp macro="" textlink="">
      <xdr:nvSpPr>
        <xdr:cNvPr id="264" name="Elipse 263">
          <a:extLst>
            <a:ext uri="{FF2B5EF4-FFF2-40B4-BE49-F238E27FC236}">
              <a16:creationId xmlns:a16="http://schemas.microsoft.com/office/drawing/2014/main" id="{0FA566C3-5124-4115-B9E7-AC009DF50F27}"/>
            </a:ext>
          </a:extLst>
        </xdr:cNvPr>
        <xdr:cNvSpPr/>
      </xdr:nvSpPr>
      <xdr:spPr>
        <a:xfrm>
          <a:off x="6182561" y="4331291"/>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88899</xdr:colOff>
      <xdr:row>48</xdr:row>
      <xdr:rowOff>53975</xdr:rowOff>
    </xdr:from>
    <xdr:to>
      <xdr:col>9</xdr:col>
      <xdr:colOff>162982</xdr:colOff>
      <xdr:row>48</xdr:row>
      <xdr:rowOff>128059</xdr:rowOff>
    </xdr:to>
    <xdr:sp macro="" textlink="">
      <xdr:nvSpPr>
        <xdr:cNvPr id="265" name="Elipse 264">
          <a:extLst>
            <a:ext uri="{FF2B5EF4-FFF2-40B4-BE49-F238E27FC236}">
              <a16:creationId xmlns:a16="http://schemas.microsoft.com/office/drawing/2014/main" id="{45821203-C0F6-4587-8BA3-732934D4BBFB}"/>
            </a:ext>
          </a:extLst>
        </xdr:cNvPr>
        <xdr:cNvSpPr/>
      </xdr:nvSpPr>
      <xdr:spPr>
        <a:xfrm>
          <a:off x="6896690" y="4484208"/>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157691</xdr:colOff>
      <xdr:row>47</xdr:row>
      <xdr:rowOff>100542</xdr:rowOff>
    </xdr:from>
    <xdr:to>
      <xdr:col>9</xdr:col>
      <xdr:colOff>88899</xdr:colOff>
      <xdr:row>48</xdr:row>
      <xdr:rowOff>91017</xdr:rowOff>
    </xdr:to>
    <xdr:cxnSp macro="">
      <xdr:nvCxnSpPr>
        <xdr:cNvPr id="266" name="Conector recto 265">
          <a:extLst>
            <a:ext uri="{FF2B5EF4-FFF2-40B4-BE49-F238E27FC236}">
              <a16:creationId xmlns:a16="http://schemas.microsoft.com/office/drawing/2014/main" id="{391C66BE-77F1-426B-9863-ADFD93DB7ABB}"/>
            </a:ext>
          </a:extLst>
        </xdr:cNvPr>
        <xdr:cNvCxnSpPr>
          <a:cxnSpLocks/>
          <a:stCxn id="264" idx="6"/>
          <a:endCxn id="265" idx="2"/>
        </xdr:cNvCxnSpPr>
      </xdr:nvCxnSpPr>
      <xdr:spPr>
        <a:xfrm>
          <a:off x="6256644" y="4368333"/>
          <a:ext cx="640046" cy="1529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73025</xdr:colOff>
      <xdr:row>49</xdr:row>
      <xdr:rowOff>41010</xdr:rowOff>
    </xdr:from>
    <xdr:to>
      <xdr:col>6</xdr:col>
      <xdr:colOff>147108</xdr:colOff>
      <xdr:row>49</xdr:row>
      <xdr:rowOff>115094</xdr:rowOff>
    </xdr:to>
    <xdr:sp macro="" textlink="">
      <xdr:nvSpPr>
        <xdr:cNvPr id="267" name="Elipse 266">
          <a:extLst>
            <a:ext uri="{FF2B5EF4-FFF2-40B4-BE49-F238E27FC236}">
              <a16:creationId xmlns:a16="http://schemas.microsoft.com/office/drawing/2014/main" id="{A97258A3-F106-4963-889F-2F6D83BE82B4}"/>
            </a:ext>
          </a:extLst>
        </xdr:cNvPr>
        <xdr:cNvSpPr/>
      </xdr:nvSpPr>
      <xdr:spPr>
        <a:xfrm>
          <a:off x="6171978" y="4633684"/>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147108</xdr:colOff>
      <xdr:row>48</xdr:row>
      <xdr:rowOff>91017</xdr:rowOff>
    </xdr:from>
    <xdr:to>
      <xdr:col>9</xdr:col>
      <xdr:colOff>88899</xdr:colOff>
      <xdr:row>49</xdr:row>
      <xdr:rowOff>78052</xdr:rowOff>
    </xdr:to>
    <xdr:cxnSp macro="">
      <xdr:nvCxnSpPr>
        <xdr:cNvPr id="268" name="Conector recto 267">
          <a:extLst>
            <a:ext uri="{FF2B5EF4-FFF2-40B4-BE49-F238E27FC236}">
              <a16:creationId xmlns:a16="http://schemas.microsoft.com/office/drawing/2014/main" id="{EA2A7F59-1BCC-4C45-8C95-3D79247A0544}"/>
            </a:ext>
          </a:extLst>
        </xdr:cNvPr>
        <xdr:cNvCxnSpPr>
          <a:stCxn id="267" idx="6"/>
          <a:endCxn id="265" idx="2"/>
        </xdr:cNvCxnSpPr>
      </xdr:nvCxnSpPr>
      <xdr:spPr>
        <a:xfrm flipV="1">
          <a:off x="6246061" y="4521250"/>
          <a:ext cx="650629" cy="1494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51</xdr:row>
      <xdr:rowOff>59644</xdr:rowOff>
    </xdr:from>
    <xdr:to>
      <xdr:col>6</xdr:col>
      <xdr:colOff>147219</xdr:colOff>
      <xdr:row>51</xdr:row>
      <xdr:rowOff>133728</xdr:rowOff>
    </xdr:to>
    <xdr:sp macro="" textlink="">
      <xdr:nvSpPr>
        <xdr:cNvPr id="269" name="Elipse 268">
          <a:extLst>
            <a:ext uri="{FF2B5EF4-FFF2-40B4-BE49-F238E27FC236}">
              <a16:creationId xmlns:a16="http://schemas.microsoft.com/office/drawing/2014/main" id="{EC66A550-8B07-4F0D-B15B-4DB2C54E4CC0}"/>
            </a:ext>
          </a:extLst>
        </xdr:cNvPr>
        <xdr:cNvSpPr/>
      </xdr:nvSpPr>
      <xdr:spPr>
        <a:xfrm>
          <a:off x="6172089" y="4977202"/>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50</xdr:row>
      <xdr:rowOff>126869</xdr:rowOff>
    </xdr:from>
    <xdr:to>
      <xdr:col>6</xdr:col>
      <xdr:colOff>110934</xdr:colOff>
      <xdr:row>51</xdr:row>
      <xdr:rowOff>59644</xdr:rowOff>
    </xdr:to>
    <xdr:cxnSp macro="">
      <xdr:nvCxnSpPr>
        <xdr:cNvPr id="270" name="Conector recto 269">
          <a:extLst>
            <a:ext uri="{FF2B5EF4-FFF2-40B4-BE49-F238E27FC236}">
              <a16:creationId xmlns:a16="http://schemas.microsoft.com/office/drawing/2014/main" id="{A5DC057E-7B79-4B9B-8440-01034A9C9759}"/>
            </a:ext>
          </a:extLst>
        </xdr:cNvPr>
        <xdr:cNvCxnSpPr>
          <a:stCxn id="269" idx="0"/>
          <a:endCxn id="271" idx="4"/>
        </xdr:cNvCxnSpPr>
      </xdr:nvCxnSpPr>
      <xdr:spPr>
        <a:xfrm flipV="1">
          <a:off x="6209131" y="4881985"/>
          <a:ext cx="756" cy="952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73892</xdr:colOff>
      <xdr:row>50</xdr:row>
      <xdr:rowOff>52785</xdr:rowOff>
    </xdr:from>
    <xdr:to>
      <xdr:col>6</xdr:col>
      <xdr:colOff>147975</xdr:colOff>
      <xdr:row>50</xdr:row>
      <xdr:rowOff>126869</xdr:rowOff>
    </xdr:to>
    <xdr:sp macro="" textlink="">
      <xdr:nvSpPr>
        <xdr:cNvPr id="271" name="Elipse 270">
          <a:extLst>
            <a:ext uri="{FF2B5EF4-FFF2-40B4-BE49-F238E27FC236}">
              <a16:creationId xmlns:a16="http://schemas.microsoft.com/office/drawing/2014/main" id="{8B272A1E-E7E1-4065-9299-11C3D8E73CD4}"/>
            </a:ext>
          </a:extLst>
        </xdr:cNvPr>
        <xdr:cNvSpPr/>
      </xdr:nvSpPr>
      <xdr:spPr>
        <a:xfrm>
          <a:off x="6172845" y="4807901"/>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110067</xdr:colOff>
      <xdr:row>49</xdr:row>
      <xdr:rowOff>115094</xdr:rowOff>
    </xdr:from>
    <xdr:to>
      <xdr:col>6</xdr:col>
      <xdr:colOff>110934</xdr:colOff>
      <xdr:row>50</xdr:row>
      <xdr:rowOff>52785</xdr:rowOff>
    </xdr:to>
    <xdr:cxnSp macro="">
      <xdr:nvCxnSpPr>
        <xdr:cNvPr id="272" name="Conector recto 271">
          <a:extLst>
            <a:ext uri="{FF2B5EF4-FFF2-40B4-BE49-F238E27FC236}">
              <a16:creationId xmlns:a16="http://schemas.microsoft.com/office/drawing/2014/main" id="{87C7C590-872C-4E27-99A2-6362182E2E4C}"/>
            </a:ext>
          </a:extLst>
        </xdr:cNvPr>
        <xdr:cNvCxnSpPr>
          <a:cxnSpLocks/>
          <a:stCxn id="267" idx="4"/>
          <a:endCxn id="271" idx="0"/>
        </xdr:cNvCxnSpPr>
      </xdr:nvCxnSpPr>
      <xdr:spPr>
        <a:xfrm>
          <a:off x="6209020" y="4707768"/>
          <a:ext cx="867" cy="1001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146911</xdr:colOff>
      <xdr:row>53</xdr:row>
      <xdr:rowOff>40739</xdr:rowOff>
    </xdr:from>
    <xdr:to>
      <xdr:col>9</xdr:col>
      <xdr:colOff>220994</xdr:colOff>
      <xdr:row>53</xdr:row>
      <xdr:rowOff>114823</xdr:rowOff>
    </xdr:to>
    <xdr:sp macro="" textlink="">
      <xdr:nvSpPr>
        <xdr:cNvPr id="285" name="Elipse 284">
          <a:extLst>
            <a:ext uri="{FF2B5EF4-FFF2-40B4-BE49-F238E27FC236}">
              <a16:creationId xmlns:a16="http://schemas.microsoft.com/office/drawing/2014/main" id="{9987429E-97E7-47E3-8078-A4D87C4E4137}"/>
            </a:ext>
          </a:extLst>
        </xdr:cNvPr>
        <xdr:cNvSpPr/>
      </xdr:nvSpPr>
      <xdr:spPr>
        <a:xfrm>
          <a:off x="9354411" y="9609532"/>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73136</xdr:colOff>
      <xdr:row>54</xdr:row>
      <xdr:rowOff>59644</xdr:rowOff>
    </xdr:from>
    <xdr:to>
      <xdr:col>6</xdr:col>
      <xdr:colOff>147219</xdr:colOff>
      <xdr:row>54</xdr:row>
      <xdr:rowOff>133728</xdr:rowOff>
    </xdr:to>
    <xdr:sp macro="" textlink="">
      <xdr:nvSpPr>
        <xdr:cNvPr id="287" name="Elipse 286">
          <a:extLst>
            <a:ext uri="{FF2B5EF4-FFF2-40B4-BE49-F238E27FC236}">
              <a16:creationId xmlns:a16="http://schemas.microsoft.com/office/drawing/2014/main" id="{168FB06D-258F-421C-B7FB-8BC313DAA290}"/>
            </a:ext>
          </a:extLst>
        </xdr:cNvPr>
        <xdr:cNvSpPr/>
      </xdr:nvSpPr>
      <xdr:spPr>
        <a:xfrm>
          <a:off x="6172089" y="9850458"/>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136370</xdr:colOff>
      <xdr:row>53</xdr:row>
      <xdr:rowOff>77781</xdr:rowOff>
    </xdr:from>
    <xdr:to>
      <xdr:col>9</xdr:col>
      <xdr:colOff>146911</xdr:colOff>
      <xdr:row>54</xdr:row>
      <xdr:rowOff>70493</xdr:rowOff>
    </xdr:to>
    <xdr:cxnSp macro="">
      <xdr:nvCxnSpPr>
        <xdr:cNvPr id="288" name="Conector recto 287">
          <a:extLst>
            <a:ext uri="{FF2B5EF4-FFF2-40B4-BE49-F238E27FC236}">
              <a16:creationId xmlns:a16="http://schemas.microsoft.com/office/drawing/2014/main" id="{F4FC44D2-002C-443C-BA3A-1C655B44FA29}"/>
            </a:ext>
          </a:extLst>
        </xdr:cNvPr>
        <xdr:cNvCxnSpPr>
          <a:stCxn id="287" idx="7"/>
          <a:endCxn id="285" idx="2"/>
        </xdr:cNvCxnSpPr>
      </xdr:nvCxnSpPr>
      <xdr:spPr>
        <a:xfrm flipV="1">
          <a:off x="8621284" y="9646574"/>
          <a:ext cx="733127" cy="15693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83608</xdr:colOff>
      <xdr:row>56</xdr:row>
      <xdr:rowOff>63500</xdr:rowOff>
    </xdr:from>
    <xdr:to>
      <xdr:col>6</xdr:col>
      <xdr:colOff>157691</xdr:colOff>
      <xdr:row>56</xdr:row>
      <xdr:rowOff>137584</xdr:rowOff>
    </xdr:to>
    <xdr:sp macro="" textlink="">
      <xdr:nvSpPr>
        <xdr:cNvPr id="290" name="Elipse 289">
          <a:extLst>
            <a:ext uri="{FF2B5EF4-FFF2-40B4-BE49-F238E27FC236}">
              <a16:creationId xmlns:a16="http://schemas.microsoft.com/office/drawing/2014/main" id="{C68FFA6C-5FB3-4CEC-A29E-9F4664A3142F}"/>
            </a:ext>
          </a:extLst>
        </xdr:cNvPr>
        <xdr:cNvSpPr/>
      </xdr:nvSpPr>
      <xdr:spPr>
        <a:xfrm>
          <a:off x="6182561" y="8229895"/>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88899</xdr:colOff>
      <xdr:row>57</xdr:row>
      <xdr:rowOff>53975</xdr:rowOff>
    </xdr:from>
    <xdr:to>
      <xdr:col>9</xdr:col>
      <xdr:colOff>162982</xdr:colOff>
      <xdr:row>57</xdr:row>
      <xdr:rowOff>128059</xdr:rowOff>
    </xdr:to>
    <xdr:sp macro="" textlink="">
      <xdr:nvSpPr>
        <xdr:cNvPr id="291" name="Elipse 290">
          <a:extLst>
            <a:ext uri="{FF2B5EF4-FFF2-40B4-BE49-F238E27FC236}">
              <a16:creationId xmlns:a16="http://schemas.microsoft.com/office/drawing/2014/main" id="{D02782C4-B855-400F-A799-33DAC159F538}"/>
            </a:ext>
          </a:extLst>
        </xdr:cNvPr>
        <xdr:cNvSpPr/>
      </xdr:nvSpPr>
      <xdr:spPr>
        <a:xfrm>
          <a:off x="6896690" y="8382812"/>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157691</xdr:colOff>
      <xdr:row>56</xdr:row>
      <xdr:rowOff>100542</xdr:rowOff>
    </xdr:from>
    <xdr:to>
      <xdr:col>9</xdr:col>
      <xdr:colOff>88899</xdr:colOff>
      <xdr:row>57</xdr:row>
      <xdr:rowOff>91017</xdr:rowOff>
    </xdr:to>
    <xdr:cxnSp macro="">
      <xdr:nvCxnSpPr>
        <xdr:cNvPr id="292" name="Conector recto 291">
          <a:extLst>
            <a:ext uri="{FF2B5EF4-FFF2-40B4-BE49-F238E27FC236}">
              <a16:creationId xmlns:a16="http://schemas.microsoft.com/office/drawing/2014/main" id="{2DB911C1-8815-4DAD-B70E-E30C7D9D380B}"/>
            </a:ext>
          </a:extLst>
        </xdr:cNvPr>
        <xdr:cNvCxnSpPr>
          <a:cxnSpLocks/>
          <a:stCxn id="290" idx="6"/>
          <a:endCxn id="291" idx="2"/>
        </xdr:cNvCxnSpPr>
      </xdr:nvCxnSpPr>
      <xdr:spPr>
        <a:xfrm>
          <a:off x="6256644" y="8266937"/>
          <a:ext cx="640046" cy="1529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73025</xdr:colOff>
      <xdr:row>58</xdr:row>
      <xdr:rowOff>41010</xdr:rowOff>
    </xdr:from>
    <xdr:to>
      <xdr:col>6</xdr:col>
      <xdr:colOff>147108</xdr:colOff>
      <xdr:row>58</xdr:row>
      <xdr:rowOff>115094</xdr:rowOff>
    </xdr:to>
    <xdr:sp macro="" textlink="">
      <xdr:nvSpPr>
        <xdr:cNvPr id="293" name="Elipse 292">
          <a:extLst>
            <a:ext uri="{FF2B5EF4-FFF2-40B4-BE49-F238E27FC236}">
              <a16:creationId xmlns:a16="http://schemas.microsoft.com/office/drawing/2014/main" id="{4C0A1004-CF9E-4C17-9697-87DDF2D11BDB}"/>
            </a:ext>
          </a:extLst>
        </xdr:cNvPr>
        <xdr:cNvSpPr/>
      </xdr:nvSpPr>
      <xdr:spPr>
        <a:xfrm>
          <a:off x="6171978" y="8532289"/>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147108</xdr:colOff>
      <xdr:row>57</xdr:row>
      <xdr:rowOff>91017</xdr:rowOff>
    </xdr:from>
    <xdr:to>
      <xdr:col>9</xdr:col>
      <xdr:colOff>88899</xdr:colOff>
      <xdr:row>58</xdr:row>
      <xdr:rowOff>78052</xdr:rowOff>
    </xdr:to>
    <xdr:cxnSp macro="">
      <xdr:nvCxnSpPr>
        <xdr:cNvPr id="294" name="Conector recto 293">
          <a:extLst>
            <a:ext uri="{FF2B5EF4-FFF2-40B4-BE49-F238E27FC236}">
              <a16:creationId xmlns:a16="http://schemas.microsoft.com/office/drawing/2014/main" id="{18E3CD24-5E40-4347-A12E-20D0B9B0FB90}"/>
            </a:ext>
          </a:extLst>
        </xdr:cNvPr>
        <xdr:cNvCxnSpPr>
          <a:stCxn id="293" idx="6"/>
          <a:endCxn id="291" idx="2"/>
        </xdr:cNvCxnSpPr>
      </xdr:nvCxnSpPr>
      <xdr:spPr>
        <a:xfrm flipV="1">
          <a:off x="6246061" y="8419854"/>
          <a:ext cx="650629" cy="14947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60</xdr:row>
      <xdr:rowOff>59644</xdr:rowOff>
    </xdr:from>
    <xdr:to>
      <xdr:col>6</xdr:col>
      <xdr:colOff>147219</xdr:colOff>
      <xdr:row>60</xdr:row>
      <xdr:rowOff>133728</xdr:rowOff>
    </xdr:to>
    <xdr:sp macro="" textlink="">
      <xdr:nvSpPr>
        <xdr:cNvPr id="295" name="Elipse 294">
          <a:extLst>
            <a:ext uri="{FF2B5EF4-FFF2-40B4-BE49-F238E27FC236}">
              <a16:creationId xmlns:a16="http://schemas.microsoft.com/office/drawing/2014/main" id="{F2141359-3DFF-4BCD-8125-876B20AA9947}"/>
            </a:ext>
          </a:extLst>
        </xdr:cNvPr>
        <xdr:cNvSpPr/>
      </xdr:nvSpPr>
      <xdr:spPr>
        <a:xfrm>
          <a:off x="6172089" y="8875807"/>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59</xdr:row>
      <xdr:rowOff>126869</xdr:rowOff>
    </xdr:from>
    <xdr:to>
      <xdr:col>6</xdr:col>
      <xdr:colOff>110934</xdr:colOff>
      <xdr:row>60</xdr:row>
      <xdr:rowOff>59644</xdr:rowOff>
    </xdr:to>
    <xdr:cxnSp macro="">
      <xdr:nvCxnSpPr>
        <xdr:cNvPr id="296" name="Conector recto 295">
          <a:extLst>
            <a:ext uri="{FF2B5EF4-FFF2-40B4-BE49-F238E27FC236}">
              <a16:creationId xmlns:a16="http://schemas.microsoft.com/office/drawing/2014/main" id="{32EEBD06-D1F3-4AC7-AE30-5EC9256FBC0F}"/>
            </a:ext>
          </a:extLst>
        </xdr:cNvPr>
        <xdr:cNvCxnSpPr>
          <a:stCxn id="295" idx="0"/>
          <a:endCxn id="297" idx="4"/>
        </xdr:cNvCxnSpPr>
      </xdr:nvCxnSpPr>
      <xdr:spPr>
        <a:xfrm flipV="1">
          <a:off x="6209131" y="8780590"/>
          <a:ext cx="756" cy="952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73892</xdr:colOff>
      <xdr:row>59</xdr:row>
      <xdr:rowOff>52785</xdr:rowOff>
    </xdr:from>
    <xdr:to>
      <xdr:col>6</xdr:col>
      <xdr:colOff>147975</xdr:colOff>
      <xdr:row>59</xdr:row>
      <xdr:rowOff>126869</xdr:rowOff>
    </xdr:to>
    <xdr:sp macro="" textlink="">
      <xdr:nvSpPr>
        <xdr:cNvPr id="297" name="Elipse 296">
          <a:extLst>
            <a:ext uri="{FF2B5EF4-FFF2-40B4-BE49-F238E27FC236}">
              <a16:creationId xmlns:a16="http://schemas.microsoft.com/office/drawing/2014/main" id="{DD6EA819-65C0-400F-A795-F0CFB1855704}"/>
            </a:ext>
          </a:extLst>
        </xdr:cNvPr>
        <xdr:cNvSpPr/>
      </xdr:nvSpPr>
      <xdr:spPr>
        <a:xfrm>
          <a:off x="6172845" y="8706506"/>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110067</xdr:colOff>
      <xdr:row>58</xdr:row>
      <xdr:rowOff>115094</xdr:rowOff>
    </xdr:from>
    <xdr:to>
      <xdr:col>6</xdr:col>
      <xdr:colOff>110934</xdr:colOff>
      <xdr:row>59</xdr:row>
      <xdr:rowOff>52785</xdr:rowOff>
    </xdr:to>
    <xdr:cxnSp macro="">
      <xdr:nvCxnSpPr>
        <xdr:cNvPr id="298" name="Conector recto 297">
          <a:extLst>
            <a:ext uri="{FF2B5EF4-FFF2-40B4-BE49-F238E27FC236}">
              <a16:creationId xmlns:a16="http://schemas.microsoft.com/office/drawing/2014/main" id="{867BB610-749E-4E40-A082-5E7DE2F2D4FC}"/>
            </a:ext>
          </a:extLst>
        </xdr:cNvPr>
        <xdr:cNvCxnSpPr>
          <a:cxnSpLocks/>
          <a:stCxn id="293" idx="4"/>
          <a:endCxn id="297" idx="0"/>
        </xdr:cNvCxnSpPr>
      </xdr:nvCxnSpPr>
      <xdr:spPr>
        <a:xfrm>
          <a:off x="6209020" y="8606373"/>
          <a:ext cx="867" cy="1001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81221</xdr:colOff>
      <xdr:row>61</xdr:row>
      <xdr:rowOff>51687</xdr:rowOff>
    </xdr:from>
    <xdr:to>
      <xdr:col>9</xdr:col>
      <xdr:colOff>155304</xdr:colOff>
      <xdr:row>61</xdr:row>
      <xdr:rowOff>125771</xdr:rowOff>
    </xdr:to>
    <xdr:sp macro="" textlink="">
      <xdr:nvSpPr>
        <xdr:cNvPr id="299" name="Elipse 298">
          <a:extLst>
            <a:ext uri="{FF2B5EF4-FFF2-40B4-BE49-F238E27FC236}">
              <a16:creationId xmlns:a16="http://schemas.microsoft.com/office/drawing/2014/main" id="{334708F5-E427-4E6C-AD25-6CA4C0161D6E}"/>
            </a:ext>
          </a:extLst>
        </xdr:cNvPr>
        <xdr:cNvSpPr/>
      </xdr:nvSpPr>
      <xdr:spPr>
        <a:xfrm>
          <a:off x="6889012" y="9030292"/>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147219</xdr:colOff>
      <xdr:row>60</xdr:row>
      <xdr:rowOff>96686</xdr:rowOff>
    </xdr:from>
    <xdr:to>
      <xdr:col>9</xdr:col>
      <xdr:colOff>81221</xdr:colOff>
      <xdr:row>61</xdr:row>
      <xdr:rowOff>88729</xdr:rowOff>
    </xdr:to>
    <xdr:cxnSp macro="">
      <xdr:nvCxnSpPr>
        <xdr:cNvPr id="300" name="Conector recto 299">
          <a:extLst>
            <a:ext uri="{FF2B5EF4-FFF2-40B4-BE49-F238E27FC236}">
              <a16:creationId xmlns:a16="http://schemas.microsoft.com/office/drawing/2014/main" id="{EA31B2A6-8144-41BD-AFA8-03CCB1BBAC15}"/>
            </a:ext>
          </a:extLst>
        </xdr:cNvPr>
        <xdr:cNvCxnSpPr>
          <a:cxnSpLocks/>
          <a:stCxn id="295" idx="6"/>
          <a:endCxn id="299" idx="2"/>
        </xdr:cNvCxnSpPr>
      </xdr:nvCxnSpPr>
      <xdr:spPr>
        <a:xfrm>
          <a:off x="6246172" y="8912849"/>
          <a:ext cx="642840" cy="15448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62</xdr:row>
      <xdr:rowOff>59644</xdr:rowOff>
    </xdr:from>
    <xdr:to>
      <xdr:col>6</xdr:col>
      <xdr:colOff>147219</xdr:colOff>
      <xdr:row>62</xdr:row>
      <xdr:rowOff>133728</xdr:rowOff>
    </xdr:to>
    <xdr:sp macro="" textlink="">
      <xdr:nvSpPr>
        <xdr:cNvPr id="301" name="Elipse 300">
          <a:extLst>
            <a:ext uri="{FF2B5EF4-FFF2-40B4-BE49-F238E27FC236}">
              <a16:creationId xmlns:a16="http://schemas.microsoft.com/office/drawing/2014/main" id="{41869E69-1BD1-4FF4-8653-7EA64C366A85}"/>
            </a:ext>
          </a:extLst>
        </xdr:cNvPr>
        <xdr:cNvSpPr/>
      </xdr:nvSpPr>
      <xdr:spPr>
        <a:xfrm>
          <a:off x="6172089" y="9200691"/>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136370</xdr:colOff>
      <xdr:row>61</xdr:row>
      <xdr:rowOff>88729</xdr:rowOff>
    </xdr:from>
    <xdr:to>
      <xdr:col>9</xdr:col>
      <xdr:colOff>81221</xdr:colOff>
      <xdr:row>62</xdr:row>
      <xdr:rowOff>70493</xdr:rowOff>
    </xdr:to>
    <xdr:cxnSp macro="">
      <xdr:nvCxnSpPr>
        <xdr:cNvPr id="302" name="Conector recto 301">
          <a:extLst>
            <a:ext uri="{FF2B5EF4-FFF2-40B4-BE49-F238E27FC236}">
              <a16:creationId xmlns:a16="http://schemas.microsoft.com/office/drawing/2014/main" id="{23E19C40-3C2A-42DB-B705-81489D8894D6}"/>
            </a:ext>
          </a:extLst>
        </xdr:cNvPr>
        <xdr:cNvCxnSpPr>
          <a:stCxn id="301" idx="7"/>
          <a:endCxn id="299" idx="2"/>
        </xdr:cNvCxnSpPr>
      </xdr:nvCxnSpPr>
      <xdr:spPr>
        <a:xfrm flipV="1">
          <a:off x="6235323" y="9067334"/>
          <a:ext cx="653689" cy="1442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99637</xdr:colOff>
      <xdr:row>66</xdr:row>
      <xdr:rowOff>44208</xdr:rowOff>
    </xdr:from>
    <xdr:to>
      <xdr:col>9</xdr:col>
      <xdr:colOff>173720</xdr:colOff>
      <xdr:row>66</xdr:row>
      <xdr:rowOff>118292</xdr:rowOff>
    </xdr:to>
    <xdr:sp macro="" textlink="">
      <xdr:nvSpPr>
        <xdr:cNvPr id="305" name="Elipse 304">
          <a:extLst>
            <a:ext uri="{FF2B5EF4-FFF2-40B4-BE49-F238E27FC236}">
              <a16:creationId xmlns:a16="http://schemas.microsoft.com/office/drawing/2014/main" id="{6003FC7B-B136-42DF-805E-9FFC50D38699}"/>
            </a:ext>
          </a:extLst>
        </xdr:cNvPr>
        <xdr:cNvSpPr/>
      </xdr:nvSpPr>
      <xdr:spPr>
        <a:xfrm>
          <a:off x="10313078" y="11488354"/>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97547</xdr:colOff>
      <xdr:row>67</xdr:row>
      <xdr:rowOff>56839</xdr:rowOff>
    </xdr:from>
    <xdr:to>
      <xdr:col>9</xdr:col>
      <xdr:colOff>171630</xdr:colOff>
      <xdr:row>67</xdr:row>
      <xdr:rowOff>130923</xdr:rowOff>
    </xdr:to>
    <xdr:sp macro="" textlink="">
      <xdr:nvSpPr>
        <xdr:cNvPr id="306" name="Elipse 305">
          <a:extLst>
            <a:ext uri="{FF2B5EF4-FFF2-40B4-BE49-F238E27FC236}">
              <a16:creationId xmlns:a16="http://schemas.microsoft.com/office/drawing/2014/main" id="{97A11EBA-712E-49EF-923E-B0C7165CF0BC}"/>
            </a:ext>
          </a:extLst>
        </xdr:cNvPr>
        <xdr:cNvSpPr/>
      </xdr:nvSpPr>
      <xdr:spPr>
        <a:xfrm>
          <a:off x="10311856" y="11825227"/>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134589</xdr:colOff>
      <xdr:row>66</xdr:row>
      <xdr:rowOff>118292</xdr:rowOff>
    </xdr:from>
    <xdr:to>
      <xdr:col>9</xdr:col>
      <xdr:colOff>136679</xdr:colOff>
      <xdr:row>67</xdr:row>
      <xdr:rowOff>56839</xdr:rowOff>
    </xdr:to>
    <xdr:cxnSp macro="">
      <xdr:nvCxnSpPr>
        <xdr:cNvPr id="307" name="Conector recto 306">
          <a:extLst>
            <a:ext uri="{FF2B5EF4-FFF2-40B4-BE49-F238E27FC236}">
              <a16:creationId xmlns:a16="http://schemas.microsoft.com/office/drawing/2014/main" id="{87D72C42-7A9B-4EFC-9856-AA8BD7783A76}"/>
            </a:ext>
          </a:extLst>
        </xdr:cNvPr>
        <xdr:cNvCxnSpPr>
          <a:cxnSpLocks/>
          <a:stCxn id="306" idx="0"/>
          <a:endCxn id="305" idx="4"/>
        </xdr:cNvCxnSpPr>
      </xdr:nvCxnSpPr>
      <xdr:spPr>
        <a:xfrm flipV="1">
          <a:off x="10348030" y="11562438"/>
          <a:ext cx="2090" cy="9886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63316</xdr:colOff>
      <xdr:row>69</xdr:row>
      <xdr:rowOff>49824</xdr:rowOff>
    </xdr:from>
    <xdr:to>
      <xdr:col>8</xdr:col>
      <xdr:colOff>137399</xdr:colOff>
      <xdr:row>69</xdr:row>
      <xdr:rowOff>123908</xdr:rowOff>
    </xdr:to>
    <xdr:sp macro="" textlink="">
      <xdr:nvSpPr>
        <xdr:cNvPr id="311" name="Elipse 310">
          <a:extLst>
            <a:ext uri="{FF2B5EF4-FFF2-40B4-BE49-F238E27FC236}">
              <a16:creationId xmlns:a16="http://schemas.microsoft.com/office/drawing/2014/main" id="{DDC33248-70F1-4C16-8BE0-111842BA5FD4}"/>
            </a:ext>
          </a:extLst>
        </xdr:cNvPr>
        <xdr:cNvSpPr/>
      </xdr:nvSpPr>
      <xdr:spPr>
        <a:xfrm>
          <a:off x="10030197" y="11764592"/>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137399</xdr:colOff>
      <xdr:row>68</xdr:row>
      <xdr:rowOff>99618</xdr:rowOff>
    </xdr:from>
    <xdr:to>
      <xdr:col>9</xdr:col>
      <xdr:colOff>95789</xdr:colOff>
      <xdr:row>69</xdr:row>
      <xdr:rowOff>86866</xdr:rowOff>
    </xdr:to>
    <xdr:cxnSp macro="">
      <xdr:nvCxnSpPr>
        <xdr:cNvPr id="312" name="Conector recto 311">
          <a:extLst>
            <a:ext uri="{FF2B5EF4-FFF2-40B4-BE49-F238E27FC236}">
              <a16:creationId xmlns:a16="http://schemas.microsoft.com/office/drawing/2014/main" id="{42096F3A-4F5E-497B-8C21-5083667E69A1}"/>
            </a:ext>
          </a:extLst>
        </xdr:cNvPr>
        <xdr:cNvCxnSpPr>
          <a:stCxn id="311" idx="6"/>
          <a:endCxn id="313" idx="2"/>
        </xdr:cNvCxnSpPr>
      </xdr:nvCxnSpPr>
      <xdr:spPr>
        <a:xfrm flipV="1">
          <a:off x="10123995" y="11917945"/>
          <a:ext cx="200179" cy="1484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95789</xdr:colOff>
      <xdr:row>68</xdr:row>
      <xdr:rowOff>62576</xdr:rowOff>
    </xdr:from>
    <xdr:to>
      <xdr:col>9</xdr:col>
      <xdr:colOff>169872</xdr:colOff>
      <xdr:row>68</xdr:row>
      <xdr:rowOff>136660</xdr:rowOff>
    </xdr:to>
    <xdr:sp macro="" textlink="">
      <xdr:nvSpPr>
        <xdr:cNvPr id="313" name="Elipse 312">
          <a:extLst>
            <a:ext uri="{FF2B5EF4-FFF2-40B4-BE49-F238E27FC236}">
              <a16:creationId xmlns:a16="http://schemas.microsoft.com/office/drawing/2014/main" id="{2AA232A1-F895-4984-8055-7730F332A613}"/>
            </a:ext>
          </a:extLst>
        </xdr:cNvPr>
        <xdr:cNvSpPr/>
      </xdr:nvSpPr>
      <xdr:spPr>
        <a:xfrm>
          <a:off x="10309230" y="11827366"/>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132831</xdr:colOff>
      <xdr:row>67</xdr:row>
      <xdr:rowOff>130923</xdr:rowOff>
    </xdr:from>
    <xdr:to>
      <xdr:col>9</xdr:col>
      <xdr:colOff>134589</xdr:colOff>
      <xdr:row>68</xdr:row>
      <xdr:rowOff>62576</xdr:rowOff>
    </xdr:to>
    <xdr:cxnSp macro="">
      <xdr:nvCxnSpPr>
        <xdr:cNvPr id="314" name="Conector recto 313">
          <a:extLst>
            <a:ext uri="{FF2B5EF4-FFF2-40B4-BE49-F238E27FC236}">
              <a16:creationId xmlns:a16="http://schemas.microsoft.com/office/drawing/2014/main" id="{60766E63-6ACE-4F48-AA7C-0296EB2F76F4}"/>
            </a:ext>
          </a:extLst>
        </xdr:cNvPr>
        <xdr:cNvCxnSpPr>
          <a:cxnSpLocks/>
          <a:stCxn id="306" idx="4"/>
          <a:endCxn id="313" idx="0"/>
        </xdr:cNvCxnSpPr>
      </xdr:nvCxnSpPr>
      <xdr:spPr>
        <a:xfrm flipH="1">
          <a:off x="10346272" y="11735391"/>
          <a:ext cx="1758" cy="91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65027</xdr:colOff>
      <xdr:row>70</xdr:row>
      <xdr:rowOff>48684</xdr:rowOff>
    </xdr:from>
    <xdr:to>
      <xdr:col>6</xdr:col>
      <xdr:colOff>139110</xdr:colOff>
      <xdr:row>70</xdr:row>
      <xdr:rowOff>122768</xdr:rowOff>
    </xdr:to>
    <xdr:sp macro="" textlink="">
      <xdr:nvSpPr>
        <xdr:cNvPr id="325" name="Elipse 324">
          <a:extLst>
            <a:ext uri="{FF2B5EF4-FFF2-40B4-BE49-F238E27FC236}">
              <a16:creationId xmlns:a16="http://schemas.microsoft.com/office/drawing/2014/main" id="{70C57D86-58A6-4F25-949E-DC19100160CA}"/>
            </a:ext>
          </a:extLst>
        </xdr:cNvPr>
        <xdr:cNvSpPr/>
      </xdr:nvSpPr>
      <xdr:spPr>
        <a:xfrm>
          <a:off x="9560568" y="11920565"/>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139110</xdr:colOff>
      <xdr:row>70</xdr:row>
      <xdr:rowOff>85726</xdr:rowOff>
    </xdr:from>
    <xdr:to>
      <xdr:col>9</xdr:col>
      <xdr:colOff>88233</xdr:colOff>
      <xdr:row>71</xdr:row>
      <xdr:rowOff>86057</xdr:rowOff>
    </xdr:to>
    <xdr:cxnSp macro="">
      <xdr:nvCxnSpPr>
        <xdr:cNvPr id="326" name="Conector recto 325">
          <a:extLst>
            <a:ext uri="{FF2B5EF4-FFF2-40B4-BE49-F238E27FC236}">
              <a16:creationId xmlns:a16="http://schemas.microsoft.com/office/drawing/2014/main" id="{C26CA10A-50BA-4951-986F-C475D09CDC46}"/>
            </a:ext>
          </a:extLst>
        </xdr:cNvPr>
        <xdr:cNvCxnSpPr>
          <a:cxnSpLocks/>
          <a:stCxn id="325" idx="6"/>
          <a:endCxn id="124" idx="2"/>
        </xdr:cNvCxnSpPr>
      </xdr:nvCxnSpPr>
      <xdr:spPr>
        <a:xfrm>
          <a:off x="9596074" y="12372976"/>
          <a:ext cx="711123" cy="1636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150283</xdr:colOff>
      <xdr:row>65</xdr:row>
      <xdr:rowOff>85725</xdr:rowOff>
    </xdr:from>
    <xdr:to>
      <xdr:col>9</xdr:col>
      <xdr:colOff>99637</xdr:colOff>
      <xdr:row>66</xdr:row>
      <xdr:rowOff>81250</xdr:rowOff>
    </xdr:to>
    <xdr:cxnSp macro="">
      <xdr:nvCxnSpPr>
        <xdr:cNvPr id="335" name="Conector recto 334">
          <a:extLst>
            <a:ext uri="{FF2B5EF4-FFF2-40B4-BE49-F238E27FC236}">
              <a16:creationId xmlns:a16="http://schemas.microsoft.com/office/drawing/2014/main" id="{9BD8CC5B-A63F-44D6-922A-F04412922B78}"/>
            </a:ext>
          </a:extLst>
        </xdr:cNvPr>
        <xdr:cNvCxnSpPr>
          <a:cxnSpLocks/>
          <a:stCxn id="95" idx="6"/>
          <a:endCxn id="305" idx="2"/>
        </xdr:cNvCxnSpPr>
      </xdr:nvCxnSpPr>
      <xdr:spPr>
        <a:xfrm>
          <a:off x="9642276" y="11369549"/>
          <a:ext cx="670802" cy="1558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65027</xdr:colOff>
      <xdr:row>69</xdr:row>
      <xdr:rowOff>86866</xdr:rowOff>
    </xdr:from>
    <xdr:to>
      <xdr:col>8</xdr:col>
      <xdr:colOff>137399</xdr:colOff>
      <xdr:row>70</xdr:row>
      <xdr:rowOff>85726</xdr:rowOff>
    </xdr:to>
    <xdr:cxnSp macro="">
      <xdr:nvCxnSpPr>
        <xdr:cNvPr id="338" name="Conector recto 337">
          <a:extLst>
            <a:ext uri="{FF2B5EF4-FFF2-40B4-BE49-F238E27FC236}">
              <a16:creationId xmlns:a16="http://schemas.microsoft.com/office/drawing/2014/main" id="{9299DC4A-87FA-4A32-886D-91E16692C01F}"/>
            </a:ext>
          </a:extLst>
        </xdr:cNvPr>
        <xdr:cNvCxnSpPr>
          <a:cxnSpLocks/>
          <a:stCxn id="325" idx="2"/>
          <a:endCxn id="311" idx="6"/>
        </xdr:cNvCxnSpPr>
      </xdr:nvCxnSpPr>
      <xdr:spPr>
        <a:xfrm flipV="1">
          <a:off x="9560568" y="11801634"/>
          <a:ext cx="543712" cy="1559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73025</xdr:colOff>
      <xdr:row>25</xdr:row>
      <xdr:rowOff>41010</xdr:rowOff>
    </xdr:from>
    <xdr:to>
      <xdr:col>6</xdr:col>
      <xdr:colOff>147108</xdr:colOff>
      <xdr:row>25</xdr:row>
      <xdr:rowOff>115094</xdr:rowOff>
    </xdr:to>
    <xdr:sp macro="" textlink="">
      <xdr:nvSpPr>
        <xdr:cNvPr id="107" name="Elipse 106">
          <a:extLst>
            <a:ext uri="{FF2B5EF4-FFF2-40B4-BE49-F238E27FC236}">
              <a16:creationId xmlns:a16="http://schemas.microsoft.com/office/drawing/2014/main" id="{25DCFCAA-8388-410C-9208-79B8A5EBDC0B}"/>
            </a:ext>
          </a:extLst>
        </xdr:cNvPr>
        <xdr:cNvSpPr/>
      </xdr:nvSpPr>
      <xdr:spPr>
        <a:xfrm>
          <a:off x="8535372" y="4622081"/>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73892</xdr:colOff>
      <xdr:row>26</xdr:row>
      <xdr:rowOff>52785</xdr:rowOff>
    </xdr:from>
    <xdr:to>
      <xdr:col>6</xdr:col>
      <xdr:colOff>147975</xdr:colOff>
      <xdr:row>26</xdr:row>
      <xdr:rowOff>126869</xdr:rowOff>
    </xdr:to>
    <xdr:sp macro="" textlink="">
      <xdr:nvSpPr>
        <xdr:cNvPr id="108" name="Elipse 107">
          <a:extLst>
            <a:ext uri="{FF2B5EF4-FFF2-40B4-BE49-F238E27FC236}">
              <a16:creationId xmlns:a16="http://schemas.microsoft.com/office/drawing/2014/main" id="{144E7C0B-5C8C-4448-A559-D9FB3509980D}"/>
            </a:ext>
          </a:extLst>
        </xdr:cNvPr>
        <xdr:cNvSpPr/>
      </xdr:nvSpPr>
      <xdr:spPr>
        <a:xfrm>
          <a:off x="8536239" y="4795846"/>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110067</xdr:colOff>
      <xdr:row>25</xdr:row>
      <xdr:rowOff>115094</xdr:rowOff>
    </xdr:from>
    <xdr:to>
      <xdr:col>6</xdr:col>
      <xdr:colOff>110934</xdr:colOff>
      <xdr:row>26</xdr:row>
      <xdr:rowOff>52785</xdr:rowOff>
    </xdr:to>
    <xdr:cxnSp macro="">
      <xdr:nvCxnSpPr>
        <xdr:cNvPr id="109" name="Conector recto 108">
          <a:extLst>
            <a:ext uri="{FF2B5EF4-FFF2-40B4-BE49-F238E27FC236}">
              <a16:creationId xmlns:a16="http://schemas.microsoft.com/office/drawing/2014/main" id="{9626DA2D-5E58-42D6-9C8C-C2F06ADAB015}"/>
            </a:ext>
          </a:extLst>
        </xdr:cNvPr>
        <xdr:cNvCxnSpPr>
          <a:cxnSpLocks/>
          <a:stCxn id="107" idx="4"/>
          <a:endCxn id="108" idx="0"/>
        </xdr:cNvCxnSpPr>
      </xdr:nvCxnSpPr>
      <xdr:spPr>
        <a:xfrm>
          <a:off x="8572414" y="4696165"/>
          <a:ext cx="867" cy="996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73892</xdr:colOff>
      <xdr:row>27</xdr:row>
      <xdr:rowOff>52785</xdr:rowOff>
    </xdr:from>
    <xdr:to>
      <xdr:col>6</xdr:col>
      <xdr:colOff>147975</xdr:colOff>
      <xdr:row>27</xdr:row>
      <xdr:rowOff>126869</xdr:rowOff>
    </xdr:to>
    <xdr:sp macro="" textlink="">
      <xdr:nvSpPr>
        <xdr:cNvPr id="113" name="Elipse 112">
          <a:extLst>
            <a:ext uri="{FF2B5EF4-FFF2-40B4-BE49-F238E27FC236}">
              <a16:creationId xmlns:a16="http://schemas.microsoft.com/office/drawing/2014/main" id="{166255D8-9A4F-40BD-91EC-25171B1D961B}"/>
            </a:ext>
          </a:extLst>
        </xdr:cNvPr>
        <xdr:cNvSpPr/>
      </xdr:nvSpPr>
      <xdr:spPr>
        <a:xfrm>
          <a:off x="8536239" y="5119826"/>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110934</xdr:colOff>
      <xdr:row>26</xdr:row>
      <xdr:rowOff>52785</xdr:rowOff>
    </xdr:from>
    <xdr:to>
      <xdr:col>6</xdr:col>
      <xdr:colOff>110934</xdr:colOff>
      <xdr:row>27</xdr:row>
      <xdr:rowOff>52785</xdr:rowOff>
    </xdr:to>
    <xdr:cxnSp macro="">
      <xdr:nvCxnSpPr>
        <xdr:cNvPr id="114" name="Conector recto 113">
          <a:extLst>
            <a:ext uri="{FF2B5EF4-FFF2-40B4-BE49-F238E27FC236}">
              <a16:creationId xmlns:a16="http://schemas.microsoft.com/office/drawing/2014/main" id="{A875B6C3-B27B-4ADE-A51E-89C7B9F923EB}"/>
            </a:ext>
          </a:extLst>
        </xdr:cNvPr>
        <xdr:cNvCxnSpPr>
          <a:cxnSpLocks/>
          <a:stCxn id="108" idx="0"/>
          <a:endCxn id="113" idx="0"/>
        </xdr:cNvCxnSpPr>
      </xdr:nvCxnSpPr>
      <xdr:spPr>
        <a:xfrm>
          <a:off x="8573281" y="5119826"/>
          <a:ext cx="0" cy="1619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42</xdr:row>
      <xdr:rowOff>59644</xdr:rowOff>
    </xdr:from>
    <xdr:to>
      <xdr:col>6</xdr:col>
      <xdr:colOff>147219</xdr:colOff>
      <xdr:row>42</xdr:row>
      <xdr:rowOff>133728</xdr:rowOff>
    </xdr:to>
    <xdr:sp macro="" textlink="">
      <xdr:nvSpPr>
        <xdr:cNvPr id="129" name="Elipse 128">
          <a:extLst>
            <a:ext uri="{FF2B5EF4-FFF2-40B4-BE49-F238E27FC236}">
              <a16:creationId xmlns:a16="http://schemas.microsoft.com/office/drawing/2014/main" id="{80858A17-BF66-425B-A0B7-3E7D77C6057B}"/>
            </a:ext>
          </a:extLst>
        </xdr:cNvPr>
        <xdr:cNvSpPr/>
      </xdr:nvSpPr>
      <xdr:spPr>
        <a:xfrm>
          <a:off x="8535483" y="5612654"/>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41</xdr:row>
      <xdr:rowOff>133728</xdr:rowOff>
    </xdr:from>
    <xdr:to>
      <xdr:col>6</xdr:col>
      <xdr:colOff>110178</xdr:colOff>
      <xdr:row>42</xdr:row>
      <xdr:rowOff>59644</xdr:rowOff>
    </xdr:to>
    <xdr:cxnSp macro="">
      <xdr:nvCxnSpPr>
        <xdr:cNvPr id="130" name="Conector recto 129">
          <a:extLst>
            <a:ext uri="{FF2B5EF4-FFF2-40B4-BE49-F238E27FC236}">
              <a16:creationId xmlns:a16="http://schemas.microsoft.com/office/drawing/2014/main" id="{B937167F-6B1F-4668-888D-56A90D07A7AA}"/>
            </a:ext>
          </a:extLst>
        </xdr:cNvPr>
        <xdr:cNvCxnSpPr>
          <a:cxnSpLocks/>
          <a:stCxn id="129" idx="0"/>
          <a:endCxn id="257" idx="4"/>
        </xdr:cNvCxnSpPr>
      </xdr:nvCxnSpPr>
      <xdr:spPr>
        <a:xfrm flipV="1">
          <a:off x="8595092" y="7709935"/>
          <a:ext cx="0" cy="901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43</xdr:row>
      <xdr:rowOff>59644</xdr:rowOff>
    </xdr:from>
    <xdr:to>
      <xdr:col>6</xdr:col>
      <xdr:colOff>147219</xdr:colOff>
      <xdr:row>43</xdr:row>
      <xdr:rowOff>133728</xdr:rowOff>
    </xdr:to>
    <xdr:sp macro="" textlink="">
      <xdr:nvSpPr>
        <xdr:cNvPr id="133" name="Elipse 132">
          <a:extLst>
            <a:ext uri="{FF2B5EF4-FFF2-40B4-BE49-F238E27FC236}">
              <a16:creationId xmlns:a16="http://schemas.microsoft.com/office/drawing/2014/main" id="{A540B6DD-AEAC-444C-AEF8-85183F1EF772}"/>
            </a:ext>
          </a:extLst>
        </xdr:cNvPr>
        <xdr:cNvSpPr/>
      </xdr:nvSpPr>
      <xdr:spPr>
        <a:xfrm>
          <a:off x="8535483" y="5774644"/>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42</xdr:row>
      <xdr:rowOff>133728</xdr:rowOff>
    </xdr:from>
    <xdr:to>
      <xdr:col>6</xdr:col>
      <xdr:colOff>110178</xdr:colOff>
      <xdr:row>43</xdr:row>
      <xdr:rowOff>59644</xdr:rowOff>
    </xdr:to>
    <xdr:cxnSp macro="">
      <xdr:nvCxnSpPr>
        <xdr:cNvPr id="135" name="Conector recto 134">
          <a:extLst>
            <a:ext uri="{FF2B5EF4-FFF2-40B4-BE49-F238E27FC236}">
              <a16:creationId xmlns:a16="http://schemas.microsoft.com/office/drawing/2014/main" id="{30C9141A-6A46-49D3-89EC-5742124C6733}"/>
            </a:ext>
          </a:extLst>
        </xdr:cNvPr>
        <xdr:cNvCxnSpPr>
          <a:cxnSpLocks/>
          <a:stCxn id="133" idx="0"/>
          <a:endCxn id="129" idx="4"/>
        </xdr:cNvCxnSpPr>
      </xdr:nvCxnSpPr>
      <xdr:spPr>
        <a:xfrm flipV="1">
          <a:off x="8595092" y="7874159"/>
          <a:ext cx="0" cy="901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81221</xdr:colOff>
      <xdr:row>44</xdr:row>
      <xdr:rowOff>51687</xdr:rowOff>
    </xdr:from>
    <xdr:to>
      <xdr:col>9</xdr:col>
      <xdr:colOff>155304</xdr:colOff>
      <xdr:row>44</xdr:row>
      <xdr:rowOff>125771</xdr:rowOff>
    </xdr:to>
    <xdr:sp macro="" textlink="">
      <xdr:nvSpPr>
        <xdr:cNvPr id="136" name="Elipse 135">
          <a:extLst>
            <a:ext uri="{FF2B5EF4-FFF2-40B4-BE49-F238E27FC236}">
              <a16:creationId xmlns:a16="http://schemas.microsoft.com/office/drawing/2014/main" id="{ED41B17F-214A-41AE-8CB1-CC056C2A36F7}"/>
            </a:ext>
          </a:extLst>
        </xdr:cNvPr>
        <xdr:cNvSpPr/>
      </xdr:nvSpPr>
      <xdr:spPr>
        <a:xfrm>
          <a:off x="9262803" y="5928677"/>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147219</xdr:colOff>
      <xdr:row>43</xdr:row>
      <xdr:rowOff>96686</xdr:rowOff>
    </xdr:from>
    <xdr:to>
      <xdr:col>9</xdr:col>
      <xdr:colOff>81221</xdr:colOff>
      <xdr:row>44</xdr:row>
      <xdr:rowOff>88729</xdr:rowOff>
    </xdr:to>
    <xdr:cxnSp macro="">
      <xdr:nvCxnSpPr>
        <xdr:cNvPr id="137" name="Conector recto 136">
          <a:extLst>
            <a:ext uri="{FF2B5EF4-FFF2-40B4-BE49-F238E27FC236}">
              <a16:creationId xmlns:a16="http://schemas.microsoft.com/office/drawing/2014/main" id="{E5903205-0538-4D07-A8F8-3AE5C6B16BD3}"/>
            </a:ext>
          </a:extLst>
        </xdr:cNvPr>
        <xdr:cNvCxnSpPr>
          <a:cxnSpLocks/>
          <a:stCxn id="133" idx="6"/>
          <a:endCxn id="136" idx="2"/>
        </xdr:cNvCxnSpPr>
      </xdr:nvCxnSpPr>
      <xdr:spPr>
        <a:xfrm>
          <a:off x="8609566" y="5811686"/>
          <a:ext cx="653237" cy="1540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73136</xdr:colOff>
      <xdr:row>45</xdr:row>
      <xdr:rowOff>59644</xdr:rowOff>
    </xdr:from>
    <xdr:to>
      <xdr:col>6</xdr:col>
      <xdr:colOff>147219</xdr:colOff>
      <xdr:row>45</xdr:row>
      <xdr:rowOff>133728</xdr:rowOff>
    </xdr:to>
    <xdr:sp macro="" textlink="">
      <xdr:nvSpPr>
        <xdr:cNvPr id="138" name="Elipse 137">
          <a:extLst>
            <a:ext uri="{FF2B5EF4-FFF2-40B4-BE49-F238E27FC236}">
              <a16:creationId xmlns:a16="http://schemas.microsoft.com/office/drawing/2014/main" id="{2FC02F17-764F-47BA-BF21-30453A278F1A}"/>
            </a:ext>
          </a:extLst>
        </xdr:cNvPr>
        <xdr:cNvSpPr/>
      </xdr:nvSpPr>
      <xdr:spPr>
        <a:xfrm>
          <a:off x="8535483" y="6098624"/>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136370</xdr:colOff>
      <xdr:row>44</xdr:row>
      <xdr:rowOff>88729</xdr:rowOff>
    </xdr:from>
    <xdr:to>
      <xdr:col>9</xdr:col>
      <xdr:colOff>81221</xdr:colOff>
      <xdr:row>45</xdr:row>
      <xdr:rowOff>70493</xdr:rowOff>
    </xdr:to>
    <xdr:cxnSp macro="">
      <xdr:nvCxnSpPr>
        <xdr:cNvPr id="140" name="Conector recto 139">
          <a:extLst>
            <a:ext uri="{FF2B5EF4-FFF2-40B4-BE49-F238E27FC236}">
              <a16:creationId xmlns:a16="http://schemas.microsoft.com/office/drawing/2014/main" id="{2A8402B6-511B-4813-BEBD-716CF6E448A2}"/>
            </a:ext>
          </a:extLst>
        </xdr:cNvPr>
        <xdr:cNvCxnSpPr>
          <a:stCxn id="138" idx="7"/>
          <a:endCxn id="136" idx="2"/>
        </xdr:cNvCxnSpPr>
      </xdr:nvCxnSpPr>
      <xdr:spPr>
        <a:xfrm flipV="1">
          <a:off x="8598717" y="5965719"/>
          <a:ext cx="664086" cy="14375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73892</xdr:colOff>
      <xdr:row>39</xdr:row>
      <xdr:rowOff>52785</xdr:rowOff>
    </xdr:from>
    <xdr:to>
      <xdr:col>6</xdr:col>
      <xdr:colOff>147975</xdr:colOff>
      <xdr:row>39</xdr:row>
      <xdr:rowOff>126869</xdr:rowOff>
    </xdr:to>
    <xdr:sp macro="" textlink="">
      <xdr:nvSpPr>
        <xdr:cNvPr id="142" name="Elipse 141">
          <a:extLst>
            <a:ext uri="{FF2B5EF4-FFF2-40B4-BE49-F238E27FC236}">
              <a16:creationId xmlns:a16="http://schemas.microsoft.com/office/drawing/2014/main" id="{00F13DF9-388C-475F-83DD-315777603858}"/>
            </a:ext>
          </a:extLst>
        </xdr:cNvPr>
        <xdr:cNvSpPr/>
      </xdr:nvSpPr>
      <xdr:spPr>
        <a:xfrm>
          <a:off x="8536239" y="5119826"/>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73136</xdr:colOff>
      <xdr:row>52</xdr:row>
      <xdr:rowOff>59644</xdr:rowOff>
    </xdr:from>
    <xdr:to>
      <xdr:col>6</xdr:col>
      <xdr:colOff>147219</xdr:colOff>
      <xdr:row>52</xdr:row>
      <xdr:rowOff>133728</xdr:rowOff>
    </xdr:to>
    <xdr:sp macro="" textlink="">
      <xdr:nvSpPr>
        <xdr:cNvPr id="150" name="Elipse 149">
          <a:extLst>
            <a:ext uri="{FF2B5EF4-FFF2-40B4-BE49-F238E27FC236}">
              <a16:creationId xmlns:a16="http://schemas.microsoft.com/office/drawing/2014/main" id="{92E103FE-6539-485A-9621-17E3230388D5}"/>
            </a:ext>
          </a:extLst>
        </xdr:cNvPr>
        <xdr:cNvSpPr/>
      </xdr:nvSpPr>
      <xdr:spPr>
        <a:xfrm>
          <a:off x="8558050" y="9299989"/>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110178</xdr:colOff>
      <xdr:row>51</xdr:row>
      <xdr:rowOff>59644</xdr:rowOff>
    </xdr:from>
    <xdr:to>
      <xdr:col>6</xdr:col>
      <xdr:colOff>110178</xdr:colOff>
      <xdr:row>52</xdr:row>
      <xdr:rowOff>59644</xdr:rowOff>
    </xdr:to>
    <xdr:cxnSp macro="">
      <xdr:nvCxnSpPr>
        <xdr:cNvPr id="151" name="Conector recto 150">
          <a:extLst>
            <a:ext uri="{FF2B5EF4-FFF2-40B4-BE49-F238E27FC236}">
              <a16:creationId xmlns:a16="http://schemas.microsoft.com/office/drawing/2014/main" id="{BF6A8B3B-356D-47D3-984A-7A90C78EA5D4}"/>
            </a:ext>
          </a:extLst>
        </xdr:cNvPr>
        <xdr:cNvCxnSpPr>
          <a:stCxn id="150" idx="0"/>
          <a:endCxn id="269" idx="0"/>
        </xdr:cNvCxnSpPr>
      </xdr:nvCxnSpPr>
      <xdr:spPr>
        <a:xfrm flipV="1">
          <a:off x="8595092" y="9299989"/>
          <a:ext cx="0" cy="1642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147219</xdr:colOff>
      <xdr:row>52</xdr:row>
      <xdr:rowOff>96686</xdr:rowOff>
    </xdr:from>
    <xdr:to>
      <xdr:col>9</xdr:col>
      <xdr:colOff>146911</xdr:colOff>
      <xdr:row>53</xdr:row>
      <xdr:rowOff>77781</xdr:rowOff>
    </xdr:to>
    <xdr:cxnSp macro="">
      <xdr:nvCxnSpPr>
        <xdr:cNvPr id="153" name="Conector recto 152">
          <a:extLst>
            <a:ext uri="{FF2B5EF4-FFF2-40B4-BE49-F238E27FC236}">
              <a16:creationId xmlns:a16="http://schemas.microsoft.com/office/drawing/2014/main" id="{9DCB008B-4441-41FC-AF03-48C900AF3E39}"/>
            </a:ext>
          </a:extLst>
        </xdr:cNvPr>
        <xdr:cNvCxnSpPr>
          <a:stCxn id="150" idx="6"/>
          <a:endCxn id="285" idx="2"/>
        </xdr:cNvCxnSpPr>
      </xdr:nvCxnSpPr>
      <xdr:spPr>
        <a:xfrm>
          <a:off x="8632133" y="9501255"/>
          <a:ext cx="722278" cy="14531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88233</xdr:colOff>
      <xdr:row>71</xdr:row>
      <xdr:rowOff>49015</xdr:rowOff>
    </xdr:from>
    <xdr:to>
      <xdr:col>9</xdr:col>
      <xdr:colOff>162316</xdr:colOff>
      <xdr:row>71</xdr:row>
      <xdr:rowOff>123099</xdr:rowOff>
    </xdr:to>
    <xdr:sp macro="" textlink="">
      <xdr:nvSpPr>
        <xdr:cNvPr id="124" name="Elipse 123">
          <a:extLst>
            <a:ext uri="{FF2B5EF4-FFF2-40B4-BE49-F238E27FC236}">
              <a16:creationId xmlns:a16="http://schemas.microsoft.com/office/drawing/2014/main" id="{EDEF82C9-38E3-45C9-B88B-7238A11007DB}"/>
            </a:ext>
          </a:extLst>
        </xdr:cNvPr>
        <xdr:cNvSpPr/>
      </xdr:nvSpPr>
      <xdr:spPr>
        <a:xfrm>
          <a:off x="10307197" y="12499551"/>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92999</xdr:colOff>
      <xdr:row>74</xdr:row>
      <xdr:rowOff>43378</xdr:rowOff>
    </xdr:from>
    <xdr:to>
      <xdr:col>9</xdr:col>
      <xdr:colOff>167082</xdr:colOff>
      <xdr:row>74</xdr:row>
      <xdr:rowOff>117462</xdr:rowOff>
    </xdr:to>
    <xdr:sp macro="" textlink="">
      <xdr:nvSpPr>
        <xdr:cNvPr id="125" name="Elipse 124">
          <a:extLst>
            <a:ext uri="{FF2B5EF4-FFF2-40B4-BE49-F238E27FC236}">
              <a16:creationId xmlns:a16="http://schemas.microsoft.com/office/drawing/2014/main" id="{A2B42430-09AF-4F64-9DD5-B08A3E73CF8A}"/>
            </a:ext>
          </a:extLst>
        </xdr:cNvPr>
        <xdr:cNvSpPr/>
      </xdr:nvSpPr>
      <xdr:spPr>
        <a:xfrm>
          <a:off x="9284077" y="13378378"/>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147750</xdr:colOff>
      <xdr:row>73</xdr:row>
      <xdr:rowOff>89945</xdr:rowOff>
    </xdr:from>
    <xdr:to>
      <xdr:col>9</xdr:col>
      <xdr:colOff>92999</xdr:colOff>
      <xdr:row>74</xdr:row>
      <xdr:rowOff>80420</xdr:rowOff>
    </xdr:to>
    <xdr:cxnSp macro="">
      <xdr:nvCxnSpPr>
        <xdr:cNvPr id="126" name="Conector recto 125">
          <a:extLst>
            <a:ext uri="{FF2B5EF4-FFF2-40B4-BE49-F238E27FC236}">
              <a16:creationId xmlns:a16="http://schemas.microsoft.com/office/drawing/2014/main" id="{77E12817-816C-4CF3-986D-3249943B7909}"/>
            </a:ext>
          </a:extLst>
        </xdr:cNvPr>
        <xdr:cNvCxnSpPr>
          <a:stCxn id="125" idx="2"/>
          <a:endCxn id="141" idx="6"/>
        </xdr:cNvCxnSpPr>
      </xdr:nvCxnSpPr>
      <xdr:spPr>
        <a:xfrm flipH="1" flipV="1">
          <a:off x="9641262" y="12724346"/>
          <a:ext cx="665528" cy="15184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73892</xdr:colOff>
      <xdr:row>72</xdr:row>
      <xdr:rowOff>36776</xdr:rowOff>
    </xdr:from>
    <xdr:to>
      <xdr:col>6</xdr:col>
      <xdr:colOff>147975</xdr:colOff>
      <xdr:row>72</xdr:row>
      <xdr:rowOff>110860</xdr:rowOff>
    </xdr:to>
    <xdr:sp macro="" textlink="">
      <xdr:nvSpPr>
        <xdr:cNvPr id="127" name="Elipse 126">
          <a:extLst>
            <a:ext uri="{FF2B5EF4-FFF2-40B4-BE49-F238E27FC236}">
              <a16:creationId xmlns:a16="http://schemas.microsoft.com/office/drawing/2014/main" id="{713EB26B-BCB8-4EED-9627-463CD30E640A}"/>
            </a:ext>
          </a:extLst>
        </xdr:cNvPr>
        <xdr:cNvSpPr/>
      </xdr:nvSpPr>
      <xdr:spPr>
        <a:xfrm>
          <a:off x="9566875" y="12427280"/>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147975</xdr:colOff>
      <xdr:row>71</xdr:row>
      <xdr:rowOff>86057</xdr:rowOff>
    </xdr:from>
    <xdr:to>
      <xdr:col>9</xdr:col>
      <xdr:colOff>88233</xdr:colOff>
      <xdr:row>72</xdr:row>
      <xdr:rowOff>73818</xdr:rowOff>
    </xdr:to>
    <xdr:cxnSp macro="">
      <xdr:nvCxnSpPr>
        <xdr:cNvPr id="128" name="Conector recto 127">
          <a:extLst>
            <a:ext uri="{FF2B5EF4-FFF2-40B4-BE49-F238E27FC236}">
              <a16:creationId xmlns:a16="http://schemas.microsoft.com/office/drawing/2014/main" id="{05425A2D-6BC6-4667-B8C4-B54AC985774C}"/>
            </a:ext>
          </a:extLst>
        </xdr:cNvPr>
        <xdr:cNvCxnSpPr>
          <a:cxnSpLocks/>
          <a:stCxn id="124" idx="2"/>
          <a:endCxn id="127" idx="6"/>
        </xdr:cNvCxnSpPr>
      </xdr:nvCxnSpPr>
      <xdr:spPr>
        <a:xfrm flipH="1">
          <a:off x="9604939" y="12536593"/>
          <a:ext cx="702258" cy="1510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73892</xdr:colOff>
      <xdr:row>75</xdr:row>
      <xdr:rowOff>52785</xdr:rowOff>
    </xdr:from>
    <xdr:to>
      <xdr:col>6</xdr:col>
      <xdr:colOff>147975</xdr:colOff>
      <xdr:row>75</xdr:row>
      <xdr:rowOff>126869</xdr:rowOff>
    </xdr:to>
    <xdr:sp macro="" textlink="">
      <xdr:nvSpPr>
        <xdr:cNvPr id="156" name="Elipse 155">
          <a:extLst>
            <a:ext uri="{FF2B5EF4-FFF2-40B4-BE49-F238E27FC236}">
              <a16:creationId xmlns:a16="http://schemas.microsoft.com/office/drawing/2014/main" id="{83E869F9-CC9B-4BF4-AFD4-0E5BBC9DDB53}"/>
            </a:ext>
          </a:extLst>
        </xdr:cNvPr>
        <xdr:cNvSpPr/>
      </xdr:nvSpPr>
      <xdr:spPr>
        <a:xfrm>
          <a:off x="8542383" y="13223561"/>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147975</xdr:colOff>
      <xdr:row>74</xdr:row>
      <xdr:rowOff>80420</xdr:rowOff>
    </xdr:from>
    <xdr:to>
      <xdr:col>9</xdr:col>
      <xdr:colOff>92999</xdr:colOff>
      <xdr:row>75</xdr:row>
      <xdr:rowOff>89827</xdr:rowOff>
    </xdr:to>
    <xdr:cxnSp macro="">
      <xdr:nvCxnSpPr>
        <xdr:cNvPr id="157" name="Conector recto 156">
          <a:extLst>
            <a:ext uri="{FF2B5EF4-FFF2-40B4-BE49-F238E27FC236}">
              <a16:creationId xmlns:a16="http://schemas.microsoft.com/office/drawing/2014/main" id="{E2E7B9C6-5288-4C8D-9B91-5AA17ABB4875}"/>
            </a:ext>
          </a:extLst>
        </xdr:cNvPr>
        <xdr:cNvCxnSpPr>
          <a:cxnSpLocks/>
          <a:stCxn id="125" idx="2"/>
          <a:endCxn id="156" idx="6"/>
        </xdr:cNvCxnSpPr>
      </xdr:nvCxnSpPr>
      <xdr:spPr>
        <a:xfrm flipH="1">
          <a:off x="8616466" y="13415420"/>
          <a:ext cx="667611" cy="17363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73667</xdr:colOff>
      <xdr:row>73</xdr:row>
      <xdr:rowOff>52903</xdr:rowOff>
    </xdr:from>
    <xdr:to>
      <xdr:col>6</xdr:col>
      <xdr:colOff>147750</xdr:colOff>
      <xdr:row>73</xdr:row>
      <xdr:rowOff>126987</xdr:rowOff>
    </xdr:to>
    <xdr:sp macro="" textlink="">
      <xdr:nvSpPr>
        <xdr:cNvPr id="141" name="Elipse 140">
          <a:extLst>
            <a:ext uri="{FF2B5EF4-FFF2-40B4-BE49-F238E27FC236}">
              <a16:creationId xmlns:a16="http://schemas.microsoft.com/office/drawing/2014/main" id="{CACDB395-D7D8-4AAF-AFAB-1A59348C8C87}"/>
            </a:ext>
          </a:extLst>
        </xdr:cNvPr>
        <xdr:cNvSpPr/>
      </xdr:nvSpPr>
      <xdr:spPr>
        <a:xfrm>
          <a:off x="9567179" y="12687304"/>
          <a:ext cx="74083" cy="74084"/>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110709</xdr:colOff>
      <xdr:row>72</xdr:row>
      <xdr:rowOff>110860</xdr:rowOff>
    </xdr:from>
    <xdr:to>
      <xdr:col>6</xdr:col>
      <xdr:colOff>110934</xdr:colOff>
      <xdr:row>73</xdr:row>
      <xdr:rowOff>52903</xdr:rowOff>
    </xdr:to>
    <xdr:cxnSp macro="">
      <xdr:nvCxnSpPr>
        <xdr:cNvPr id="143" name="Conector recto 142">
          <a:extLst>
            <a:ext uri="{FF2B5EF4-FFF2-40B4-BE49-F238E27FC236}">
              <a16:creationId xmlns:a16="http://schemas.microsoft.com/office/drawing/2014/main" id="{75D59382-67A4-4BA2-94AD-142EC1E9A0D8}"/>
            </a:ext>
          </a:extLst>
        </xdr:cNvPr>
        <xdr:cNvCxnSpPr>
          <a:cxnSpLocks/>
          <a:stCxn id="141" idx="0"/>
          <a:endCxn id="127" idx="4"/>
        </xdr:cNvCxnSpPr>
      </xdr:nvCxnSpPr>
      <xdr:spPr>
        <a:xfrm flipV="1">
          <a:off x="9604221" y="12583887"/>
          <a:ext cx="225" cy="1034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Julian Acero" id="{60631E74-F6E6-4233-BDEA-174C4CBF1A36}" userId="264bb3c80efda2a5"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626C9E1-76C9-4996-AAB5-409D0F2A7851}" name="Tabla1" displayName="Tabla1" ref="C1:AE35" totalsRowShown="0" headerRowDxfId="59" dataDxfId="57" headerRowBorderDxfId="58" tableBorderDxfId="56" totalsRowBorderDxfId="55">
  <autoFilter ref="C1:AE35" xr:uid="{EF617853-02EC-4FFD-9E4E-FB27A2274521}"/>
  <tableColumns count="29">
    <tableColumn id="1" xr3:uid="{767BF203-50B9-477D-9A4C-E11DB5183A0B}" name="PASTA" dataDxfId="54"/>
    <tableColumn id="2" xr3:uid="{2D9D4528-41D9-4F6F-9DC9-EACF8AB3F587}" name="Unidad" dataDxfId="53"/>
    <tableColumn id="3" xr3:uid="{EE6BE392-E0BC-415C-BAE8-D61C2DC33E5F}" name="Precio Huevo" dataDxfId="52"/>
    <tableColumn id="4" xr3:uid="{9390D8BB-5905-48F3-B71C-AFE2A095D3EE}" name="Precio sin huevo" dataDxfId="51"/>
    <tableColumn id="5" xr3:uid="{953AF0CA-7753-4A8D-B949-4A52E171B300}" name="Precio integral" dataDxfId="50"/>
    <tableColumn id="6" xr3:uid="{43FF19D8-39FE-4023-A74C-86664404A2E9}" name="Precio espinaca" dataDxfId="49"/>
    <tableColumn id="7" xr3:uid="{AD50C263-FFE4-42AD-8C66-AF21EB7A3EE9}" name="Precio tomate" dataDxfId="48"/>
    <tableColumn id="8" xr3:uid="{BA17976B-F480-4569-90EE-AE1C2B90311C}" name="Precio ranchera" dataDxfId="47"/>
    <tableColumn id="9" xr3:uid="{AA7C0789-9A12-4A28-B672-1B4CD5DA24F5}" name="FRUTAS" dataDxfId="46"/>
    <tableColumn id="10" xr3:uid="{8C926AB1-7CF1-495C-AD7A-D7AA11DE39EA}" name="Unidad2" dataDxfId="45"/>
    <tableColumn id="11" xr3:uid="{C5039032-A3CC-4528-987C-0D56ED4DA58F}" name="Precio3" dataDxfId="44"/>
    <tableColumn id="12" xr3:uid="{ED168D28-6B35-4BB3-B033-C57220199B90}" name="VERDURAS" dataDxfId="43"/>
    <tableColumn id="13" xr3:uid="{E638183D-A0E5-41CA-A64B-0A3ADCE675EE}" name="Unidad4" dataDxfId="42"/>
    <tableColumn id="14" xr3:uid="{AEC7DBFE-2AB1-4A6B-BD00-D3E4197E8A15}" name="Precio5" dataDxfId="41"/>
    <tableColumn id="15" xr3:uid="{1DAE5AB1-D274-45D5-9520-F844B62A6D60}" name="PROTEÍNAS" dataDxfId="40"/>
    <tableColumn id="16" xr3:uid="{E8577D06-958D-46C3-A1E0-A039C1A1B80E}" name="Unidad6" dataDxfId="39"/>
    <tableColumn id="17" xr3:uid="{86A979B7-DCD5-436A-9B87-6FACA8B77DC2}" name="Precio7" dataDxfId="38"/>
    <tableColumn id="18" xr3:uid="{74A2FB2F-DC98-42BE-B0A0-E0C1F76D53D3}" name="Lacteos" dataDxfId="37"/>
    <tableColumn id="19" xr3:uid="{7F2E9C10-F1B2-4C24-8F9E-2AA0761B7097}" name="Unidad8" dataDxfId="36"/>
    <tableColumn id="20" xr3:uid="{51628C7B-D955-41B4-A0C3-3E5751C3C31A}" name="Precio9" dataDxfId="35"/>
    <tableColumn id="21" xr3:uid="{24DC151B-ACC1-4D11-83FB-1550B3C3AE05}" name="Especias" dataDxfId="34"/>
    <tableColumn id="22" xr3:uid="{4714BE0B-00B9-4DD9-9301-10D0E3A75754}" name="Unidad10" dataDxfId="33"/>
    <tableColumn id="23" xr3:uid="{FC6B5DB5-B72A-4E6F-AD5F-D61FDB4E166B}" name="Precio11" dataDxfId="32"/>
    <tableColumn id="24" xr3:uid="{1E8DF0CE-1994-46DD-BFC8-C6BA8D5F5E1E}" name="Granos" dataDxfId="31"/>
    <tableColumn id="26" xr3:uid="{A252C2C5-3075-43FA-AD37-91F1C45A1220}" name="Unidad12" dataDxfId="30"/>
    <tableColumn id="27" xr3:uid="{1A0DD821-D6FB-423B-8BC6-95DD3E5D3733}" name="Precio13" dataDxfId="29"/>
    <tableColumn id="28" xr3:uid="{04D606FD-C9B8-4D3B-B53A-255077C581D7}" name="Otros" dataDxfId="28"/>
    <tableColumn id="29" xr3:uid="{D03925B3-3C44-44FA-BCC0-5DE2107F9887}" name="Unidadd" dataDxfId="27"/>
    <tableColumn id="30" xr3:uid="{C449E936-D677-4C14-8C9B-B3F55492973E}" name="Precio14" dataDxfId="26"/>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38ADEF-2477-4F3D-8FEA-6C9DCC39A2EB}" name="Tabla2" displayName="Tabla2" ref="AI1:AN20" headerRowDxfId="25" dataDxfId="24">
  <autoFilter ref="AI1:AN20" xr:uid="{9438ADEF-2477-4F3D-8FEA-6C9DCC39A2EB}"/>
  <tableColumns count="6">
    <tableColumn id="1" xr3:uid="{9DC81C00-F41A-4BD4-835A-E8BD66E021DA}" name="Ingrediente" totalsRowLabel="Total" dataDxfId="23" totalsRowDxfId="22"/>
    <tableColumn id="2" xr3:uid="{48349C76-02AE-4179-919C-7C5D621B5BB9}" name="Merma" dataDxfId="21" totalsRowDxfId="20"/>
    <tableColumn id="3" xr3:uid="{3286C858-77F2-4651-AC10-A33D9326EBB5}" name="Ingrediente2" dataDxfId="19" totalsRowDxfId="18"/>
    <tableColumn id="4" xr3:uid="{C316904E-01E1-4ACB-A881-C06F40863010}" name="Merma3" dataDxfId="17" totalsRowDxfId="16"/>
    <tableColumn id="5" xr3:uid="{FF7A28C0-BD5D-415E-A2FA-FA8DEC3FDF2D}" name="Ingrediente4" dataDxfId="15" totalsRowDxfId="14"/>
    <tableColumn id="6" xr3:uid="{E7441D7B-793C-4ACE-869F-ADABC9708562}" name="Merma5" totalsRowFunction="sum" dataDxfId="13" totalsRowDxfId="12"/>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B67E902-C058-443B-86B5-AA3B1E8DA1AB}" name="Tabla3" displayName="Tabla3" ref="AI25:AO29" totalsRowShown="0" headerRowDxfId="11" dataDxfId="10">
  <autoFilter ref="AI25:AO29" xr:uid="{1B67E902-C058-443B-86B5-AA3B1E8DA1AB}"/>
  <tableColumns count="7">
    <tableColumn id="1" xr3:uid="{5FC125C7-D3ED-4D5A-B761-90812BA1FCE4}" name="Costo" dataDxfId="9"/>
    <tableColumn id="2" xr3:uid="{E78142CF-3D30-425E-8DB3-2750E809F790}" name="Masa para pasta" dataDxfId="8"/>
    <tableColumn id="3" xr3:uid="{B7CFEBE2-AC4F-483B-97D4-1D03FF80C6B3}" name="Entradas" dataDxfId="7"/>
    <tableColumn id="4" xr3:uid="{1FF05411-A392-4F6B-910B-F6450CE3772B}" name="Platos en " dataDxfId="6"/>
    <tableColumn id="5" xr3:uid="{25475AAB-F637-43CE-81D0-2295939A3376}" name="Bebidas" dataDxfId="5"/>
    <tableColumn id="6" xr3:uid="{BC0012A5-3391-48F0-A03B-AB44037B8B62}" name="Postres" dataDxfId="4"/>
    <tableColumn id="7" xr3:uid="{F67BD277-3765-4360-BF5F-CA357BEBDE05}" name="Platos P" dataDxfId="3"/>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3D28FB6-F624-42DE-B72F-F979466CC651}" name="Tabla4" displayName="Tabla4" ref="AQ7:AR18" totalsRowShown="0" headerRowDxfId="2">
  <autoFilter ref="AQ7:AR18" xr:uid="{53D28FB6-F624-42DE-B72F-F979466CC651}"/>
  <tableColumns count="2">
    <tableColumn id="1" xr3:uid="{AE8041D1-483A-4159-B45A-B4039F8B23FB}" name="Tipo" dataDxfId="1"/>
    <tableColumn id="2" xr3:uid="{9B9153AF-A933-4876-ACA1-DA8D6F0C3A91}" name="Costo M.O" dataDxfId="0"/>
  </tableColumns>
  <tableStyleInfo name="TableStyleLight1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9" dT="2021-07-09T02:13:13.22" personId="{60631E74-F6E6-4233-BDEA-174C4CBF1A36}" id="{467C72C4-505C-4C7A-B29D-CC89A9805690}">
    <text>Revisar horarios, para poder realizar producciones, tipo 2 horarios. 8-4 y 12 cierre, rotativos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youtube.com/watch?v=450MWq3RBWs"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7"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https://tienda.pallomaro.com/utensilios-para-exhibicion/tenedor-mesa-tipo-europeo-8-18-plantilla-r206-r948" TargetMode="External"/><Relationship Id="rId18" Type="http://schemas.openxmlformats.org/officeDocument/2006/relationships/hyperlink" Target="https://tienda.pallomaro.com/RECIPIENTES-PARA-SALSAS/potecillo-melamina-liso-1-12-oz-blanco-r162" TargetMode="External"/><Relationship Id="rId26" Type="http://schemas.openxmlformats.org/officeDocument/2006/relationships/hyperlink" Target="https://www.orquidea.com.co/desechable-rollo-16%22" TargetMode="External"/><Relationship Id="rId3" Type="http://schemas.openxmlformats.org/officeDocument/2006/relationships/hyperlink" Target="https://tienda.pallomaro.com/CONDIMENTEROS/condimentero-con-manija-ainox-10-oz-r654" TargetMode="External"/><Relationship Id="rId21" Type="http://schemas.openxmlformats.org/officeDocument/2006/relationships/hyperlink" Target="https://tienda.pallomaro.com/PINZAS/pinza-trabajo-pesado-parrilla-41-cm-r46" TargetMode="External"/><Relationship Id="rId34" Type="http://schemas.openxmlformats.org/officeDocument/2006/relationships/hyperlink" Target="https://tienda.pallomaro.com/sartenes/sarten-acero-inox-sin-tapa-13-l-plantilla-r574-r916" TargetMode="External"/><Relationship Id="rId7" Type="http://schemas.openxmlformats.org/officeDocument/2006/relationships/hyperlink" Target="https://www.bpuhome.com/product/copa-vino-blanco-pasabahce-en-cristal-11-onz-325-ml/" TargetMode="External"/><Relationship Id="rId12" Type="http://schemas.openxmlformats.org/officeDocument/2006/relationships/hyperlink" Target="https://tienda.pallomaro.com/utensilios-para-exhibicion/salsera-10-oz-r6" TargetMode="External"/><Relationship Id="rId17" Type="http://schemas.openxmlformats.org/officeDocument/2006/relationships/hyperlink" Target="https://tienda.pallomaro.com/utensilios-para-exhibicion/bowl-ceramica-ac-geometrico-34-oz-plantilla-r859-r688" TargetMode="External"/><Relationship Id="rId25" Type="http://schemas.openxmlformats.org/officeDocument/2006/relationships/hyperlink" Target="https://enjuliana.com/accesorios-kitchenaid/5092-prensa-para-pasta-corta-accesorio-kitchen-aid.html" TargetMode="External"/><Relationship Id="rId33" Type="http://schemas.openxmlformats.org/officeDocument/2006/relationships/hyperlink" Target="https://tienda.pallomaro.com/ralladores/rallador-acero-inox-8-r970" TargetMode="External"/><Relationship Id="rId2" Type="http://schemas.openxmlformats.org/officeDocument/2006/relationships/hyperlink" Target="https://tienda.pallomaro.com/BOWLS/bowl-profesional-8-l-r530" TargetMode="External"/><Relationship Id="rId16" Type="http://schemas.openxmlformats.org/officeDocument/2006/relationships/hyperlink" Target="https://tienda.pallomaro.com/vajilla/plato-cuadrado-para-pasta-28-x-28-cm-plantilla-r12-r1234" TargetMode="External"/><Relationship Id="rId20" Type="http://schemas.openxmlformats.org/officeDocument/2006/relationships/hyperlink" Target="https://tienda.pallomaro.com/coladores/colador-fino-conico-8cm-r733" TargetMode="External"/><Relationship Id="rId29" Type="http://schemas.openxmlformats.org/officeDocument/2006/relationships/hyperlink" Target="https://www.orquidea.com.co/set-6-acero" TargetMode="External"/><Relationship Id="rId1" Type="http://schemas.openxmlformats.org/officeDocument/2006/relationships/hyperlink" Target="https://www.fincaraiz.com.co/local-en-arriendo/bogota/san_diego_santa-det-5925876.aspx" TargetMode="External"/><Relationship Id="rId6" Type="http://schemas.openxmlformats.org/officeDocument/2006/relationships/hyperlink" Target="https://www.bpuhome.com/product/copa-vino-tinto-libbey-en-cristal-23-5-onz/" TargetMode="External"/><Relationship Id="rId11" Type="http://schemas.openxmlformats.org/officeDocument/2006/relationships/hyperlink" Target="https://tienda.pallomaro.com/CUCHILLOS-PROFESIONALES/cuchillo-carnicero-12-r559" TargetMode="External"/><Relationship Id="rId24" Type="http://schemas.openxmlformats.org/officeDocument/2006/relationships/hyperlink" Target="https://www.dimobasuministros.com/maquina-pasta-electrica.html" TargetMode="External"/><Relationship Id="rId32" Type="http://schemas.openxmlformats.org/officeDocument/2006/relationships/hyperlink" Target="https://tienda.pallomaro.com/raspadores-o-cortadores-de-masa/cortador-masa-con-manija-plastica-6x3-r143" TargetMode="External"/><Relationship Id="rId5" Type="http://schemas.openxmlformats.org/officeDocument/2006/relationships/hyperlink" Target="https://www.bpuhome.com/product/copa-champana-libbey-en-cristal-6-onz-177-ml/" TargetMode="External"/><Relationship Id="rId15" Type="http://schemas.openxmlformats.org/officeDocument/2006/relationships/hyperlink" Target="https://tienda.pallomaro.com/vajilla/plato-cuadrado-ceramica-207x207-cm-r798" TargetMode="External"/><Relationship Id="rId23" Type="http://schemas.openxmlformats.org/officeDocument/2006/relationships/hyperlink" Target="https://www.homecenter.com.co/homecenter-co/product/295205/?cid=494566&amp;=INTERNA" TargetMode="External"/><Relationship Id="rId28" Type="http://schemas.openxmlformats.org/officeDocument/2006/relationships/hyperlink" Target="https://tienda.pallomaro.com/moldes/aro-para-pasteleria-6x4-cm-r57" TargetMode="External"/><Relationship Id="rId10" Type="http://schemas.openxmlformats.org/officeDocument/2006/relationships/hyperlink" Target="https://tienda.pallomaro.com/utensilios-para-exhibicion/cucharon-de-32-oz-plantilla-r530-r1980" TargetMode="External"/><Relationship Id="rId19" Type="http://schemas.openxmlformats.org/officeDocument/2006/relationships/hyperlink" Target="https://tienda.pallomaro.com/baldes-o-tinas-para-botellas/balde-vino-plateado-acero-inox-38-l-r421" TargetMode="External"/><Relationship Id="rId31" Type="http://schemas.openxmlformats.org/officeDocument/2006/relationships/hyperlink" Target="https://tienda.pallomaro.com/espatulas/espatula-chef-manija-plastica-20-cm-r107" TargetMode="External"/><Relationship Id="rId4" Type="http://schemas.openxmlformats.org/officeDocument/2006/relationships/hyperlink" Target="https://tienda.pallomaro.com/condimenteros/condimentero-acero-inox-malla-8-oz-r635" TargetMode="External"/><Relationship Id="rId9" Type="http://schemas.openxmlformats.org/officeDocument/2006/relationships/hyperlink" Target="https://tienda.pallomaro.com/utensilios-para-exhibicion/cuchara-brite-188-300mm-x-12-plantilla-r26-r1411" TargetMode="External"/><Relationship Id="rId14" Type="http://schemas.openxmlformats.org/officeDocument/2006/relationships/hyperlink" Target="https://tienda.pallomaro.com/utensilios-para-exhibicion/cuchillo-de-mesa-prime-13080-5g-plantilla-r932-r1725" TargetMode="External"/><Relationship Id="rId22" Type="http://schemas.openxmlformats.org/officeDocument/2006/relationships/hyperlink" Target="https://www.proveedorintegral.com/MCO-452842779-tabla-picar-cortar-profesional-roja-co-polimeros-resistente-_JM" TargetMode="External"/><Relationship Id="rId27" Type="http://schemas.openxmlformats.org/officeDocument/2006/relationships/hyperlink" Target="https://tienda.pallomaro.com/moldes/aro-para-pasteleria-10x4-cm-r834" TargetMode="External"/><Relationship Id="rId30" Type="http://schemas.openxmlformats.org/officeDocument/2006/relationships/hyperlink" Target="https://tienda.pallomaro.com/cucharas-para-helado/cuchara-para-helado-18cm-r567" TargetMode="External"/><Relationship Id="rId35" Type="http://schemas.openxmlformats.org/officeDocument/2006/relationships/printerSettings" Target="../printerSettings/printerSettings9.bin"/><Relationship Id="rId8" Type="http://schemas.openxmlformats.org/officeDocument/2006/relationships/hyperlink" Target="https://tienda.pallomaro.com/utensilios-para-exhibicion/cremera-tipo-campana-16-oz-plantilla-r515-r9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1C82C-2C6C-4831-8E00-DB03FFD116E0}">
  <dimension ref="F1:J29"/>
  <sheetViews>
    <sheetView showGridLines="0" tabSelected="1" view="pageBreakPreview" zoomScaleNormal="100" zoomScaleSheetLayoutView="100" workbookViewId="0"/>
  </sheetViews>
  <sheetFormatPr baseColWidth="10" defaultRowHeight="15" x14ac:dyDescent="0.25"/>
  <cols>
    <col min="5" max="5" width="5.7109375" customWidth="1"/>
    <col min="7" max="7" width="14.28515625" bestFit="1" customWidth="1"/>
    <col min="8" max="8" width="13.5703125" bestFit="1" customWidth="1"/>
  </cols>
  <sheetData>
    <row r="1" spans="6:10" ht="9.75" customHeight="1" x14ac:dyDescent="0.25"/>
    <row r="2" spans="6:10" x14ac:dyDescent="0.25">
      <c r="F2" s="862"/>
      <c r="G2" s="863"/>
      <c r="H2" s="862"/>
      <c r="I2" s="862"/>
      <c r="J2" s="862"/>
    </row>
    <row r="3" spans="6:10" x14ac:dyDescent="0.25">
      <c r="F3" s="862"/>
      <c r="G3" s="863"/>
      <c r="H3" s="863" t="s">
        <v>2348</v>
      </c>
      <c r="I3" s="862"/>
      <c r="J3" s="862"/>
    </row>
    <row r="4" spans="6:10" x14ac:dyDescent="0.25">
      <c r="F4" s="862"/>
      <c r="G4" s="863"/>
      <c r="H4" s="864" t="s">
        <v>2349</v>
      </c>
      <c r="I4" s="862"/>
      <c r="J4" s="862"/>
    </row>
    <row r="5" spans="6:10" x14ac:dyDescent="0.25">
      <c r="F5" s="862"/>
      <c r="G5" s="862"/>
      <c r="I5" s="862"/>
      <c r="J5" s="862"/>
    </row>
    <row r="6" spans="6:10" x14ac:dyDescent="0.25">
      <c r="F6" s="862"/>
      <c r="G6" s="862"/>
      <c r="I6" s="862"/>
      <c r="J6" s="862"/>
    </row>
    <row r="7" spans="6:10" x14ac:dyDescent="0.25">
      <c r="F7" s="862"/>
      <c r="G7" s="862"/>
      <c r="I7" s="862"/>
      <c r="J7" s="862"/>
    </row>
    <row r="8" spans="6:10" x14ac:dyDescent="0.25">
      <c r="F8" s="862"/>
      <c r="G8" s="862"/>
      <c r="H8" s="862"/>
      <c r="I8" s="862"/>
      <c r="J8" s="862"/>
    </row>
    <row r="9" spans="6:10" x14ac:dyDescent="0.25">
      <c r="F9" s="862"/>
      <c r="G9" s="862"/>
      <c r="H9" s="863" t="s">
        <v>2344</v>
      </c>
      <c r="I9" s="862"/>
      <c r="J9" s="862"/>
    </row>
    <row r="10" spans="6:10" x14ac:dyDescent="0.25">
      <c r="F10" s="862"/>
      <c r="G10" s="862"/>
      <c r="H10" s="863">
        <v>20201377031</v>
      </c>
      <c r="I10" s="862"/>
      <c r="J10" s="862"/>
    </row>
    <row r="11" spans="6:10" x14ac:dyDescent="0.25">
      <c r="F11" s="862"/>
      <c r="G11" s="863"/>
      <c r="H11" s="862"/>
      <c r="I11" s="862"/>
      <c r="J11" s="862"/>
    </row>
    <row r="12" spans="6:10" x14ac:dyDescent="0.25">
      <c r="F12" s="862"/>
      <c r="G12" s="863"/>
      <c r="H12" s="863" t="s">
        <v>2343</v>
      </c>
      <c r="I12" s="862"/>
      <c r="J12" s="862"/>
    </row>
    <row r="13" spans="6:10" x14ac:dyDescent="0.25">
      <c r="F13" s="862"/>
      <c r="G13" s="863"/>
      <c r="H13" s="863">
        <v>20201377044</v>
      </c>
      <c r="I13" s="862"/>
      <c r="J13" s="862"/>
    </row>
    <row r="14" spans="6:10" x14ac:dyDescent="0.25">
      <c r="F14" s="862"/>
      <c r="G14" s="863"/>
      <c r="H14" s="862"/>
      <c r="I14" s="862"/>
      <c r="J14" s="862"/>
    </row>
    <row r="15" spans="6:10" x14ac:dyDescent="0.25">
      <c r="F15" s="862"/>
      <c r="G15" s="863"/>
      <c r="H15" s="863"/>
      <c r="I15" s="862"/>
      <c r="J15" s="862"/>
    </row>
    <row r="16" spans="6:10" x14ac:dyDescent="0.25">
      <c r="F16" s="862"/>
      <c r="G16" s="863"/>
      <c r="H16" s="863" t="s">
        <v>2350</v>
      </c>
      <c r="I16" s="862"/>
      <c r="J16" s="862"/>
    </row>
    <row r="17" spans="6:10" x14ac:dyDescent="0.25">
      <c r="F17" s="862"/>
      <c r="G17" s="862"/>
      <c r="H17" s="863" t="s">
        <v>2351</v>
      </c>
      <c r="I17" s="862"/>
      <c r="J17" s="862"/>
    </row>
    <row r="18" spans="6:10" x14ac:dyDescent="0.25">
      <c r="F18" s="862"/>
      <c r="G18" s="862"/>
      <c r="H18" s="862"/>
      <c r="I18" s="862"/>
      <c r="J18" s="862"/>
    </row>
    <row r="19" spans="6:10" x14ac:dyDescent="0.25">
      <c r="F19" s="862"/>
      <c r="G19" s="863"/>
      <c r="H19" s="862"/>
      <c r="I19" s="862"/>
      <c r="J19" s="862"/>
    </row>
    <row r="20" spans="6:10" x14ac:dyDescent="0.25">
      <c r="F20" s="862"/>
      <c r="G20" s="863"/>
      <c r="H20" s="862"/>
      <c r="I20" s="862"/>
      <c r="J20" s="862"/>
    </row>
    <row r="21" spans="6:10" x14ac:dyDescent="0.25">
      <c r="F21" s="862"/>
      <c r="G21" s="863"/>
      <c r="H21" s="862"/>
      <c r="I21" s="862"/>
      <c r="J21" s="862"/>
    </row>
    <row r="22" spans="6:10" x14ac:dyDescent="0.25">
      <c r="F22" s="862"/>
      <c r="G22" s="863"/>
      <c r="H22" s="862"/>
      <c r="I22" s="862"/>
      <c r="J22" s="862"/>
    </row>
    <row r="23" spans="6:10" x14ac:dyDescent="0.25">
      <c r="F23" s="862"/>
      <c r="G23" s="862"/>
      <c r="H23" s="862"/>
      <c r="I23" s="862"/>
      <c r="J23" s="862"/>
    </row>
    <row r="24" spans="6:10" x14ac:dyDescent="0.25">
      <c r="F24" s="862"/>
      <c r="G24" s="863"/>
      <c r="H24" s="862"/>
      <c r="I24" s="862"/>
      <c r="J24" s="862"/>
    </row>
    <row r="25" spans="6:10" x14ac:dyDescent="0.25">
      <c r="F25" s="862"/>
      <c r="G25" s="862"/>
      <c r="H25" s="863" t="s">
        <v>2345</v>
      </c>
      <c r="I25" s="862"/>
      <c r="J25" s="862"/>
    </row>
    <row r="26" spans="6:10" x14ac:dyDescent="0.25">
      <c r="F26" s="862"/>
      <c r="G26" s="862"/>
      <c r="H26" s="863" t="s">
        <v>2346</v>
      </c>
      <c r="I26" s="862"/>
      <c r="J26" s="862"/>
    </row>
    <row r="27" spans="6:10" x14ac:dyDescent="0.25">
      <c r="F27" s="862"/>
      <c r="G27" s="862"/>
      <c r="H27" s="863" t="s">
        <v>2347</v>
      </c>
      <c r="I27" s="862"/>
      <c r="J27" s="862"/>
    </row>
    <row r="28" spans="6:10" x14ac:dyDescent="0.25">
      <c r="F28" s="862"/>
      <c r="G28" s="862"/>
      <c r="H28" s="863" t="s">
        <v>2352</v>
      </c>
      <c r="I28" s="862"/>
      <c r="J28" s="862"/>
    </row>
    <row r="29" spans="6:10" x14ac:dyDescent="0.25">
      <c r="F29" s="862"/>
      <c r="G29" s="862"/>
      <c r="H29" s="862"/>
      <c r="I29" s="862"/>
      <c r="J29" s="862"/>
    </row>
  </sheetData>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BA13-BFAA-4735-B60A-3809836F5813}">
  <dimension ref="A1:BG46"/>
  <sheetViews>
    <sheetView zoomScaleNormal="100" workbookViewId="0"/>
  </sheetViews>
  <sheetFormatPr baseColWidth="10" defaultRowHeight="15.75" x14ac:dyDescent="0.25"/>
  <cols>
    <col min="1" max="3" width="11.42578125" style="3"/>
    <col min="4" max="4" width="3.5703125" style="3" bestFit="1" customWidth="1"/>
    <col min="5" max="5" width="54.28515625" style="3" bestFit="1" customWidth="1"/>
    <col min="6" max="6" width="59.28515625" style="3" bestFit="1" customWidth="1"/>
    <col min="7" max="7" width="55" style="3" bestFit="1" customWidth="1"/>
    <col min="8" max="8" width="65.85546875" style="3" bestFit="1" customWidth="1"/>
    <col min="9" max="9" width="47.28515625" style="3" bestFit="1" customWidth="1"/>
    <col min="10" max="13" width="11.42578125" style="3"/>
    <col min="14" max="14" width="79.85546875" style="3" bestFit="1" customWidth="1"/>
    <col min="15" max="15" width="59.28515625" style="3" bestFit="1" customWidth="1"/>
    <col min="16" max="16" width="55" style="3" bestFit="1" customWidth="1"/>
    <col min="17" max="17" width="65.85546875" style="3" bestFit="1" customWidth="1"/>
    <col min="18" max="18" width="64.140625" style="3" bestFit="1" customWidth="1"/>
    <col min="19" max="22" width="11.42578125" style="3"/>
    <col min="23" max="23" width="60.85546875" style="3" bestFit="1" customWidth="1"/>
    <col min="24" max="24" width="59.28515625" style="3" bestFit="1" customWidth="1"/>
    <col min="25" max="25" width="55" style="3" bestFit="1" customWidth="1"/>
    <col min="26" max="26" width="65.85546875" style="3" bestFit="1" customWidth="1"/>
    <col min="27" max="27" width="64.140625" style="3" bestFit="1" customWidth="1"/>
    <col min="28" max="31" width="11.42578125" style="3"/>
    <col min="32" max="32" width="35.140625" style="3" bestFit="1" customWidth="1"/>
    <col min="33" max="33" width="33.85546875" style="3" customWidth="1"/>
    <col min="34" max="34" width="19.5703125" style="3" customWidth="1"/>
    <col min="35" max="35" width="55" style="3" bestFit="1" customWidth="1"/>
    <col min="36" max="36" width="63.7109375" style="3" bestFit="1" customWidth="1"/>
    <col min="37" max="37" width="64.140625" style="3" bestFit="1" customWidth="1"/>
    <col min="38" max="41" width="11.42578125" style="3"/>
    <col min="42" max="42" width="60.85546875" style="3" bestFit="1" customWidth="1"/>
    <col min="43" max="43" width="59.28515625" style="3" bestFit="1" customWidth="1"/>
    <col min="44" max="44" width="55" style="3" bestFit="1" customWidth="1"/>
    <col min="45" max="45" width="65.85546875" style="3" bestFit="1" customWidth="1"/>
    <col min="46" max="46" width="48.7109375" style="3" bestFit="1" customWidth="1"/>
    <col min="47" max="50" width="11.42578125" style="3"/>
    <col min="51" max="51" width="56.7109375" style="3" bestFit="1" customWidth="1"/>
    <col min="52" max="52" width="59.28515625" style="3" bestFit="1" customWidth="1"/>
    <col min="53" max="53" width="55" style="3" bestFit="1" customWidth="1"/>
    <col min="54" max="54" width="65.85546875" style="3" bestFit="1" customWidth="1"/>
    <col min="55" max="55" width="48.7109375" style="3" bestFit="1" customWidth="1"/>
    <col min="56" max="57" width="11.42578125" style="3"/>
    <col min="58" max="58" width="35.140625" style="3" customWidth="1"/>
    <col min="59" max="59" width="80.7109375" style="3" bestFit="1" customWidth="1"/>
    <col min="60" max="16384" width="11.42578125" style="3"/>
  </cols>
  <sheetData>
    <row r="1" spans="1:59" ht="16.5" thickBot="1" x14ac:dyDescent="0.3">
      <c r="J1" s="28"/>
      <c r="K1" s="28"/>
      <c r="L1" s="28"/>
      <c r="M1" s="28"/>
    </row>
    <row r="2" spans="1:59" ht="16.5" thickBot="1" x14ac:dyDescent="0.3">
      <c r="A2" s="28"/>
      <c r="B2" s="213"/>
      <c r="C2" s="214"/>
      <c r="D2" s="214"/>
      <c r="E2" s="214"/>
      <c r="F2" s="214"/>
      <c r="G2" s="214"/>
      <c r="H2" s="214"/>
      <c r="I2" s="214"/>
      <c r="J2" s="215"/>
      <c r="K2" s="28"/>
      <c r="L2" s="213"/>
      <c r="M2" s="214"/>
      <c r="N2" s="214"/>
      <c r="O2" s="214"/>
      <c r="P2" s="214"/>
      <c r="Q2" s="214"/>
      <c r="R2" s="214"/>
      <c r="S2" s="215"/>
      <c r="T2" s="28"/>
      <c r="U2" s="213"/>
      <c r="V2" s="214"/>
      <c r="W2" s="214"/>
      <c r="X2" s="214"/>
      <c r="Y2" s="214"/>
      <c r="Z2" s="214"/>
      <c r="AA2" s="214"/>
      <c r="AB2" s="215"/>
      <c r="AC2" s="531"/>
      <c r="AD2" s="213"/>
      <c r="AE2" s="623"/>
      <c r="AF2" s="623"/>
      <c r="AG2" s="623"/>
      <c r="AH2" s="623"/>
      <c r="AI2" s="623"/>
      <c r="AJ2" s="623"/>
      <c r="AK2" s="623"/>
      <c r="AL2" s="215"/>
      <c r="AM2" s="28"/>
      <c r="AN2" s="213"/>
      <c r="AO2" s="214"/>
      <c r="AP2" s="214"/>
      <c r="AQ2" s="214"/>
      <c r="AR2" s="214"/>
      <c r="AS2" s="214"/>
      <c r="AT2" s="214"/>
      <c r="AU2" s="215"/>
      <c r="AV2" s="28"/>
      <c r="AW2" s="213"/>
      <c r="AX2" s="214"/>
      <c r="AY2" s="214"/>
      <c r="AZ2" s="214"/>
      <c r="BA2" s="214"/>
      <c r="BB2" s="214"/>
      <c r="BC2" s="214"/>
      <c r="BD2" s="215"/>
    </row>
    <row r="3" spans="1:59" ht="15.75" customHeight="1" x14ac:dyDescent="0.25">
      <c r="A3" s="28"/>
      <c r="B3" s="216"/>
      <c r="C3" s="1379" t="s">
        <v>1544</v>
      </c>
      <c r="D3" s="1395" t="s">
        <v>1497</v>
      </c>
      <c r="E3" s="1396"/>
      <c r="F3" s="268" t="s">
        <v>1547</v>
      </c>
      <c r="G3" s="104"/>
      <c r="H3" s="104"/>
      <c r="I3" s="104"/>
      <c r="J3" s="217"/>
      <c r="K3" s="28"/>
      <c r="L3" s="216"/>
      <c r="M3" s="28"/>
      <c r="N3" s="517" t="s">
        <v>1497</v>
      </c>
      <c r="O3" s="266" t="s">
        <v>226</v>
      </c>
      <c r="P3" s="28"/>
      <c r="Q3" s="28"/>
      <c r="R3" s="28"/>
      <c r="S3" s="217"/>
      <c r="T3" s="28"/>
      <c r="U3" s="216"/>
      <c r="V3" s="28"/>
      <c r="W3" s="517" t="s">
        <v>1497</v>
      </c>
      <c r="X3" s="266" t="s">
        <v>1106</v>
      </c>
      <c r="Y3" s="28"/>
      <c r="Z3" s="28"/>
      <c r="AA3" s="28"/>
      <c r="AB3" s="217"/>
      <c r="AC3" s="531"/>
      <c r="AD3" s="216"/>
      <c r="AE3" s="622"/>
      <c r="AF3" s="679" t="s">
        <v>1497</v>
      </c>
      <c r="AG3" s="1356" t="s">
        <v>1918</v>
      </c>
      <c r="AH3" s="1357"/>
      <c r="AI3" s="622"/>
      <c r="AJ3" s="622"/>
      <c r="AK3" s="622"/>
      <c r="AL3" s="217"/>
      <c r="AM3" s="28"/>
      <c r="AN3" s="216"/>
      <c r="AO3" s="28"/>
      <c r="AP3" s="517" t="s">
        <v>277</v>
      </c>
      <c r="AQ3" s="266" t="s">
        <v>1104</v>
      </c>
      <c r="AR3" s="28"/>
      <c r="AS3" s="28"/>
      <c r="AT3" s="28"/>
      <c r="AU3" s="217"/>
      <c r="AV3" s="28"/>
      <c r="AW3" s="216"/>
      <c r="AX3" s="28"/>
      <c r="AY3" s="517" t="s">
        <v>277</v>
      </c>
      <c r="AZ3" s="266" t="s">
        <v>1329</v>
      </c>
      <c r="BA3" s="28"/>
      <c r="BB3" s="28"/>
      <c r="BC3" s="28"/>
      <c r="BD3" s="217"/>
      <c r="BF3" s="666"/>
      <c r="BG3" s="666"/>
    </row>
    <row r="4" spans="1:59" ht="16.5" thickBot="1" x14ac:dyDescent="0.3">
      <c r="A4" s="28"/>
      <c r="B4" s="216"/>
      <c r="C4" s="1380"/>
      <c r="D4" s="1397" t="s">
        <v>278</v>
      </c>
      <c r="E4" s="1358"/>
      <c r="F4" s="269" t="s">
        <v>1517</v>
      </c>
      <c r="G4" s="104"/>
      <c r="H4" s="104"/>
      <c r="I4" s="104"/>
      <c r="J4" s="217"/>
      <c r="K4" s="28"/>
      <c r="L4" s="216"/>
      <c r="M4" s="28"/>
      <c r="N4" s="518" t="s">
        <v>278</v>
      </c>
      <c r="O4" s="267" t="s">
        <v>1518</v>
      </c>
      <c r="P4" s="28"/>
      <c r="Q4" s="28"/>
      <c r="R4" s="28"/>
      <c r="S4" s="217"/>
      <c r="T4" s="28"/>
      <c r="U4" s="216"/>
      <c r="V4" s="28"/>
      <c r="W4" s="270" t="s">
        <v>278</v>
      </c>
      <c r="X4" s="271" t="s">
        <v>1518</v>
      </c>
      <c r="Y4" s="28"/>
      <c r="Z4" s="28"/>
      <c r="AA4" s="28"/>
      <c r="AB4" s="217"/>
      <c r="AC4" s="531"/>
      <c r="AD4" s="216"/>
      <c r="AE4" s="622"/>
      <c r="AF4" s="270" t="s">
        <v>278</v>
      </c>
      <c r="AG4" s="1358" t="s">
        <v>1518</v>
      </c>
      <c r="AH4" s="1359"/>
      <c r="AI4" s="622"/>
      <c r="AJ4" s="622"/>
      <c r="AK4" s="622"/>
      <c r="AL4" s="217"/>
      <c r="AM4" s="28"/>
      <c r="AN4" s="216"/>
      <c r="AO4" s="28"/>
      <c r="AP4" s="270" t="s">
        <v>278</v>
      </c>
      <c r="AQ4" s="271" t="s">
        <v>1518</v>
      </c>
      <c r="AR4" s="28"/>
      <c r="AS4" s="28"/>
      <c r="AT4" s="28"/>
      <c r="AU4" s="217"/>
      <c r="AV4" s="28"/>
      <c r="AW4" s="216"/>
      <c r="AX4" s="28"/>
      <c r="AY4" s="270" t="s">
        <v>278</v>
      </c>
      <c r="AZ4" s="271" t="s">
        <v>1518</v>
      </c>
      <c r="BA4" s="28"/>
      <c r="BB4" s="28"/>
      <c r="BC4" s="28"/>
      <c r="BD4" s="217"/>
      <c r="BF4" s="666"/>
      <c r="BG4" s="666"/>
    </row>
    <row r="5" spans="1:59" ht="16.5" thickBot="1" x14ac:dyDescent="0.3">
      <c r="A5" s="28"/>
      <c r="B5" s="216"/>
      <c r="C5" s="1380"/>
      <c r="D5" s="1398" t="s">
        <v>279</v>
      </c>
      <c r="E5" s="1399"/>
      <c r="F5" s="263" t="s">
        <v>1108</v>
      </c>
      <c r="G5" s="264" t="s">
        <v>280</v>
      </c>
      <c r="H5" s="264" t="s">
        <v>281</v>
      </c>
      <c r="I5" s="265" t="s">
        <v>1519</v>
      </c>
      <c r="J5" s="217"/>
      <c r="K5" s="28"/>
      <c r="L5" s="216"/>
      <c r="M5" s="28"/>
      <c r="N5" s="519" t="s">
        <v>279</v>
      </c>
      <c r="O5" s="513" t="s">
        <v>1108</v>
      </c>
      <c r="P5" s="513" t="s">
        <v>280</v>
      </c>
      <c r="Q5" s="513" t="s">
        <v>281</v>
      </c>
      <c r="R5" s="265" t="s">
        <v>282</v>
      </c>
      <c r="S5" s="217"/>
      <c r="T5" s="28"/>
      <c r="U5" s="216"/>
      <c r="V5" s="28"/>
      <c r="W5" s="519" t="s">
        <v>279</v>
      </c>
      <c r="X5" s="513" t="s">
        <v>1108</v>
      </c>
      <c r="Y5" s="512" t="s">
        <v>280</v>
      </c>
      <c r="Z5" s="513" t="s">
        <v>281</v>
      </c>
      <c r="AA5" s="265" t="s">
        <v>282</v>
      </c>
      <c r="AB5" s="217"/>
      <c r="AC5" s="531"/>
      <c r="AD5" s="216"/>
      <c r="AE5" s="622"/>
      <c r="AF5" s="680" t="s">
        <v>279</v>
      </c>
      <c r="AG5" s="1360" t="s">
        <v>1108</v>
      </c>
      <c r="AH5" s="1360"/>
      <c r="AI5" s="681" t="s">
        <v>280</v>
      </c>
      <c r="AJ5" s="681" t="s">
        <v>281</v>
      </c>
      <c r="AK5" s="535" t="s">
        <v>282</v>
      </c>
      <c r="AL5" s="217"/>
      <c r="AM5" s="28"/>
      <c r="AN5" s="216"/>
      <c r="AO5" s="28"/>
      <c r="AP5" s="544" t="s">
        <v>279</v>
      </c>
      <c r="AQ5" s="534" t="s">
        <v>1108</v>
      </c>
      <c r="AR5" s="534" t="s">
        <v>280</v>
      </c>
      <c r="AS5" s="534" t="s">
        <v>281</v>
      </c>
      <c r="AT5" s="535" t="s">
        <v>282</v>
      </c>
      <c r="AU5" s="217"/>
      <c r="AV5" s="28"/>
      <c r="AW5" s="216"/>
      <c r="AX5" s="28"/>
      <c r="AY5" s="544" t="s">
        <v>279</v>
      </c>
      <c r="AZ5" s="534" t="s">
        <v>1108</v>
      </c>
      <c r="BA5" s="534" t="s">
        <v>280</v>
      </c>
      <c r="BB5" s="534" t="s">
        <v>281</v>
      </c>
      <c r="BC5" s="535" t="s">
        <v>282</v>
      </c>
      <c r="BD5" s="217"/>
      <c r="BF5" s="682"/>
      <c r="BG5" s="682"/>
    </row>
    <row r="6" spans="1:59" ht="31.5" customHeight="1" x14ac:dyDescent="0.2">
      <c r="A6" s="28"/>
      <c r="B6" s="216"/>
      <c r="C6" s="1380"/>
      <c r="D6" s="1369" t="s">
        <v>1564</v>
      </c>
      <c r="E6" s="242" t="s">
        <v>283</v>
      </c>
      <c r="F6" s="280">
        <v>6</v>
      </c>
      <c r="G6" s="273" t="s">
        <v>1585</v>
      </c>
      <c r="H6" s="272">
        <v>1</v>
      </c>
      <c r="I6" s="236" t="s">
        <v>299</v>
      </c>
      <c r="J6" s="218"/>
      <c r="K6" s="212"/>
      <c r="L6" s="223"/>
      <c r="M6" s="1361" t="s">
        <v>1564</v>
      </c>
      <c r="N6" s="693" t="s">
        <v>283</v>
      </c>
      <c r="O6" s="235">
        <v>5</v>
      </c>
      <c r="P6" s="235" t="s">
        <v>251</v>
      </c>
      <c r="Q6" s="235">
        <v>1</v>
      </c>
      <c r="R6" s="248" t="s">
        <v>299</v>
      </c>
      <c r="S6" s="217"/>
      <c r="T6" s="28"/>
      <c r="U6" s="216"/>
      <c r="V6" s="907" t="s">
        <v>1564</v>
      </c>
      <c r="W6" s="705" t="s">
        <v>283</v>
      </c>
      <c r="X6" s="235">
        <v>5</v>
      </c>
      <c r="Y6" s="235" t="s">
        <v>251</v>
      </c>
      <c r="Z6" s="235">
        <v>1</v>
      </c>
      <c r="AA6" s="248" t="s">
        <v>299</v>
      </c>
      <c r="AB6" s="217"/>
      <c r="AC6" s="531"/>
      <c r="AD6" s="216"/>
      <c r="AE6" s="1361" t="s">
        <v>1564</v>
      </c>
      <c r="AF6" s="1324" t="s">
        <v>283</v>
      </c>
      <c r="AG6" s="1325"/>
      <c r="AH6" s="235">
        <v>5</v>
      </c>
      <c r="AI6" s="235" t="s">
        <v>251</v>
      </c>
      <c r="AJ6" s="235">
        <v>1</v>
      </c>
      <c r="AK6" s="248" t="s">
        <v>299</v>
      </c>
      <c r="AL6" s="217"/>
      <c r="AM6" s="28"/>
      <c r="AN6" s="216"/>
      <c r="AO6" s="1361" t="s">
        <v>1564</v>
      </c>
      <c r="AP6" s="278" t="s">
        <v>283</v>
      </c>
      <c r="AQ6" s="235">
        <v>5</v>
      </c>
      <c r="AR6" s="235" t="s">
        <v>251</v>
      </c>
      <c r="AS6" s="235">
        <v>1</v>
      </c>
      <c r="AT6" s="248" t="s">
        <v>299</v>
      </c>
      <c r="AU6" s="217"/>
      <c r="AV6" s="28"/>
      <c r="AW6" s="216"/>
      <c r="AX6" s="1361" t="s">
        <v>1564</v>
      </c>
      <c r="AY6" s="278" t="s">
        <v>283</v>
      </c>
      <c r="AZ6" s="235">
        <v>5</v>
      </c>
      <c r="BA6" s="235" t="s">
        <v>251</v>
      </c>
      <c r="BB6" s="235">
        <v>1</v>
      </c>
      <c r="BC6" s="248" t="s">
        <v>299</v>
      </c>
      <c r="BD6" s="217"/>
      <c r="BF6" s="682"/>
      <c r="BG6" s="102"/>
    </row>
    <row r="7" spans="1:59" ht="103.5" customHeight="1" x14ac:dyDescent="0.2">
      <c r="A7" s="28"/>
      <c r="B7" s="216"/>
      <c r="C7" s="1380"/>
      <c r="D7" s="1370"/>
      <c r="E7" s="243" t="s">
        <v>1520</v>
      </c>
      <c r="F7" s="12">
        <v>15</v>
      </c>
      <c r="G7" s="227" t="s">
        <v>1588</v>
      </c>
      <c r="H7" s="12">
        <v>1</v>
      </c>
      <c r="I7" s="229" t="s">
        <v>1894</v>
      </c>
      <c r="J7" s="218"/>
      <c r="K7" s="212"/>
      <c r="L7" s="223"/>
      <c r="M7" s="1362"/>
      <c r="N7" s="694" t="s">
        <v>1549</v>
      </c>
      <c r="O7" s="671">
        <v>15</v>
      </c>
      <c r="P7" s="671" t="s">
        <v>298</v>
      </c>
      <c r="Q7" s="671">
        <v>1</v>
      </c>
      <c r="R7" s="229" t="s">
        <v>1894</v>
      </c>
      <c r="S7" s="217"/>
      <c r="T7" s="28"/>
      <c r="U7" s="216"/>
      <c r="V7" s="908"/>
      <c r="W7" s="687" t="s">
        <v>1950</v>
      </c>
      <c r="X7" s="684">
        <v>40</v>
      </c>
      <c r="Y7" s="689" t="s">
        <v>2313</v>
      </c>
      <c r="Z7" s="684">
        <v>1</v>
      </c>
      <c r="AA7" s="229" t="s">
        <v>1955</v>
      </c>
      <c r="AB7" s="217"/>
      <c r="AC7" s="531"/>
      <c r="AD7" s="216"/>
      <c r="AE7" s="1362"/>
      <c r="AF7" s="1065" t="s">
        <v>1617</v>
      </c>
      <c r="AG7" s="1326"/>
      <c r="AH7" s="671">
        <v>40</v>
      </c>
      <c r="AI7" s="677" t="s">
        <v>1951</v>
      </c>
      <c r="AJ7" s="671">
        <v>1</v>
      </c>
      <c r="AK7" s="229" t="s">
        <v>1955</v>
      </c>
      <c r="AL7" s="217"/>
      <c r="AM7" s="28"/>
      <c r="AN7" s="216"/>
      <c r="AO7" s="1362"/>
      <c r="AP7" s="524" t="s">
        <v>1638</v>
      </c>
      <c r="AQ7" s="509">
        <v>5</v>
      </c>
      <c r="AR7" s="1048" t="s">
        <v>298</v>
      </c>
      <c r="AS7" s="509">
        <v>1</v>
      </c>
      <c r="AT7" s="249" t="s">
        <v>1906</v>
      </c>
      <c r="AU7" s="217"/>
      <c r="AV7" s="28"/>
      <c r="AW7" s="216"/>
      <c r="AX7" s="1362"/>
      <c r="AY7" s="524" t="s">
        <v>1330</v>
      </c>
      <c r="AZ7" s="509">
        <v>5</v>
      </c>
      <c r="BA7" s="509" t="s">
        <v>298</v>
      </c>
      <c r="BB7" s="509">
        <v>2</v>
      </c>
      <c r="BC7" s="249" t="s">
        <v>301</v>
      </c>
      <c r="BD7" s="217"/>
      <c r="BF7" s="682"/>
      <c r="BG7" s="102"/>
    </row>
    <row r="8" spans="1:59" ht="72.75" customHeight="1" thickBot="1" x14ac:dyDescent="0.25">
      <c r="A8" s="28"/>
      <c r="B8" s="216"/>
      <c r="C8" s="1380"/>
      <c r="D8" s="1370"/>
      <c r="E8" s="244" t="s">
        <v>1521</v>
      </c>
      <c r="F8" s="12">
        <v>5</v>
      </c>
      <c r="G8" s="227" t="s">
        <v>1403</v>
      </c>
      <c r="H8" s="12">
        <v>1</v>
      </c>
      <c r="I8" s="230" t="s">
        <v>1110</v>
      </c>
      <c r="J8" s="218"/>
      <c r="K8" s="212"/>
      <c r="L8" s="223"/>
      <c r="M8" s="1362"/>
      <c r="N8" s="694" t="s">
        <v>284</v>
      </c>
      <c r="O8" s="671">
        <v>5</v>
      </c>
      <c r="P8" s="671" t="s">
        <v>298</v>
      </c>
      <c r="Q8" s="671">
        <v>1</v>
      </c>
      <c r="R8" s="250" t="s">
        <v>1902</v>
      </c>
      <c r="S8" s="217"/>
      <c r="T8" s="28"/>
      <c r="U8" s="216"/>
      <c r="V8" s="909"/>
      <c r="W8" s="706" t="s">
        <v>1558</v>
      </c>
      <c r="X8" s="688">
        <v>30</v>
      </c>
      <c r="Y8" s="536" t="s">
        <v>2316</v>
      </c>
      <c r="Z8" s="688">
        <v>1</v>
      </c>
      <c r="AA8" s="297" t="s">
        <v>1956</v>
      </c>
      <c r="AB8" s="217"/>
      <c r="AC8" s="531"/>
      <c r="AD8" s="216"/>
      <c r="AE8" s="1362"/>
      <c r="AF8" s="1065" t="s">
        <v>1558</v>
      </c>
      <c r="AG8" s="1326"/>
      <c r="AH8" s="671">
        <v>30</v>
      </c>
      <c r="AI8" s="677" t="s">
        <v>1403</v>
      </c>
      <c r="AJ8" s="671">
        <v>1</v>
      </c>
      <c r="AK8" s="250" t="s">
        <v>1956</v>
      </c>
      <c r="AL8" s="217"/>
      <c r="AM8" s="28"/>
      <c r="AN8" s="216"/>
      <c r="AO8" s="1363"/>
      <c r="AP8" s="549" t="s">
        <v>1637</v>
      </c>
      <c r="AQ8" s="520">
        <v>5</v>
      </c>
      <c r="AR8" s="1364"/>
      <c r="AS8" s="520">
        <v>1</v>
      </c>
      <c r="AT8" s="251" t="s">
        <v>301</v>
      </c>
      <c r="AU8" s="217"/>
      <c r="AV8" s="28"/>
      <c r="AW8" s="216"/>
      <c r="AX8" s="1362"/>
      <c r="AY8" s="523" t="s">
        <v>1522</v>
      </c>
      <c r="AZ8" s="509">
        <v>40</v>
      </c>
      <c r="BA8" s="522" t="s">
        <v>1593</v>
      </c>
      <c r="BB8" s="509">
        <v>1</v>
      </c>
      <c r="BC8" s="250" t="s">
        <v>1911</v>
      </c>
      <c r="BD8" s="217"/>
      <c r="BF8" s="682"/>
      <c r="BG8" s="102"/>
    </row>
    <row r="9" spans="1:59" ht="79.5" thickBot="1" x14ac:dyDescent="0.25">
      <c r="A9" s="28"/>
      <c r="B9" s="216"/>
      <c r="C9" s="1380"/>
      <c r="D9" s="1370"/>
      <c r="E9" s="244" t="s">
        <v>1107</v>
      </c>
      <c r="F9" s="12">
        <v>5</v>
      </c>
      <c r="G9" s="227" t="s">
        <v>1403</v>
      </c>
      <c r="H9" s="12">
        <v>1</v>
      </c>
      <c r="I9" s="229" t="s">
        <v>1110</v>
      </c>
      <c r="J9" s="218"/>
      <c r="K9" s="212"/>
      <c r="L9" s="223"/>
      <c r="M9" s="1362"/>
      <c r="N9" s="694" t="s">
        <v>1548</v>
      </c>
      <c r="O9" s="671">
        <v>40</v>
      </c>
      <c r="P9" s="677" t="s">
        <v>2313</v>
      </c>
      <c r="Q9" s="671">
        <v>1</v>
      </c>
      <c r="R9" s="250" t="s">
        <v>1952</v>
      </c>
      <c r="S9" s="217"/>
      <c r="T9" s="28"/>
      <c r="U9" s="216"/>
      <c r="V9" s="1376" t="s">
        <v>1497</v>
      </c>
      <c r="W9" s="712" t="s">
        <v>1640</v>
      </c>
      <c r="X9" s="545">
        <v>5</v>
      </c>
      <c r="Y9" s="545" t="s">
        <v>298</v>
      </c>
      <c r="Z9" s="545">
        <v>2</v>
      </c>
      <c r="AA9" s="554" t="s">
        <v>301</v>
      </c>
      <c r="AB9" s="217"/>
      <c r="AC9" s="531"/>
      <c r="AD9" s="216"/>
      <c r="AE9" s="1363"/>
      <c r="AF9" s="1327" t="s">
        <v>1640</v>
      </c>
      <c r="AG9" s="1328"/>
      <c r="AH9" s="676">
        <v>5</v>
      </c>
      <c r="AI9" s="676" t="s">
        <v>298</v>
      </c>
      <c r="AJ9" s="676">
        <v>2</v>
      </c>
      <c r="AK9" s="297" t="s">
        <v>301</v>
      </c>
      <c r="AL9" s="217"/>
      <c r="AM9" s="28"/>
      <c r="AN9" s="216"/>
      <c r="AO9" s="558" t="s">
        <v>1497</v>
      </c>
      <c r="AP9" s="556" t="s">
        <v>1112</v>
      </c>
      <c r="AQ9" s="295">
        <v>3</v>
      </c>
      <c r="AR9" s="295" t="s">
        <v>285</v>
      </c>
      <c r="AS9" s="295">
        <v>1</v>
      </c>
      <c r="AT9" s="296" t="s">
        <v>1907</v>
      </c>
      <c r="AU9" s="217"/>
      <c r="AV9" s="28"/>
      <c r="AW9" s="216"/>
      <c r="AX9" s="1362"/>
      <c r="AY9" s="523" t="s">
        <v>1569</v>
      </c>
      <c r="AZ9" s="509">
        <v>40</v>
      </c>
      <c r="BA9" s="522" t="s">
        <v>1593</v>
      </c>
      <c r="BB9" s="509">
        <v>1</v>
      </c>
      <c r="BC9" s="250" t="s">
        <v>1912</v>
      </c>
      <c r="BD9" s="217"/>
      <c r="BF9" s="682"/>
      <c r="BG9" s="102"/>
    </row>
    <row r="10" spans="1:59" ht="54.75" customHeight="1" thickBot="1" x14ac:dyDescent="0.25">
      <c r="A10" s="28"/>
      <c r="B10" s="216"/>
      <c r="C10" s="1380"/>
      <c r="D10" s="1370"/>
      <c r="E10" s="244" t="s">
        <v>1570</v>
      </c>
      <c r="F10" s="12">
        <v>5</v>
      </c>
      <c r="G10" s="227" t="s">
        <v>1403</v>
      </c>
      <c r="H10" s="12">
        <v>1</v>
      </c>
      <c r="I10" s="229" t="s">
        <v>1523</v>
      </c>
      <c r="J10" s="218"/>
      <c r="K10" s="212"/>
      <c r="L10" s="223"/>
      <c r="M10" s="1362"/>
      <c r="N10" s="694" t="s">
        <v>1559</v>
      </c>
      <c r="O10" s="671">
        <v>20</v>
      </c>
      <c r="P10" s="677" t="s">
        <v>2314</v>
      </c>
      <c r="Q10" s="671">
        <v>1</v>
      </c>
      <c r="R10" s="250" t="s">
        <v>1953</v>
      </c>
      <c r="S10" s="217"/>
      <c r="T10" s="28"/>
      <c r="U10" s="216"/>
      <c r="V10" s="1377"/>
      <c r="W10" s="690" t="s">
        <v>1556</v>
      </c>
      <c r="X10" s="675">
        <v>10</v>
      </c>
      <c r="Y10" s="275" t="s">
        <v>285</v>
      </c>
      <c r="Z10" s="686">
        <v>1</v>
      </c>
      <c r="AA10" s="261" t="s">
        <v>1957</v>
      </c>
      <c r="AB10" s="217"/>
      <c r="AC10" s="531"/>
      <c r="AD10" s="216"/>
      <c r="AE10" s="1353" t="s">
        <v>1497</v>
      </c>
      <c r="AF10" s="1329" t="s">
        <v>1556</v>
      </c>
      <c r="AG10" s="1330"/>
      <c r="AH10" s="553">
        <v>10</v>
      </c>
      <c r="AI10" s="708" t="s">
        <v>285</v>
      </c>
      <c r="AJ10" s="553">
        <v>1</v>
      </c>
      <c r="AK10" s="709" t="s">
        <v>1917</v>
      </c>
      <c r="AL10" s="217"/>
      <c r="AM10" s="28"/>
      <c r="AN10" s="216"/>
      <c r="AO10" s="1365" t="s">
        <v>1545</v>
      </c>
      <c r="AP10" s="550" t="s">
        <v>1113</v>
      </c>
      <c r="AQ10" s="95">
        <v>2</v>
      </c>
      <c r="AR10" s="1375" t="s">
        <v>285</v>
      </c>
      <c r="AS10" s="95">
        <v>1</v>
      </c>
      <c r="AT10" s="555" t="s">
        <v>1908</v>
      </c>
      <c r="AU10" s="217"/>
      <c r="AV10" s="28"/>
      <c r="AW10" s="216"/>
      <c r="AX10" s="1363"/>
      <c r="AY10" s="549" t="s">
        <v>1331</v>
      </c>
      <c r="AZ10" s="520">
        <v>20</v>
      </c>
      <c r="BA10" s="536" t="s">
        <v>1403</v>
      </c>
      <c r="BB10" s="520">
        <v>1</v>
      </c>
      <c r="BC10" s="297" t="s">
        <v>254</v>
      </c>
      <c r="BD10" s="217"/>
      <c r="BF10" s="682"/>
      <c r="BG10" s="102"/>
    </row>
    <row r="11" spans="1:59" ht="48" thickBot="1" x14ac:dyDescent="0.25">
      <c r="A11" s="28"/>
      <c r="B11" s="216"/>
      <c r="C11" s="1380"/>
      <c r="D11" s="1370"/>
      <c r="E11" s="244" t="s">
        <v>1524</v>
      </c>
      <c r="F11" s="12">
        <v>5</v>
      </c>
      <c r="G11" s="227" t="s">
        <v>1584</v>
      </c>
      <c r="H11" s="12">
        <v>1</v>
      </c>
      <c r="I11" s="229" t="s">
        <v>1525</v>
      </c>
      <c r="J11" s="218"/>
      <c r="K11" s="212"/>
      <c r="L11" s="223"/>
      <c r="M11" s="1363"/>
      <c r="N11" s="695" t="s">
        <v>1552</v>
      </c>
      <c r="O11" s="676">
        <v>15</v>
      </c>
      <c r="P11" s="536" t="s">
        <v>1403</v>
      </c>
      <c r="Q11" s="676">
        <v>1</v>
      </c>
      <c r="R11" s="297" t="s">
        <v>1897</v>
      </c>
      <c r="S11" s="217"/>
      <c r="T11" s="28"/>
      <c r="U11" s="216"/>
      <c r="V11" s="1377"/>
      <c r="W11" s="690" t="s">
        <v>1557</v>
      </c>
      <c r="X11" s="675">
        <v>15</v>
      </c>
      <c r="Y11" s="275" t="s">
        <v>2313</v>
      </c>
      <c r="Z11" s="686">
        <v>1</v>
      </c>
      <c r="AA11" s="261" t="s">
        <v>1958</v>
      </c>
      <c r="AB11" s="217"/>
      <c r="AC11" s="531"/>
      <c r="AD11" s="216"/>
      <c r="AE11" s="1354"/>
      <c r="AF11" s="1335" t="s">
        <v>1557</v>
      </c>
      <c r="AG11" s="674" t="s">
        <v>1919</v>
      </c>
      <c r="AH11" s="675">
        <v>10</v>
      </c>
      <c r="AI11" s="673" t="s">
        <v>2314</v>
      </c>
      <c r="AJ11" s="675">
        <v>1</v>
      </c>
      <c r="AK11" s="1323" t="s">
        <v>1956</v>
      </c>
      <c r="AL11" s="217"/>
      <c r="AM11" s="28"/>
      <c r="AN11" s="216"/>
      <c r="AO11" s="1355"/>
      <c r="AP11" s="557" t="s">
        <v>1114</v>
      </c>
      <c r="AQ11" s="510">
        <v>1</v>
      </c>
      <c r="AR11" s="1087"/>
      <c r="AS11" s="510">
        <v>1</v>
      </c>
      <c r="AT11" s="262" t="s">
        <v>254</v>
      </c>
      <c r="AU11" s="217"/>
      <c r="AV11" s="28"/>
      <c r="AW11" s="216"/>
      <c r="AX11" s="564" t="s">
        <v>1545</v>
      </c>
      <c r="AY11" s="563" t="s">
        <v>1573</v>
      </c>
      <c r="AZ11" s="561">
        <v>5</v>
      </c>
      <c r="BA11" s="561" t="s">
        <v>253</v>
      </c>
      <c r="BB11" s="561">
        <v>1</v>
      </c>
      <c r="BC11" s="562" t="s">
        <v>1913</v>
      </c>
      <c r="BD11" s="217"/>
      <c r="BF11" s="682"/>
      <c r="BG11" s="102"/>
    </row>
    <row r="12" spans="1:59" ht="30.75" customHeight="1" thickBot="1" x14ac:dyDescent="0.25">
      <c r="A12" s="28"/>
      <c r="B12" s="216"/>
      <c r="C12" s="1380"/>
      <c r="D12" s="1370"/>
      <c r="E12" s="1400" t="s">
        <v>1589</v>
      </c>
      <c r="F12" s="1048">
        <v>25</v>
      </c>
      <c r="G12" s="1374" t="s">
        <v>1403</v>
      </c>
      <c r="H12" s="1048">
        <v>1</v>
      </c>
      <c r="I12" s="1373" t="s">
        <v>1526</v>
      </c>
      <c r="J12" s="218"/>
      <c r="K12" s="212"/>
      <c r="L12" s="223"/>
      <c r="M12" s="1367" t="s">
        <v>1497</v>
      </c>
      <c r="N12" s="700" t="s">
        <v>1550</v>
      </c>
      <c r="O12" s="545">
        <v>5</v>
      </c>
      <c r="P12" s="701" t="s">
        <v>285</v>
      </c>
      <c r="Q12" s="545">
        <v>1</v>
      </c>
      <c r="R12" s="546" t="s">
        <v>1898</v>
      </c>
      <c r="S12" s="217"/>
      <c r="T12" s="28"/>
      <c r="U12" s="216"/>
      <c r="V12" s="1377"/>
      <c r="W12" s="690" t="s">
        <v>1560</v>
      </c>
      <c r="X12" s="675">
        <v>15</v>
      </c>
      <c r="Y12" s="275" t="s">
        <v>2316</v>
      </c>
      <c r="Z12" s="686">
        <v>1</v>
      </c>
      <c r="AA12" s="261" t="s">
        <v>1903</v>
      </c>
      <c r="AB12" s="217"/>
      <c r="AC12" s="531"/>
      <c r="AD12" s="216"/>
      <c r="AE12" s="1354"/>
      <c r="AF12" s="1335"/>
      <c r="AG12" s="674" t="s">
        <v>1920</v>
      </c>
      <c r="AH12" s="675">
        <v>15</v>
      </c>
      <c r="AI12" s="673" t="s">
        <v>2314</v>
      </c>
      <c r="AJ12" s="675">
        <v>1</v>
      </c>
      <c r="AK12" s="1323"/>
      <c r="AL12" s="217"/>
      <c r="AM12" s="28"/>
      <c r="AN12" s="216"/>
      <c r="AO12" s="1366"/>
      <c r="AP12" s="551" t="s">
        <v>296</v>
      </c>
      <c r="AQ12" s="256">
        <v>3</v>
      </c>
      <c r="AR12" s="256" t="s">
        <v>253</v>
      </c>
      <c r="AS12" s="256">
        <v>3</v>
      </c>
      <c r="AT12" s="257" t="s">
        <v>1910</v>
      </c>
      <c r="AU12" s="217"/>
      <c r="AV12" s="28"/>
      <c r="AW12" s="216"/>
      <c r="AX12" s="283" t="s">
        <v>286</v>
      </c>
      <c r="AY12" s="552" t="s">
        <v>1553</v>
      </c>
      <c r="AZ12" s="539">
        <v>20</v>
      </c>
      <c r="BA12" s="540" t="s">
        <v>1591</v>
      </c>
      <c r="BB12" s="540" t="s">
        <v>1592</v>
      </c>
      <c r="BC12" s="541" t="s">
        <v>1554</v>
      </c>
      <c r="BD12" s="217"/>
      <c r="BF12" s="682"/>
      <c r="BG12" s="102"/>
    </row>
    <row r="13" spans="1:59" ht="47.25" thickBot="1" x14ac:dyDescent="0.25">
      <c r="A13" s="28"/>
      <c r="B13" s="216"/>
      <c r="C13" s="1380"/>
      <c r="D13" s="1370"/>
      <c r="E13" s="1401"/>
      <c r="F13" s="1048"/>
      <c r="G13" s="1374"/>
      <c r="H13" s="1048"/>
      <c r="I13" s="1373"/>
      <c r="J13" s="218"/>
      <c r="K13" s="212"/>
      <c r="L13" s="223"/>
      <c r="M13" s="1354"/>
      <c r="N13" s="702" t="s">
        <v>1551</v>
      </c>
      <c r="O13" s="672">
        <v>5</v>
      </c>
      <c r="P13" s="275" t="s">
        <v>2314</v>
      </c>
      <c r="Q13" s="672">
        <v>1</v>
      </c>
      <c r="R13" s="261" t="s">
        <v>1954</v>
      </c>
      <c r="S13" s="217"/>
      <c r="T13" s="28"/>
      <c r="U13" s="216"/>
      <c r="V13" s="1377"/>
      <c r="W13" s="691" t="s">
        <v>287</v>
      </c>
      <c r="X13" s="686">
        <v>4</v>
      </c>
      <c r="Y13" s="275" t="s">
        <v>2316</v>
      </c>
      <c r="Z13" s="686">
        <v>1</v>
      </c>
      <c r="AA13" s="261" t="s">
        <v>1904</v>
      </c>
      <c r="AB13" s="217"/>
      <c r="AC13" s="531"/>
      <c r="AD13" s="216"/>
      <c r="AE13" s="1354"/>
      <c r="AF13" s="1335"/>
      <c r="AG13" s="674" t="s">
        <v>1921</v>
      </c>
      <c r="AH13" s="675">
        <v>15</v>
      </c>
      <c r="AI13" s="673" t="s">
        <v>2314</v>
      </c>
      <c r="AJ13" s="675">
        <v>1</v>
      </c>
      <c r="AK13" s="1323"/>
      <c r="AL13" s="217"/>
      <c r="AM13" s="28"/>
      <c r="AN13" s="216"/>
      <c r="AO13" s="283" t="s">
        <v>286</v>
      </c>
      <c r="AP13" s="552" t="s">
        <v>1553</v>
      </c>
      <c r="AQ13" s="539">
        <v>20</v>
      </c>
      <c r="AR13" s="540" t="s">
        <v>1591</v>
      </c>
      <c r="AS13" s="540" t="s">
        <v>1592</v>
      </c>
      <c r="AT13" s="541" t="s">
        <v>1554</v>
      </c>
      <c r="AU13" s="217"/>
      <c r="AV13" s="28"/>
      <c r="AW13" s="216"/>
      <c r="AX13" s="28"/>
      <c r="AY13" s="559" t="s">
        <v>1568</v>
      </c>
      <c r="AZ13" s="560">
        <f>SUM(AZ6:AZ10)</f>
        <v>110</v>
      </c>
      <c r="BA13" s="28"/>
      <c r="BB13" s="28"/>
      <c r="BC13" s="28"/>
      <c r="BD13" s="217"/>
      <c r="BF13" s="682"/>
      <c r="BG13" s="102"/>
    </row>
    <row r="14" spans="1:59" ht="16.5" thickBot="1" x14ac:dyDescent="0.25">
      <c r="A14" s="28"/>
      <c r="B14" s="216"/>
      <c r="C14" s="1380"/>
      <c r="D14" s="1371"/>
      <c r="E14" s="245" t="s">
        <v>1527</v>
      </c>
      <c r="F14" s="281">
        <v>30</v>
      </c>
      <c r="G14" s="274" t="s">
        <v>1584</v>
      </c>
      <c r="H14" s="277">
        <v>1</v>
      </c>
      <c r="I14" s="237" t="s">
        <v>1571</v>
      </c>
      <c r="J14" s="218"/>
      <c r="K14" s="212"/>
      <c r="L14" s="223"/>
      <c r="M14" s="1368"/>
      <c r="N14" s="703" t="s">
        <v>288</v>
      </c>
      <c r="O14" s="253">
        <v>1</v>
      </c>
      <c r="P14" s="704" t="s">
        <v>2315</v>
      </c>
      <c r="Q14" s="253">
        <v>1</v>
      </c>
      <c r="R14" s="254" t="s">
        <v>1899</v>
      </c>
      <c r="S14" s="217"/>
      <c r="T14" s="28"/>
      <c r="U14" s="216"/>
      <c r="V14" s="1378"/>
      <c r="W14" s="711" t="s">
        <v>1565</v>
      </c>
      <c r="X14" s="253">
        <v>2</v>
      </c>
      <c r="Y14" s="704" t="s">
        <v>285</v>
      </c>
      <c r="Z14" s="253">
        <v>1</v>
      </c>
      <c r="AA14" s="254" t="s">
        <v>254</v>
      </c>
      <c r="AB14" s="217"/>
      <c r="AC14" s="531"/>
      <c r="AD14" s="216"/>
      <c r="AE14" s="1354"/>
      <c r="AF14" s="1335"/>
      <c r="AG14" s="674" t="s">
        <v>1922</v>
      </c>
      <c r="AH14" s="675">
        <v>15</v>
      </c>
      <c r="AI14" s="673" t="s">
        <v>2314</v>
      </c>
      <c r="AJ14" s="675">
        <v>1</v>
      </c>
      <c r="AK14" s="1323"/>
      <c r="AL14" s="217"/>
      <c r="AM14" s="28"/>
      <c r="AN14" s="216"/>
      <c r="AO14" s="28"/>
      <c r="AP14" s="514" t="s">
        <v>1568</v>
      </c>
      <c r="AQ14" s="241">
        <f>SUM(AQ6)</f>
        <v>5</v>
      </c>
      <c r="AR14" s="28"/>
      <c r="AS14" s="28"/>
      <c r="AT14" s="28"/>
      <c r="AU14" s="217"/>
      <c r="AV14" s="28"/>
      <c r="AW14" s="216"/>
      <c r="AX14" s="28"/>
      <c r="AY14" s="516" t="s">
        <v>1561</v>
      </c>
      <c r="AZ14" s="259">
        <f>SUM(AZ11)</f>
        <v>5</v>
      </c>
      <c r="BA14" s="28"/>
      <c r="BB14" s="28"/>
      <c r="BC14" s="28"/>
      <c r="BD14" s="217"/>
      <c r="BF14" s="682"/>
      <c r="BG14" s="102"/>
    </row>
    <row r="15" spans="1:59" ht="34.5" customHeight="1" thickBot="1" x14ac:dyDescent="0.25">
      <c r="A15" s="28"/>
      <c r="B15" s="216"/>
      <c r="C15" s="1380"/>
      <c r="D15" s="247" t="s">
        <v>286</v>
      </c>
      <c r="E15" s="246" t="s">
        <v>1553</v>
      </c>
      <c r="F15" s="233">
        <v>20</v>
      </c>
      <c r="G15" s="282" t="s">
        <v>1591</v>
      </c>
      <c r="H15" s="282" t="s">
        <v>1592</v>
      </c>
      <c r="I15" s="234" t="s">
        <v>1554</v>
      </c>
      <c r="J15" s="218"/>
      <c r="K15" s="212"/>
      <c r="L15" s="223"/>
      <c r="M15" s="1365" t="s">
        <v>1545</v>
      </c>
      <c r="N15" s="696" t="s">
        <v>1111</v>
      </c>
      <c r="O15" s="697">
        <v>2</v>
      </c>
      <c r="P15" s="698" t="s">
        <v>285</v>
      </c>
      <c r="Q15" s="698">
        <v>1</v>
      </c>
      <c r="R15" s="699" t="s">
        <v>1900</v>
      </c>
      <c r="S15" s="217"/>
      <c r="T15" s="28"/>
      <c r="U15" s="216"/>
      <c r="V15" s="1382" t="s">
        <v>1545</v>
      </c>
      <c r="W15" s="696" t="s">
        <v>1566</v>
      </c>
      <c r="X15" s="697">
        <v>2</v>
      </c>
      <c r="Y15" s="698" t="s">
        <v>285</v>
      </c>
      <c r="Z15" s="698">
        <v>1</v>
      </c>
      <c r="AA15" s="699" t="s">
        <v>1905</v>
      </c>
      <c r="AB15" s="217"/>
      <c r="AC15" s="531"/>
      <c r="AD15" s="216"/>
      <c r="AE15" s="1354"/>
      <c r="AF15" s="1335"/>
      <c r="AG15" s="674" t="s">
        <v>1924</v>
      </c>
      <c r="AH15" s="675">
        <v>10</v>
      </c>
      <c r="AI15" s="673" t="s">
        <v>2314</v>
      </c>
      <c r="AJ15" s="675">
        <v>1</v>
      </c>
      <c r="AK15" s="1323"/>
      <c r="AL15" s="217"/>
      <c r="AM15" s="28"/>
      <c r="AN15" s="216"/>
      <c r="AO15" s="28"/>
      <c r="AP15" s="515" t="s">
        <v>1567</v>
      </c>
      <c r="AQ15" s="258">
        <f>SUM(AQ7:AQ9)</f>
        <v>13</v>
      </c>
      <c r="AR15" s="28"/>
      <c r="AS15" s="28"/>
      <c r="AT15" s="28"/>
      <c r="AU15" s="217"/>
      <c r="AV15" s="28"/>
      <c r="AW15" s="216"/>
      <c r="AX15" s="28"/>
      <c r="AY15" s="547" t="s">
        <v>1562</v>
      </c>
      <c r="AZ15" s="542">
        <f>SUM(AZ12)</f>
        <v>20</v>
      </c>
      <c r="BA15" s="28"/>
      <c r="BB15" s="28"/>
      <c r="BC15" s="28"/>
      <c r="BD15" s="217"/>
      <c r="BF15" s="682"/>
      <c r="BG15" s="102"/>
    </row>
    <row r="16" spans="1:59" ht="16.5" thickBot="1" x14ac:dyDescent="0.3">
      <c r="A16" s="28"/>
      <c r="B16" s="216"/>
      <c r="C16" s="1380"/>
      <c r="D16" s="1372" t="s">
        <v>1568</v>
      </c>
      <c r="E16" s="1349"/>
      <c r="F16" s="231">
        <f>SUM(F6:F14)</f>
        <v>96</v>
      </c>
      <c r="G16" s="104"/>
      <c r="H16" s="104"/>
      <c r="I16" s="104"/>
      <c r="J16" s="217"/>
      <c r="K16" s="28"/>
      <c r="L16" s="216"/>
      <c r="M16" s="1366"/>
      <c r="N16" s="551" t="s">
        <v>296</v>
      </c>
      <c r="O16" s="256">
        <v>3</v>
      </c>
      <c r="P16" s="256" t="s">
        <v>253</v>
      </c>
      <c r="Q16" s="256">
        <v>3</v>
      </c>
      <c r="R16" s="257" t="s">
        <v>1901</v>
      </c>
      <c r="S16" s="217"/>
      <c r="T16" s="28"/>
      <c r="U16" s="216"/>
      <c r="V16" s="1366"/>
      <c r="W16" s="551" t="s">
        <v>296</v>
      </c>
      <c r="X16" s="256">
        <v>3</v>
      </c>
      <c r="Y16" s="256" t="s">
        <v>253</v>
      </c>
      <c r="Z16" s="256">
        <v>2</v>
      </c>
      <c r="AA16" s="257" t="s">
        <v>1909</v>
      </c>
      <c r="AB16" s="217"/>
      <c r="AC16" s="531"/>
      <c r="AD16" s="216"/>
      <c r="AE16" s="1354"/>
      <c r="AF16" s="1335"/>
      <c r="AG16" s="674" t="s">
        <v>1923</v>
      </c>
      <c r="AH16" s="675">
        <v>10</v>
      </c>
      <c r="AI16" s="673" t="s">
        <v>2314</v>
      </c>
      <c r="AJ16" s="675">
        <v>1</v>
      </c>
      <c r="AK16" s="1323"/>
      <c r="AL16" s="217"/>
      <c r="AM16" s="28"/>
      <c r="AN16" s="216"/>
      <c r="AO16" s="28"/>
      <c r="AP16" s="516" t="s">
        <v>1561</v>
      </c>
      <c r="AQ16" s="259">
        <f>SUM(AQ10:AQ12)</f>
        <v>6</v>
      </c>
      <c r="AR16" s="28"/>
      <c r="AS16" s="28"/>
      <c r="AT16" s="28"/>
      <c r="AU16" s="217"/>
      <c r="AV16" s="28"/>
      <c r="AW16" s="216"/>
      <c r="AX16" s="28"/>
      <c r="AY16" s="548" t="s">
        <v>337</v>
      </c>
      <c r="AZ16" s="543">
        <f>SUM(AZ13:AZ15)</f>
        <v>135</v>
      </c>
      <c r="BA16" s="28"/>
      <c r="BB16" s="28"/>
      <c r="BC16" s="28"/>
      <c r="BD16" s="217"/>
      <c r="BF16" s="666"/>
      <c r="BG16" s="666"/>
    </row>
    <row r="17" spans="1:59" ht="47.25" thickBot="1" x14ac:dyDescent="0.3">
      <c r="A17" s="28"/>
      <c r="B17" s="216"/>
      <c r="C17" s="1380"/>
      <c r="D17" s="1383" t="s">
        <v>1562</v>
      </c>
      <c r="E17" s="1384"/>
      <c r="F17" s="232">
        <f>SUM(F15)</f>
        <v>20</v>
      </c>
      <c r="G17" s="28"/>
      <c r="H17" s="28"/>
      <c r="I17" s="28"/>
      <c r="J17" s="217"/>
      <c r="K17" s="28"/>
      <c r="L17" s="216"/>
      <c r="M17" s="283" t="s">
        <v>286</v>
      </c>
      <c r="N17" s="552" t="s">
        <v>1553</v>
      </c>
      <c r="O17" s="539">
        <v>20</v>
      </c>
      <c r="P17" s="540" t="s">
        <v>1591</v>
      </c>
      <c r="Q17" s="540" t="s">
        <v>1592</v>
      </c>
      <c r="R17" s="541" t="s">
        <v>1554</v>
      </c>
      <c r="S17" s="217"/>
      <c r="T17" s="28"/>
      <c r="U17" s="216"/>
      <c r="V17" s="283" t="s">
        <v>286</v>
      </c>
      <c r="W17" s="552" t="s">
        <v>1553</v>
      </c>
      <c r="X17" s="539">
        <v>20</v>
      </c>
      <c r="Y17" s="540" t="s">
        <v>1591</v>
      </c>
      <c r="Z17" s="540" t="s">
        <v>1592</v>
      </c>
      <c r="AA17" s="541" t="s">
        <v>1554</v>
      </c>
      <c r="AB17" s="217"/>
      <c r="AC17" s="531"/>
      <c r="AD17" s="216"/>
      <c r="AE17" s="1354"/>
      <c r="AF17" s="1335"/>
      <c r="AG17" s="674" t="s">
        <v>1925</v>
      </c>
      <c r="AH17" s="675">
        <v>15</v>
      </c>
      <c r="AI17" s="673" t="s">
        <v>2314</v>
      </c>
      <c r="AJ17" s="675">
        <v>1</v>
      </c>
      <c r="AK17" s="1323"/>
      <c r="AL17" s="217"/>
      <c r="AM17" s="28"/>
      <c r="AN17" s="216"/>
      <c r="AO17" s="28"/>
      <c r="AP17" s="547" t="s">
        <v>1562</v>
      </c>
      <c r="AQ17" s="542">
        <f>SUM(AQ13)</f>
        <v>20</v>
      </c>
      <c r="AR17" s="28"/>
      <c r="AS17" s="28"/>
      <c r="AT17" s="28"/>
      <c r="AU17" s="217"/>
      <c r="AV17" s="28"/>
      <c r="AW17" s="220"/>
      <c r="AX17" s="221"/>
      <c r="AY17" s="221"/>
      <c r="AZ17" s="221"/>
      <c r="BA17" s="221"/>
      <c r="BB17" s="221"/>
      <c r="BC17" s="221"/>
      <c r="BD17" s="222"/>
      <c r="BF17" s="666"/>
      <c r="BG17" s="666"/>
    </row>
    <row r="18" spans="1:59" ht="16.5" thickBot="1" x14ac:dyDescent="0.3">
      <c r="A18" s="28"/>
      <c r="B18" s="216"/>
      <c r="C18" s="1381"/>
      <c r="D18" s="1385" t="s">
        <v>337</v>
      </c>
      <c r="E18" s="1386"/>
      <c r="F18" s="260">
        <f>SUM(F16:F17)</f>
        <v>116</v>
      </c>
      <c r="G18" s="28"/>
      <c r="H18" s="28"/>
      <c r="I18" s="28"/>
      <c r="J18" s="217"/>
      <c r="K18" s="28"/>
      <c r="L18" s="216"/>
      <c r="M18" s="28"/>
      <c r="N18" s="514" t="s">
        <v>1563</v>
      </c>
      <c r="O18" s="241">
        <f>O11+O9+O7+O8+O6</f>
        <v>80</v>
      </c>
      <c r="P18" s="28"/>
      <c r="Q18" s="28"/>
      <c r="R18" s="28"/>
      <c r="S18" s="217"/>
      <c r="T18" s="28"/>
      <c r="U18" s="216"/>
      <c r="V18" s="1348" t="s">
        <v>1568</v>
      </c>
      <c r="W18" s="1349"/>
      <c r="X18" s="241">
        <f>X9+X7+X6</f>
        <v>50</v>
      </c>
      <c r="Y18" s="28"/>
      <c r="Z18" s="28"/>
      <c r="AA18" s="28"/>
      <c r="AB18" s="217"/>
      <c r="AC18" s="531"/>
      <c r="AD18" s="216"/>
      <c r="AE18" s="1354"/>
      <c r="AF18" s="1335"/>
      <c r="AG18" s="674" t="s">
        <v>1926</v>
      </c>
      <c r="AH18" s="675">
        <v>10</v>
      </c>
      <c r="AI18" s="673" t="s">
        <v>2314</v>
      </c>
      <c r="AJ18" s="675">
        <v>1</v>
      </c>
      <c r="AK18" s="1323"/>
      <c r="AL18" s="217"/>
      <c r="AM18" s="28"/>
      <c r="AN18" s="216"/>
      <c r="AO18" s="28"/>
      <c r="AP18" s="548" t="s">
        <v>337</v>
      </c>
      <c r="AQ18" s="543">
        <f>SUM(AQ14:AQ17)</f>
        <v>44</v>
      </c>
      <c r="AR18" s="28"/>
      <c r="AS18" s="28"/>
      <c r="AT18" s="28"/>
      <c r="AU18" s="217"/>
      <c r="AV18" s="28"/>
    </row>
    <row r="19" spans="1:59" ht="16.5" thickBot="1" x14ac:dyDescent="0.3">
      <c r="A19" s="28"/>
      <c r="B19" s="216"/>
      <c r="C19" s="28" t="s">
        <v>1109</v>
      </c>
      <c r="D19" s="28"/>
      <c r="E19" s="28"/>
      <c r="F19" s="104"/>
      <c r="G19" s="28"/>
      <c r="H19" s="28"/>
      <c r="I19" s="28"/>
      <c r="J19" s="217"/>
      <c r="K19" s="28"/>
      <c r="L19" s="216"/>
      <c r="M19" s="28"/>
      <c r="N19" s="515" t="s">
        <v>1567</v>
      </c>
      <c r="O19" s="258">
        <f>SUM(O12:O14)</f>
        <v>11</v>
      </c>
      <c r="P19" s="28"/>
      <c r="Q19" s="28"/>
      <c r="R19" s="28"/>
      <c r="S19" s="217"/>
      <c r="T19" s="28"/>
      <c r="U19" s="216"/>
      <c r="V19" s="1350" t="s">
        <v>1567</v>
      </c>
      <c r="W19" s="1089"/>
      <c r="X19" s="258">
        <f>SUM(X10:X14)</f>
        <v>46</v>
      </c>
      <c r="Y19" s="28"/>
      <c r="Z19" s="28"/>
      <c r="AA19" s="28"/>
      <c r="AB19" s="217"/>
      <c r="AC19" s="531"/>
      <c r="AD19" s="216"/>
      <c r="AE19" s="1354"/>
      <c r="AF19" s="1335"/>
      <c r="AG19" s="674" t="s">
        <v>1927</v>
      </c>
      <c r="AH19" s="675">
        <v>10</v>
      </c>
      <c r="AI19" s="673" t="s">
        <v>2314</v>
      </c>
      <c r="AJ19" s="675">
        <v>1</v>
      </c>
      <c r="AK19" s="1323"/>
      <c r="AL19" s="217"/>
      <c r="AM19" s="28"/>
      <c r="AN19" s="220"/>
      <c r="AO19" s="221"/>
      <c r="AP19" s="221"/>
      <c r="AQ19" s="221"/>
      <c r="AR19" s="221"/>
      <c r="AS19" s="221"/>
      <c r="AT19" s="221"/>
      <c r="AU19" s="222"/>
      <c r="AV19" s="28"/>
    </row>
    <row r="20" spans="1:59" ht="15.75" customHeight="1" thickBot="1" x14ac:dyDescent="0.3">
      <c r="A20" s="28"/>
      <c r="B20" s="220"/>
      <c r="C20" s="225"/>
      <c r="D20" s="221"/>
      <c r="E20" s="221"/>
      <c r="F20" s="221"/>
      <c r="G20" s="221"/>
      <c r="H20" s="221"/>
      <c r="I20" s="221"/>
      <c r="J20" s="222"/>
      <c r="K20" s="28"/>
      <c r="L20" s="216"/>
      <c r="M20" s="28"/>
      <c r="N20" s="516" t="s">
        <v>1561</v>
      </c>
      <c r="O20" s="259">
        <f>SUM(O15:O16)</f>
        <v>5</v>
      </c>
      <c r="P20" s="28"/>
      <c r="Q20" s="28"/>
      <c r="R20" s="28"/>
      <c r="S20" s="217"/>
      <c r="U20" s="216"/>
      <c r="V20" s="1351" t="s">
        <v>1561</v>
      </c>
      <c r="W20" s="1352"/>
      <c r="X20" s="259">
        <f>SUM(X15:X16)</f>
        <v>5</v>
      </c>
      <c r="Y20" s="28"/>
      <c r="Z20" s="28"/>
      <c r="AA20" s="28"/>
      <c r="AB20" s="217"/>
      <c r="AC20" s="531"/>
      <c r="AD20" s="216"/>
      <c r="AE20" s="1354"/>
      <c r="AF20" s="1335"/>
      <c r="AG20" s="674" t="s">
        <v>1928</v>
      </c>
      <c r="AH20" s="675">
        <v>10</v>
      </c>
      <c r="AI20" s="673" t="s">
        <v>2314</v>
      </c>
      <c r="AJ20" s="675">
        <v>1</v>
      </c>
      <c r="AK20" s="1323"/>
      <c r="AL20" s="217"/>
      <c r="AM20" s="28"/>
    </row>
    <row r="21" spans="1:59" x14ac:dyDescent="0.25">
      <c r="A21" s="28"/>
      <c r="C21" s="224"/>
      <c r="D21" s="28"/>
      <c r="E21" s="28"/>
      <c r="F21" s="28"/>
      <c r="G21" s="28"/>
      <c r="H21" s="28"/>
      <c r="I21" s="28"/>
      <c r="K21" s="28"/>
      <c r="L21" s="216"/>
      <c r="M21" s="28"/>
      <c r="N21" s="547" t="s">
        <v>1562</v>
      </c>
      <c r="O21" s="542">
        <f>SUM(O17)</f>
        <v>20</v>
      </c>
      <c r="P21" s="28"/>
      <c r="Q21" s="28"/>
      <c r="R21" s="28"/>
      <c r="S21" s="217"/>
      <c r="U21" s="216"/>
      <c r="V21" s="1331" t="s">
        <v>1562</v>
      </c>
      <c r="W21" s="1332"/>
      <c r="X21" s="542">
        <f>SUM(X17)</f>
        <v>20</v>
      </c>
      <c r="Y21" s="28"/>
      <c r="Z21" s="28"/>
      <c r="AA21" s="28"/>
      <c r="AB21" s="217"/>
      <c r="AC21" s="531"/>
      <c r="AD21" s="216"/>
      <c r="AE21" s="1354"/>
      <c r="AF21" s="1335"/>
      <c r="AG21" s="674" t="s">
        <v>1929</v>
      </c>
      <c r="AH21" s="675">
        <v>15</v>
      </c>
      <c r="AI21" s="673" t="s">
        <v>2314</v>
      </c>
      <c r="AJ21" s="675">
        <v>1</v>
      </c>
      <c r="AK21" s="1323"/>
      <c r="AL21" s="217"/>
      <c r="AM21" s="28"/>
    </row>
    <row r="22" spans="1:59" ht="32.25" thickBot="1" x14ac:dyDescent="0.3">
      <c r="A22" s="28"/>
      <c r="B22" s="28"/>
      <c r="D22" s="28"/>
      <c r="E22" s="28"/>
      <c r="F22" s="28"/>
      <c r="G22" s="28"/>
      <c r="H22" s="28"/>
      <c r="I22" s="28"/>
      <c r="J22" s="28"/>
      <c r="K22" s="28"/>
      <c r="L22" s="216"/>
      <c r="M22" s="28"/>
      <c r="N22" s="548" t="s">
        <v>337</v>
      </c>
      <c r="O22" s="543">
        <f>SUM(O18:O21)</f>
        <v>116</v>
      </c>
      <c r="P22" s="28"/>
      <c r="Q22" s="28"/>
      <c r="R22" s="28"/>
      <c r="S22" s="217"/>
      <c r="U22" s="216"/>
      <c r="V22" s="1333" t="s">
        <v>337</v>
      </c>
      <c r="W22" s="1334"/>
      <c r="X22" s="543">
        <f>SUM(X18:X21)</f>
        <v>121</v>
      </c>
      <c r="Y22" s="28"/>
      <c r="Z22" s="28"/>
      <c r="AA22" s="28"/>
      <c r="AB22" s="217"/>
      <c r="AC22" s="531"/>
      <c r="AD22" s="216"/>
      <c r="AE22" s="1354"/>
      <c r="AF22" s="1336" t="s">
        <v>1560</v>
      </c>
      <c r="AG22" s="1337"/>
      <c r="AH22" s="675">
        <v>15</v>
      </c>
      <c r="AI22" s="673" t="s">
        <v>2316</v>
      </c>
      <c r="AJ22" s="675">
        <v>1</v>
      </c>
      <c r="AK22" s="710" t="s">
        <v>1903</v>
      </c>
      <c r="AL22" s="217"/>
      <c r="AM22" s="28"/>
    </row>
    <row r="23" spans="1:59" ht="32.25" thickBot="1" x14ac:dyDescent="0.3">
      <c r="A23" s="28"/>
      <c r="B23" s="28"/>
      <c r="D23" s="28"/>
      <c r="E23" s="28"/>
      <c r="F23" s="28"/>
      <c r="G23" s="28"/>
      <c r="H23" s="28"/>
      <c r="I23" s="28"/>
      <c r="J23" s="28"/>
      <c r="K23" s="28"/>
      <c r="L23" s="220"/>
      <c r="M23" s="221"/>
      <c r="N23" s="221"/>
      <c r="O23" s="221"/>
      <c r="P23" s="221"/>
      <c r="Q23" s="221"/>
      <c r="R23" s="221"/>
      <c r="S23" s="222"/>
      <c r="U23" s="220"/>
      <c r="V23" s="221"/>
      <c r="W23" s="221"/>
      <c r="X23" s="221"/>
      <c r="Y23" s="221"/>
      <c r="Z23" s="221"/>
      <c r="AA23" s="221"/>
      <c r="AB23" s="222"/>
      <c r="AC23" s="531"/>
      <c r="AD23" s="216"/>
      <c r="AE23" s="1354"/>
      <c r="AF23" s="1338" t="s">
        <v>287</v>
      </c>
      <c r="AG23" s="1339"/>
      <c r="AH23" s="672">
        <v>4</v>
      </c>
      <c r="AI23" s="275" t="s">
        <v>1403</v>
      </c>
      <c r="AJ23" s="672">
        <v>1</v>
      </c>
      <c r="AK23" s="261" t="s">
        <v>1904</v>
      </c>
      <c r="AL23" s="217"/>
      <c r="AM23" s="28"/>
    </row>
    <row r="24" spans="1:59" ht="16.5" thickBot="1" x14ac:dyDescent="0.3">
      <c r="B24" s="213"/>
      <c r="C24" s="226"/>
      <c r="D24" s="214"/>
      <c r="E24" s="214"/>
      <c r="F24" s="214"/>
      <c r="G24" s="214"/>
      <c r="H24" s="214"/>
      <c r="I24" s="214"/>
      <c r="J24" s="215"/>
      <c r="K24" s="28"/>
      <c r="L24" s="28"/>
      <c r="M24" s="28"/>
      <c r="AD24" s="216"/>
      <c r="AE24" s="1354"/>
      <c r="AF24" s="1340" t="s">
        <v>1565</v>
      </c>
      <c r="AG24" s="1341"/>
      <c r="AH24" s="253">
        <v>2</v>
      </c>
      <c r="AI24" s="704" t="s">
        <v>285</v>
      </c>
      <c r="AJ24" s="253">
        <v>1</v>
      </c>
      <c r="AK24" s="254" t="s">
        <v>254</v>
      </c>
      <c r="AL24" s="217"/>
    </row>
    <row r="25" spans="1:59" ht="15.75" customHeight="1" x14ac:dyDescent="0.25">
      <c r="B25" s="216"/>
      <c r="C25" s="1379" t="s">
        <v>1546</v>
      </c>
      <c r="D25" s="1390" t="s">
        <v>1497</v>
      </c>
      <c r="E25" s="1391"/>
      <c r="F25" s="266" t="s">
        <v>344</v>
      </c>
      <c r="G25" s="28"/>
      <c r="H25" s="28"/>
      <c r="I25" s="28"/>
      <c r="J25" s="217"/>
      <c r="AD25" s="216"/>
      <c r="AE25" s="1355" t="s">
        <v>1545</v>
      </c>
      <c r="AF25" s="1342" t="s">
        <v>1566</v>
      </c>
      <c r="AG25" s="1343"/>
      <c r="AH25" s="678">
        <v>2</v>
      </c>
      <c r="AI25" s="276" t="s">
        <v>285</v>
      </c>
      <c r="AJ25" s="276">
        <v>1</v>
      </c>
      <c r="AK25" s="255" t="s">
        <v>1905</v>
      </c>
      <c r="AL25" s="217"/>
    </row>
    <row r="26" spans="1:59" ht="16.5" thickBot="1" x14ac:dyDescent="0.3">
      <c r="B26" s="216"/>
      <c r="C26" s="1380"/>
      <c r="D26" s="1392" t="s">
        <v>278</v>
      </c>
      <c r="E26" s="1393"/>
      <c r="F26" s="267" t="s">
        <v>2306</v>
      </c>
      <c r="G26" s="28"/>
      <c r="H26" s="28"/>
      <c r="I26" s="28"/>
      <c r="J26" s="217"/>
      <c r="AD26" s="216"/>
      <c r="AE26" s="1355"/>
      <c r="AF26" s="1344" t="s">
        <v>296</v>
      </c>
      <c r="AG26" s="1345"/>
      <c r="AH26" s="256">
        <v>3</v>
      </c>
      <c r="AI26" s="256" t="s">
        <v>253</v>
      </c>
      <c r="AJ26" s="256">
        <v>2</v>
      </c>
      <c r="AK26" s="257" t="s">
        <v>1909</v>
      </c>
      <c r="AL26" s="217"/>
    </row>
    <row r="27" spans="1:59" ht="47.25" thickBot="1" x14ac:dyDescent="0.3">
      <c r="A27" s="28"/>
      <c r="B27" s="216"/>
      <c r="C27" s="1380"/>
      <c r="D27" s="1394" t="s">
        <v>279</v>
      </c>
      <c r="E27" s="1360"/>
      <c r="F27" s="534" t="s">
        <v>1108</v>
      </c>
      <c r="G27" s="534" t="s">
        <v>280</v>
      </c>
      <c r="H27" s="534" t="s">
        <v>281</v>
      </c>
      <c r="I27" s="535" t="s">
        <v>1519</v>
      </c>
      <c r="J27" s="217"/>
      <c r="K27" s="28"/>
      <c r="L27" s="28"/>
      <c r="AD27" s="216"/>
      <c r="AE27" s="707" t="s">
        <v>286</v>
      </c>
      <c r="AF27" s="1346" t="s">
        <v>1553</v>
      </c>
      <c r="AG27" s="1347"/>
      <c r="AH27" s="539">
        <v>20</v>
      </c>
      <c r="AI27" s="540" t="s">
        <v>1591</v>
      </c>
      <c r="AJ27" s="540" t="s">
        <v>1592</v>
      </c>
      <c r="AK27" s="541" t="s">
        <v>1554</v>
      </c>
      <c r="AL27" s="217"/>
    </row>
    <row r="28" spans="1:59" ht="15.75" customHeight="1" x14ac:dyDescent="0.25">
      <c r="A28" s="28"/>
      <c r="B28" s="216"/>
      <c r="C28" s="1380"/>
      <c r="D28" s="1387" t="s">
        <v>1564</v>
      </c>
      <c r="E28" s="238" t="s">
        <v>283</v>
      </c>
      <c r="F28" s="235">
        <v>6</v>
      </c>
      <c r="G28" s="667" t="s">
        <v>251</v>
      </c>
      <c r="H28" s="235">
        <v>1</v>
      </c>
      <c r="I28" s="236" t="s">
        <v>299</v>
      </c>
      <c r="J28" s="217"/>
      <c r="K28" s="28"/>
      <c r="L28" s="28"/>
      <c r="AD28" s="216"/>
      <c r="AE28" s="622"/>
      <c r="AF28" s="1348" t="s">
        <v>1568</v>
      </c>
      <c r="AG28" s="1349"/>
      <c r="AH28" s="241">
        <f>SUM(AH6:AH9)</f>
        <v>80</v>
      </c>
      <c r="AI28" s="622"/>
      <c r="AJ28" s="622"/>
      <c r="AK28" s="622"/>
      <c r="AL28" s="217"/>
    </row>
    <row r="29" spans="1:59" ht="42.75" customHeight="1" x14ac:dyDescent="0.25">
      <c r="A29" s="28"/>
      <c r="B29" s="216"/>
      <c r="C29" s="1380"/>
      <c r="D29" s="1388"/>
      <c r="E29" s="228" t="s">
        <v>1520</v>
      </c>
      <c r="F29" s="509">
        <v>15</v>
      </c>
      <c r="G29" s="667" t="s">
        <v>1403</v>
      </c>
      <c r="H29" s="1048">
        <v>1</v>
      </c>
      <c r="I29" s="229" t="s">
        <v>1894</v>
      </c>
      <c r="J29" s="217"/>
      <c r="K29" s="28"/>
      <c r="L29" s="28"/>
      <c r="AD29" s="216"/>
      <c r="AE29" s="622"/>
      <c r="AF29" s="1350" t="s">
        <v>1567</v>
      </c>
      <c r="AG29" s="1089"/>
      <c r="AH29" s="258">
        <f>AH10+AH12+AH22+AH23+AH24</f>
        <v>46</v>
      </c>
      <c r="AI29" s="622"/>
      <c r="AJ29" s="622"/>
      <c r="AK29" s="622"/>
      <c r="AL29" s="217"/>
    </row>
    <row r="30" spans="1:59" x14ac:dyDescent="0.25">
      <c r="A30" s="28"/>
      <c r="B30" s="216"/>
      <c r="C30" s="1380"/>
      <c r="D30" s="1388"/>
      <c r="E30" s="239" t="s">
        <v>1530</v>
      </c>
      <c r="F30" s="509">
        <v>5</v>
      </c>
      <c r="G30" s="667" t="s">
        <v>1403</v>
      </c>
      <c r="H30" s="1048"/>
      <c r="I30" s="521" t="s">
        <v>1895</v>
      </c>
      <c r="J30" s="217"/>
      <c r="K30" s="28"/>
      <c r="L30" s="28"/>
      <c r="AD30" s="216"/>
      <c r="AE30" s="622"/>
      <c r="AF30" s="1351" t="s">
        <v>1561</v>
      </c>
      <c r="AG30" s="1352"/>
      <c r="AH30" s="259">
        <f>SUM(AH25:AH26)</f>
        <v>5</v>
      </c>
      <c r="AI30" s="622"/>
      <c r="AJ30" s="622"/>
      <c r="AK30" s="622"/>
      <c r="AL30" s="217"/>
    </row>
    <row r="31" spans="1:59" x14ac:dyDescent="0.25">
      <c r="A31" s="28"/>
      <c r="B31" s="216"/>
      <c r="C31" s="1380"/>
      <c r="D31" s="1388"/>
      <c r="E31" s="239" t="s">
        <v>1531</v>
      </c>
      <c r="F31" s="509">
        <v>30</v>
      </c>
      <c r="G31" s="667" t="s">
        <v>1403</v>
      </c>
      <c r="H31" s="1048"/>
      <c r="I31" s="229" t="s">
        <v>1895</v>
      </c>
      <c r="J31" s="217"/>
      <c r="K31" s="28"/>
      <c r="L31" s="28"/>
      <c r="AD31" s="216"/>
      <c r="AE31" s="622"/>
      <c r="AF31" s="1331" t="s">
        <v>1562</v>
      </c>
      <c r="AG31" s="1332"/>
      <c r="AH31" s="542">
        <f>SUM(AH27)</f>
        <v>20</v>
      </c>
      <c r="AI31" s="622"/>
      <c r="AJ31" s="622"/>
      <c r="AK31" s="622"/>
      <c r="AL31" s="217"/>
    </row>
    <row r="32" spans="1:59" ht="15.75" customHeight="1" thickBot="1" x14ac:dyDescent="0.3">
      <c r="A32" s="28"/>
      <c r="B32" s="216"/>
      <c r="C32" s="1380"/>
      <c r="D32" s="1389"/>
      <c r="E32" s="240" t="s">
        <v>1527</v>
      </c>
      <c r="F32" s="520">
        <v>30</v>
      </c>
      <c r="G32" s="667" t="s">
        <v>1584</v>
      </c>
      <c r="H32" s="520">
        <v>1</v>
      </c>
      <c r="I32" s="237" t="s">
        <v>1896</v>
      </c>
      <c r="J32" s="217"/>
      <c r="K32" s="28"/>
      <c r="L32" s="28"/>
      <c r="AD32" s="216"/>
      <c r="AE32" s="622"/>
      <c r="AF32" s="1333" t="s">
        <v>337</v>
      </c>
      <c r="AG32" s="1334"/>
      <c r="AH32" s="543">
        <f>SUM(AH28:AH31)</f>
        <v>151</v>
      </c>
      <c r="AI32" s="622"/>
      <c r="AJ32" s="622"/>
      <c r="AK32" s="622"/>
      <c r="AL32" s="217"/>
    </row>
    <row r="33" spans="1:38" ht="47.25" thickBot="1" x14ac:dyDescent="0.3">
      <c r="A33" s="28"/>
      <c r="B33" s="216"/>
      <c r="C33" s="1380"/>
      <c r="D33" s="537" t="s">
        <v>286</v>
      </c>
      <c r="E33" s="538" t="s">
        <v>1553</v>
      </c>
      <c r="F33" s="539">
        <v>20</v>
      </c>
      <c r="G33" s="540" t="s">
        <v>1591</v>
      </c>
      <c r="H33" s="540" t="s">
        <v>1592</v>
      </c>
      <c r="I33" s="541" t="s">
        <v>1554</v>
      </c>
      <c r="J33" s="217"/>
      <c r="K33" s="28"/>
      <c r="L33" s="28"/>
      <c r="AD33" s="220"/>
      <c r="AE33" s="221"/>
      <c r="AF33" s="221"/>
      <c r="AG33" s="221"/>
      <c r="AH33" s="221"/>
      <c r="AI33" s="221"/>
      <c r="AJ33" s="221"/>
      <c r="AK33" s="221"/>
      <c r="AL33" s="222"/>
    </row>
    <row r="34" spans="1:38" x14ac:dyDescent="0.25">
      <c r="A34" s="28"/>
      <c r="B34" s="216"/>
      <c r="C34" s="1380"/>
      <c r="D34" s="1348" t="s">
        <v>1568</v>
      </c>
      <c r="E34" s="1349"/>
      <c r="F34" s="241">
        <f>SUM(F28:F32)</f>
        <v>86</v>
      </c>
      <c r="G34" s="28"/>
      <c r="H34" s="28"/>
      <c r="I34" s="28"/>
      <c r="J34" s="217"/>
      <c r="K34" s="28"/>
      <c r="L34" s="28"/>
    </row>
    <row r="35" spans="1:38" x14ac:dyDescent="0.25">
      <c r="A35" s="28"/>
      <c r="B35" s="216"/>
      <c r="C35" s="1380"/>
      <c r="D35" s="1331" t="s">
        <v>1562</v>
      </c>
      <c r="E35" s="1332"/>
      <c r="F35" s="542">
        <f>SUM(F33)</f>
        <v>20</v>
      </c>
      <c r="G35" s="28"/>
      <c r="H35" s="28"/>
      <c r="I35" s="28"/>
      <c r="J35" s="217"/>
      <c r="K35" s="28"/>
      <c r="L35" s="28"/>
    </row>
    <row r="36" spans="1:38" ht="16.5" thickBot="1" x14ac:dyDescent="0.3">
      <c r="A36" s="28"/>
      <c r="B36" s="216"/>
      <c r="C36" s="1381"/>
      <c r="D36" s="1333" t="s">
        <v>337</v>
      </c>
      <c r="E36" s="1334"/>
      <c r="F36" s="543">
        <f>SUM(F34:F35)</f>
        <v>106</v>
      </c>
      <c r="G36" s="28"/>
      <c r="H36" s="28"/>
      <c r="I36" s="28"/>
      <c r="J36" s="217"/>
      <c r="K36" s="28"/>
      <c r="L36" s="28"/>
    </row>
    <row r="37" spans="1:38" ht="16.5" thickBot="1" x14ac:dyDescent="0.3">
      <c r="A37" s="28"/>
      <c r="B37" s="220"/>
      <c r="C37" s="225"/>
      <c r="D37" s="221"/>
      <c r="E37" s="221"/>
      <c r="F37" s="221"/>
      <c r="G37" s="221"/>
      <c r="H37" s="221"/>
      <c r="I37" s="221"/>
      <c r="J37" s="222"/>
      <c r="K37" s="28"/>
      <c r="L37" s="28"/>
    </row>
    <row r="38" spans="1:38" x14ac:dyDescent="0.25">
      <c r="A38" s="28"/>
      <c r="B38" s="28"/>
      <c r="C38" s="224"/>
      <c r="D38" s="28"/>
      <c r="E38" s="28"/>
      <c r="F38" s="28"/>
      <c r="G38" s="28"/>
      <c r="H38" s="28"/>
      <c r="I38" s="28"/>
      <c r="J38" s="28"/>
      <c r="K38" s="28"/>
      <c r="L38" s="28"/>
    </row>
    <row r="39" spans="1:38" x14ac:dyDescent="0.25">
      <c r="A39" s="28"/>
      <c r="B39" s="28"/>
      <c r="C39" s="224"/>
      <c r="D39" s="28"/>
      <c r="E39" s="28"/>
      <c r="F39" s="28"/>
      <c r="G39" s="28"/>
      <c r="H39" s="28"/>
      <c r="I39" s="28"/>
      <c r="J39" s="28"/>
      <c r="K39" s="28"/>
      <c r="L39" s="28"/>
    </row>
    <row r="40" spans="1:38" x14ac:dyDescent="0.25">
      <c r="A40" s="28"/>
      <c r="B40" s="28"/>
      <c r="C40" s="224"/>
      <c r="D40" s="28"/>
      <c r="E40" s="28"/>
      <c r="F40" s="28"/>
      <c r="G40" s="28"/>
      <c r="H40" s="28"/>
      <c r="I40" s="28"/>
      <c r="J40" s="28"/>
      <c r="K40" s="28"/>
      <c r="L40" s="28"/>
    </row>
    <row r="41" spans="1:38" x14ac:dyDescent="0.25">
      <c r="B41" s="28"/>
      <c r="C41" s="224"/>
      <c r="G41" s="28"/>
      <c r="H41" s="28"/>
      <c r="I41" s="28"/>
      <c r="J41" s="28"/>
    </row>
    <row r="42" spans="1:38" x14ac:dyDescent="0.25">
      <c r="B42" s="28"/>
      <c r="C42" s="224"/>
      <c r="J42" s="28"/>
    </row>
    <row r="43" spans="1:38" x14ac:dyDescent="0.25">
      <c r="B43" s="28"/>
      <c r="C43" s="28"/>
      <c r="J43" s="28"/>
    </row>
    <row r="46" spans="1:38" ht="141.75" x14ac:dyDescent="0.25">
      <c r="C46" s="219" t="s">
        <v>1528</v>
      </c>
    </row>
  </sheetData>
  <mergeCells count="62">
    <mergeCell ref="F12:F13"/>
    <mergeCell ref="C3:C18"/>
    <mergeCell ref="D3:E3"/>
    <mergeCell ref="D4:E4"/>
    <mergeCell ref="D5:E5"/>
    <mergeCell ref="E12:E13"/>
    <mergeCell ref="V9:V14"/>
    <mergeCell ref="V6:V8"/>
    <mergeCell ref="C25:C36"/>
    <mergeCell ref="V15:V16"/>
    <mergeCell ref="V22:W22"/>
    <mergeCell ref="V18:W18"/>
    <mergeCell ref="V19:W19"/>
    <mergeCell ref="V20:W20"/>
    <mergeCell ref="V21:W21"/>
    <mergeCell ref="D17:E17"/>
    <mergeCell ref="D18:E18"/>
    <mergeCell ref="D28:D32"/>
    <mergeCell ref="D25:E25"/>
    <mergeCell ref="D26:E26"/>
    <mergeCell ref="D27:E27"/>
    <mergeCell ref="D34:E34"/>
    <mergeCell ref="AR7:AR8"/>
    <mergeCell ref="AX6:AX10"/>
    <mergeCell ref="D35:E35"/>
    <mergeCell ref="D36:E36"/>
    <mergeCell ref="M15:M16"/>
    <mergeCell ref="M12:M14"/>
    <mergeCell ref="D6:D14"/>
    <mergeCell ref="D16:E16"/>
    <mergeCell ref="H12:H13"/>
    <mergeCell ref="I12:I13"/>
    <mergeCell ref="M6:M11"/>
    <mergeCell ref="H29:H31"/>
    <mergeCell ref="G12:G13"/>
    <mergeCell ref="AO10:AO12"/>
    <mergeCell ref="AR10:AR11"/>
    <mergeCell ref="AO6:AO8"/>
    <mergeCell ref="AE10:AE24"/>
    <mergeCell ref="AE25:AE26"/>
    <mergeCell ref="AG3:AH3"/>
    <mergeCell ref="AG4:AH4"/>
    <mergeCell ref="AG5:AH5"/>
    <mergeCell ref="AE6:AE9"/>
    <mergeCell ref="AF31:AG31"/>
    <mergeCell ref="AF32:AG32"/>
    <mergeCell ref="AF11:AF21"/>
    <mergeCell ref="AF22:AG22"/>
    <mergeCell ref="AF23:AG23"/>
    <mergeCell ref="AF24:AG24"/>
    <mergeCell ref="AF25:AG25"/>
    <mergeCell ref="AF26:AG26"/>
    <mergeCell ref="AF27:AG27"/>
    <mergeCell ref="AF28:AG28"/>
    <mergeCell ref="AF29:AG29"/>
    <mergeCell ref="AF30:AG30"/>
    <mergeCell ref="AK11:AK21"/>
    <mergeCell ref="AF6:AG6"/>
    <mergeCell ref="AF7:AG7"/>
    <mergeCell ref="AF8:AG8"/>
    <mergeCell ref="AF9:AG9"/>
    <mergeCell ref="AF10:AG10"/>
  </mergeCells>
  <pageMargins left="0.7" right="0.7" top="0.75" bottom="0.75" header="0.3" footer="0.3"/>
  <pageSetup paperSize="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9BABC-6597-4589-8E34-4EC085095849}">
  <dimension ref="B2:AW114"/>
  <sheetViews>
    <sheetView zoomScale="80" zoomScaleNormal="80" workbookViewId="0"/>
  </sheetViews>
  <sheetFormatPr baseColWidth="10" defaultRowHeight="15.75" x14ac:dyDescent="0.25"/>
  <cols>
    <col min="1" max="2" width="11.42578125" style="3"/>
    <col min="3" max="3" width="25.5703125" style="3" customWidth="1"/>
    <col min="4" max="4" width="30.85546875" style="3" hidden="1" customWidth="1"/>
    <col min="5" max="5" width="16.42578125" style="3" customWidth="1"/>
    <col min="6" max="6" width="28" style="3" customWidth="1"/>
    <col min="7" max="7" width="31" style="3" customWidth="1"/>
    <col min="8" max="8" width="20" style="3" customWidth="1"/>
    <col min="9" max="9" width="19.7109375" style="3" customWidth="1"/>
    <col min="10" max="10" width="32" style="3" customWidth="1"/>
    <col min="11" max="11" width="25.28515625" style="3" customWidth="1"/>
    <col min="12" max="12" width="27.7109375" style="3" customWidth="1"/>
    <col min="13" max="13" width="37.28515625" style="3" customWidth="1"/>
    <col min="14" max="14" width="20.85546875" style="3" customWidth="1"/>
    <col min="15" max="15" width="21" style="3" customWidth="1"/>
    <col min="16" max="16" width="10.85546875" style="3" customWidth="1"/>
    <col min="17" max="17" width="13.42578125" style="3" customWidth="1"/>
    <col min="18" max="18" width="25.42578125" style="3" customWidth="1"/>
    <col min="19" max="19" width="22.7109375" style="3" customWidth="1"/>
    <col min="20" max="20" width="16" style="3" customWidth="1"/>
    <col min="21" max="21" width="24.28515625" style="3" customWidth="1"/>
    <col min="22" max="22" width="30.140625" style="3" customWidth="1"/>
    <col min="23" max="23" width="31.5703125" style="3" bestFit="1" customWidth="1"/>
    <col min="24" max="24" width="30.28515625" style="3" customWidth="1"/>
    <col min="25" max="25" width="31" style="3" customWidth="1"/>
    <col min="26" max="26" width="32" style="3" customWidth="1"/>
    <col min="27" max="27" width="29.7109375" style="3" customWidth="1"/>
    <col min="28" max="28" width="28.5703125" style="3" customWidth="1"/>
    <col min="29" max="29" width="13.42578125" style="3" customWidth="1"/>
    <col min="30" max="16384" width="11.42578125" style="3"/>
  </cols>
  <sheetData>
    <row r="2" spans="3:26" x14ac:dyDescent="0.25">
      <c r="W2" s="1424" t="s">
        <v>1542</v>
      </c>
      <c r="X2" s="1425"/>
      <c r="Y2" s="1425"/>
      <c r="Z2" s="1426"/>
    </row>
    <row r="3" spans="3:26" ht="57" x14ac:dyDescent="0.25">
      <c r="L3" s="714"/>
      <c r="M3" s="714"/>
      <c r="N3" s="714"/>
      <c r="O3" s="714"/>
      <c r="W3" s="207" t="s">
        <v>1390</v>
      </c>
      <c r="X3" s="207" t="s">
        <v>1391</v>
      </c>
      <c r="Y3" s="287" t="s">
        <v>1392</v>
      </c>
      <c r="Z3" s="287" t="s">
        <v>1393</v>
      </c>
    </row>
    <row r="4" spans="3:26" x14ac:dyDescent="0.25">
      <c r="L4" s="714"/>
      <c r="M4" s="714"/>
      <c r="N4" s="714"/>
      <c r="O4" s="714"/>
      <c r="W4" s="161" t="s">
        <v>1407</v>
      </c>
      <c r="X4" s="185" t="s">
        <v>1406</v>
      </c>
      <c r="Y4" s="196">
        <v>908526</v>
      </c>
      <c r="Z4" s="196">
        <v>908526</v>
      </c>
    </row>
    <row r="5" spans="3:26" x14ac:dyDescent="0.25">
      <c r="L5" s="714"/>
      <c r="M5" s="714"/>
      <c r="N5" s="714"/>
      <c r="O5" s="714"/>
      <c r="W5" s="1432" t="s">
        <v>1394</v>
      </c>
      <c r="X5" s="197" t="s">
        <v>1395</v>
      </c>
      <c r="Y5" s="198">
        <v>1015000</v>
      </c>
      <c r="Z5" s="198">
        <v>1502200</v>
      </c>
    </row>
    <row r="6" spans="3:26" x14ac:dyDescent="0.25">
      <c r="L6" s="714"/>
      <c r="M6" s="714"/>
      <c r="N6" s="714"/>
      <c r="O6" s="714"/>
      <c r="W6" s="1433"/>
      <c r="X6" s="197" t="s">
        <v>1396</v>
      </c>
      <c r="Y6" s="369">
        <v>1250000</v>
      </c>
      <c r="Z6" s="369">
        <v>1850000</v>
      </c>
    </row>
    <row r="7" spans="3:26" x14ac:dyDescent="0.25">
      <c r="W7" s="1434"/>
      <c r="X7" s="197" t="s">
        <v>1397</v>
      </c>
      <c r="Y7" s="198">
        <v>1293750</v>
      </c>
      <c r="Z7" s="198">
        <v>1914750</v>
      </c>
    </row>
    <row r="8" spans="3:26" x14ac:dyDescent="0.25">
      <c r="C8" s="1117" t="s">
        <v>1541</v>
      </c>
      <c r="D8" s="1117"/>
      <c r="E8" s="1117"/>
      <c r="F8" s="1117"/>
      <c r="G8" s="1117"/>
      <c r="H8" s="1117"/>
      <c r="I8" s="1117"/>
      <c r="J8" s="1117"/>
      <c r="K8" s="1117"/>
      <c r="L8" s="1117"/>
      <c r="M8" s="1117"/>
      <c r="N8" s="1117"/>
      <c r="O8" s="1117"/>
      <c r="P8" s="1117"/>
      <c r="Q8" s="1117"/>
      <c r="R8" s="1117"/>
      <c r="S8" s="1117"/>
      <c r="T8" s="1117"/>
      <c r="U8" s="1117"/>
      <c r="W8" s="1435" t="s">
        <v>1398</v>
      </c>
      <c r="X8" s="199" t="s">
        <v>1395</v>
      </c>
      <c r="Y8" s="200">
        <v>1283400</v>
      </c>
      <c r="Z8" s="200">
        <v>1899432</v>
      </c>
    </row>
    <row r="9" spans="3:26" x14ac:dyDescent="0.25">
      <c r="C9" s="1447" t="s">
        <v>240</v>
      </c>
      <c r="D9" s="1447"/>
      <c r="E9" s="1447" t="s">
        <v>241</v>
      </c>
      <c r="F9" s="1447"/>
      <c r="G9" s="1447"/>
      <c r="H9" s="1447"/>
      <c r="I9" s="1447" t="s">
        <v>242</v>
      </c>
      <c r="J9" s="1447"/>
      <c r="K9" s="1447"/>
      <c r="L9" s="1447" t="s">
        <v>246</v>
      </c>
      <c r="M9" s="1447"/>
      <c r="N9" s="1447" t="s">
        <v>1727</v>
      </c>
      <c r="O9" s="1447" t="s">
        <v>247</v>
      </c>
      <c r="P9" s="1447"/>
      <c r="Q9" s="1447" t="s">
        <v>248</v>
      </c>
      <c r="R9" s="1447" t="s">
        <v>249</v>
      </c>
      <c r="S9" s="1447"/>
      <c r="T9" s="1447" t="s">
        <v>250</v>
      </c>
      <c r="U9" s="1447"/>
      <c r="W9" s="1436"/>
      <c r="X9" s="199" t="s">
        <v>1396</v>
      </c>
      <c r="Y9" s="200">
        <v>1443000</v>
      </c>
      <c r="Z9" s="200">
        <v>2135640</v>
      </c>
    </row>
    <row r="10" spans="3:26" x14ac:dyDescent="0.25">
      <c r="C10" s="1447"/>
      <c r="D10" s="1447"/>
      <c r="E10" s="1447"/>
      <c r="F10" s="1447"/>
      <c r="G10" s="1447"/>
      <c r="H10" s="1447"/>
      <c r="I10" s="353" t="s">
        <v>243</v>
      </c>
      <c r="J10" s="353" t="s">
        <v>244</v>
      </c>
      <c r="K10" s="353" t="s">
        <v>245</v>
      </c>
      <c r="L10" s="1447"/>
      <c r="M10" s="1447"/>
      <c r="N10" s="1447"/>
      <c r="O10" s="1447"/>
      <c r="P10" s="1447"/>
      <c r="Q10" s="1447"/>
      <c r="R10" s="1447"/>
      <c r="S10" s="1447"/>
      <c r="T10" s="1447"/>
      <c r="U10" s="1447"/>
      <c r="W10" s="1437"/>
      <c r="X10" s="199" t="s">
        <v>1397</v>
      </c>
      <c r="Y10" s="200">
        <v>1493505</v>
      </c>
      <c r="Z10" s="200">
        <v>2210387</v>
      </c>
    </row>
    <row r="11" spans="3:26" ht="75" customHeight="1" x14ac:dyDescent="0.25">
      <c r="C11" s="898" t="s">
        <v>252</v>
      </c>
      <c r="D11" s="898"/>
      <c r="E11" s="897" t="s">
        <v>2263</v>
      </c>
      <c r="F11" s="897"/>
      <c r="G11" s="897"/>
      <c r="H11" s="897"/>
      <c r="I11" s="646" t="s">
        <v>256</v>
      </c>
      <c r="J11" s="642" t="s">
        <v>274</v>
      </c>
      <c r="K11" s="642" t="s">
        <v>274</v>
      </c>
      <c r="L11" s="1048" t="s">
        <v>272</v>
      </c>
      <c r="M11" s="1048"/>
      <c r="N11" s="646" t="s">
        <v>1728</v>
      </c>
      <c r="O11" s="1427" t="s">
        <v>2305</v>
      </c>
      <c r="P11" s="1326"/>
      <c r="Q11" s="642">
        <v>1</v>
      </c>
      <c r="R11" s="1431">
        <f>Y12</f>
        <v>2408000</v>
      </c>
      <c r="S11" s="1431"/>
      <c r="T11" s="1048">
        <v>12</v>
      </c>
      <c r="U11" s="1048"/>
      <c r="W11" s="1438" t="s">
        <v>1399</v>
      </c>
      <c r="X11" s="201" t="s">
        <v>1395</v>
      </c>
      <c r="Y11" s="202">
        <v>2121750</v>
      </c>
      <c r="Z11" s="202">
        <v>3140190</v>
      </c>
    </row>
    <row r="12" spans="3:26" ht="55.5" customHeight="1" x14ac:dyDescent="0.25">
      <c r="C12" s="898" t="s">
        <v>297</v>
      </c>
      <c r="D12" s="898"/>
      <c r="E12" s="1427" t="s">
        <v>2301</v>
      </c>
      <c r="F12" s="1427"/>
      <c r="G12" s="1427"/>
      <c r="H12" s="1427"/>
      <c r="I12" s="646" t="s">
        <v>1402</v>
      </c>
      <c r="J12" s="642" t="s">
        <v>275</v>
      </c>
      <c r="K12" s="642" t="s">
        <v>275</v>
      </c>
      <c r="L12" s="1048" t="s">
        <v>272</v>
      </c>
      <c r="M12" s="1048"/>
      <c r="N12" s="646" t="s">
        <v>1728</v>
      </c>
      <c r="O12" s="1427" t="s">
        <v>2305</v>
      </c>
      <c r="P12" s="1326"/>
      <c r="Q12" s="642">
        <v>1</v>
      </c>
      <c r="R12" s="1431">
        <f>Y12</f>
        <v>2408000</v>
      </c>
      <c r="S12" s="1431"/>
      <c r="T12" s="1048">
        <v>12</v>
      </c>
      <c r="U12" s="1048"/>
      <c r="W12" s="1439"/>
      <c r="X12" s="201" t="s">
        <v>1396</v>
      </c>
      <c r="Y12" s="202">
        <v>2408000</v>
      </c>
      <c r="Z12" s="202">
        <v>3563840</v>
      </c>
    </row>
    <row r="13" spans="3:26" ht="75" customHeight="1" x14ac:dyDescent="0.25">
      <c r="C13" s="898" t="s">
        <v>251</v>
      </c>
      <c r="D13" s="898"/>
      <c r="E13" s="1427" t="s">
        <v>2296</v>
      </c>
      <c r="F13" s="1427"/>
      <c r="G13" s="1427"/>
      <c r="H13" s="1427"/>
      <c r="I13" s="646" t="s">
        <v>1402</v>
      </c>
      <c r="J13" s="642" t="s">
        <v>274</v>
      </c>
      <c r="K13" s="642" t="s">
        <v>276</v>
      </c>
      <c r="L13" s="1048" t="s">
        <v>272</v>
      </c>
      <c r="M13" s="1048"/>
      <c r="N13" s="646" t="s">
        <v>1728</v>
      </c>
      <c r="O13" s="1427" t="s">
        <v>1729</v>
      </c>
      <c r="P13" s="1326"/>
      <c r="Q13" s="642">
        <v>2</v>
      </c>
      <c r="R13" s="1431">
        <f>Y11</f>
        <v>2121750</v>
      </c>
      <c r="S13" s="1431"/>
      <c r="T13" s="1048">
        <v>12</v>
      </c>
      <c r="U13" s="1048"/>
      <c r="W13" s="1440"/>
      <c r="X13" s="201" t="s">
        <v>1397</v>
      </c>
      <c r="Y13" s="202">
        <v>2492280</v>
      </c>
      <c r="Z13" s="202">
        <v>3688574</v>
      </c>
    </row>
    <row r="14" spans="3:26" ht="65.25" customHeight="1" x14ac:dyDescent="0.25">
      <c r="C14" s="898" t="s">
        <v>1403</v>
      </c>
      <c r="D14" s="898"/>
      <c r="E14" s="1451" t="s">
        <v>2302</v>
      </c>
      <c r="F14" s="1451"/>
      <c r="G14" s="1451"/>
      <c r="H14" s="1451"/>
      <c r="I14" s="646" t="s">
        <v>1402</v>
      </c>
      <c r="J14" s="642" t="s">
        <v>276</v>
      </c>
      <c r="K14" s="642" t="s">
        <v>276</v>
      </c>
      <c r="L14" s="1048" t="s">
        <v>272</v>
      </c>
      <c r="M14" s="1048"/>
      <c r="N14" s="646" t="s">
        <v>1728</v>
      </c>
      <c r="O14" s="1427" t="s">
        <v>1729</v>
      </c>
      <c r="P14" s="1326"/>
      <c r="Q14" s="642">
        <v>2</v>
      </c>
      <c r="R14" s="1431">
        <f>Y11</f>
        <v>2121750</v>
      </c>
      <c r="S14" s="1431"/>
      <c r="T14" s="1048">
        <v>12</v>
      </c>
      <c r="U14" s="1048"/>
      <c r="W14" s="1441" t="s">
        <v>1400</v>
      </c>
      <c r="X14" s="203" t="s">
        <v>1395</v>
      </c>
      <c r="Y14" s="204">
        <v>3094650</v>
      </c>
      <c r="Z14" s="204">
        <v>4580082</v>
      </c>
    </row>
    <row r="15" spans="3:26" ht="58.5" customHeight="1" x14ac:dyDescent="0.25">
      <c r="C15" s="898" t="s">
        <v>300</v>
      </c>
      <c r="D15" s="898"/>
      <c r="E15" s="897" t="s">
        <v>2298</v>
      </c>
      <c r="F15" s="897"/>
      <c r="G15" s="897"/>
      <c r="H15" s="897"/>
      <c r="I15" s="641" t="s">
        <v>259</v>
      </c>
      <c r="J15" s="642" t="s">
        <v>276</v>
      </c>
      <c r="K15" s="642" t="s">
        <v>274</v>
      </c>
      <c r="L15" s="1048" t="s">
        <v>272</v>
      </c>
      <c r="M15" s="1048"/>
      <c r="N15" s="646" t="s">
        <v>1728</v>
      </c>
      <c r="O15" s="1427" t="s">
        <v>1729</v>
      </c>
      <c r="P15" s="1326"/>
      <c r="Q15" s="642">
        <v>2</v>
      </c>
      <c r="R15" s="1431">
        <f>Y4</f>
        <v>908526</v>
      </c>
      <c r="S15" s="1431"/>
      <c r="T15" s="1048">
        <v>12</v>
      </c>
      <c r="U15" s="1048"/>
      <c r="W15" s="1442"/>
      <c r="X15" s="203" t="s">
        <v>1396</v>
      </c>
      <c r="Y15" s="204">
        <v>3426000</v>
      </c>
      <c r="Z15" s="204">
        <v>5070480</v>
      </c>
    </row>
    <row r="16" spans="3:26" ht="66" customHeight="1" x14ac:dyDescent="0.25">
      <c r="C16" s="898" t="s">
        <v>253</v>
      </c>
      <c r="D16" s="898"/>
      <c r="E16" s="1427" t="s">
        <v>2303</v>
      </c>
      <c r="F16" s="1427"/>
      <c r="G16" s="1427"/>
      <c r="H16" s="1427"/>
      <c r="I16" s="646" t="s">
        <v>259</v>
      </c>
      <c r="J16" s="642" t="s">
        <v>276</v>
      </c>
      <c r="K16" s="642" t="s">
        <v>276</v>
      </c>
      <c r="L16" s="1048" t="s">
        <v>272</v>
      </c>
      <c r="M16" s="1048"/>
      <c r="N16" s="646" t="s">
        <v>1728</v>
      </c>
      <c r="O16" s="1427" t="s">
        <v>2305</v>
      </c>
      <c r="P16" s="1326"/>
      <c r="Q16" s="642">
        <v>2</v>
      </c>
      <c r="R16" s="1431">
        <f>R15</f>
        <v>908526</v>
      </c>
      <c r="S16" s="1431"/>
      <c r="T16" s="1048">
        <v>12</v>
      </c>
      <c r="U16" s="1048"/>
      <c r="W16" s="1443"/>
      <c r="X16" s="203" t="s">
        <v>1397</v>
      </c>
      <c r="Y16" s="204">
        <v>3545910</v>
      </c>
      <c r="Z16" s="204">
        <v>5247947</v>
      </c>
    </row>
    <row r="17" spans="2:37" ht="59.25" customHeight="1" x14ac:dyDescent="0.25">
      <c r="C17" s="664" t="s">
        <v>2307</v>
      </c>
      <c r="D17" s="664"/>
      <c r="E17" s="1326" t="s">
        <v>2308</v>
      </c>
      <c r="F17" s="1326"/>
      <c r="G17" s="1326"/>
      <c r="H17" s="1326"/>
      <c r="I17" s="664" t="s">
        <v>259</v>
      </c>
      <c r="J17" s="659" t="s">
        <v>276</v>
      </c>
      <c r="K17" s="659" t="s">
        <v>276</v>
      </c>
      <c r="L17" s="1048" t="s">
        <v>272</v>
      </c>
      <c r="M17" s="1048"/>
      <c r="N17" s="664" t="s">
        <v>1728</v>
      </c>
      <c r="O17" s="1427" t="s">
        <v>2305</v>
      </c>
      <c r="P17" s="1326"/>
      <c r="Q17" s="659">
        <v>1</v>
      </c>
      <c r="R17" s="1431">
        <f>Y4</f>
        <v>908526</v>
      </c>
      <c r="S17" s="1326"/>
      <c r="T17" s="1048">
        <v>12</v>
      </c>
      <c r="U17" s="1048"/>
      <c r="W17" s="1444" t="s">
        <v>1401</v>
      </c>
      <c r="X17" s="205" t="s">
        <v>1395</v>
      </c>
      <c r="Y17" s="206">
        <v>4088250</v>
      </c>
      <c r="Z17" s="206">
        <v>6050610</v>
      </c>
    </row>
    <row r="18" spans="2:37" ht="31.5" customHeight="1" x14ac:dyDescent="0.25">
      <c r="C18" s="898" t="s">
        <v>1105</v>
      </c>
      <c r="D18" s="898"/>
      <c r="E18" s="1428" t="s">
        <v>2285</v>
      </c>
      <c r="F18" s="1429"/>
      <c r="G18" s="1429"/>
      <c r="H18" s="1430"/>
      <c r="I18" s="646" t="s">
        <v>259</v>
      </c>
      <c r="J18" s="642" t="s">
        <v>276</v>
      </c>
      <c r="K18" s="642" t="s">
        <v>276</v>
      </c>
      <c r="L18" s="1049" t="s">
        <v>272</v>
      </c>
      <c r="M18" s="1051"/>
      <c r="N18" s="646" t="s">
        <v>1728</v>
      </c>
      <c r="O18" s="1428" t="s">
        <v>2305</v>
      </c>
      <c r="P18" s="1430"/>
      <c r="Q18" s="642">
        <v>1</v>
      </c>
      <c r="R18" s="1449">
        <f>R16</f>
        <v>908526</v>
      </c>
      <c r="S18" s="1450"/>
      <c r="T18" s="1049">
        <v>12</v>
      </c>
      <c r="U18" s="1051"/>
      <c r="W18" s="1445"/>
      <c r="X18" s="205" t="s">
        <v>1396</v>
      </c>
      <c r="Y18" s="206">
        <v>4267000</v>
      </c>
      <c r="Z18" s="206">
        <v>6315160</v>
      </c>
    </row>
    <row r="19" spans="2:37" ht="44.25" customHeight="1" x14ac:dyDescent="0.25">
      <c r="C19" s="658" t="s">
        <v>1404</v>
      </c>
      <c r="D19" s="658"/>
      <c r="E19" s="1428" t="s">
        <v>2304</v>
      </c>
      <c r="F19" s="1429"/>
      <c r="G19" s="1429"/>
      <c r="H19" s="1430"/>
      <c r="I19" s="657" t="s">
        <v>1405</v>
      </c>
      <c r="J19" s="659" t="s">
        <v>274</v>
      </c>
      <c r="K19" s="659" t="s">
        <v>274</v>
      </c>
      <c r="L19" s="1049" t="s">
        <v>272</v>
      </c>
      <c r="M19" s="1051"/>
      <c r="N19" s="664" t="s">
        <v>1728</v>
      </c>
      <c r="O19" s="1428" t="s">
        <v>2305</v>
      </c>
      <c r="P19" s="1430"/>
      <c r="Q19" s="659">
        <v>1</v>
      </c>
      <c r="R19" s="1449">
        <f>Y12</f>
        <v>2408000</v>
      </c>
      <c r="S19" s="1450"/>
      <c r="T19" s="1049">
        <v>12</v>
      </c>
      <c r="U19" s="1051"/>
      <c r="W19" s="1446"/>
      <c r="X19" s="205" t="s">
        <v>1397</v>
      </c>
      <c r="Y19" s="206">
        <v>4416680</v>
      </c>
      <c r="Z19" s="206">
        <v>6536191</v>
      </c>
    </row>
    <row r="20" spans="2:37" ht="63" customHeight="1" x14ac:dyDescent="0.25">
      <c r="C20" s="658" t="s">
        <v>273</v>
      </c>
      <c r="D20" s="658"/>
      <c r="E20" s="1408" t="s">
        <v>2295</v>
      </c>
      <c r="F20" s="1409"/>
      <c r="G20" s="1409"/>
      <c r="H20" s="1401"/>
      <c r="I20" s="664" t="s">
        <v>259</v>
      </c>
      <c r="J20" s="659" t="s">
        <v>276</v>
      </c>
      <c r="K20" s="659" t="s">
        <v>276</v>
      </c>
      <c r="L20" s="1049" t="s">
        <v>272</v>
      </c>
      <c r="M20" s="1051"/>
      <c r="N20" s="664" t="s">
        <v>1728</v>
      </c>
      <c r="O20" s="1428" t="s">
        <v>2305</v>
      </c>
      <c r="P20" s="1430"/>
      <c r="Q20" s="659">
        <v>1</v>
      </c>
      <c r="R20" s="1449">
        <f>R18</f>
        <v>908526</v>
      </c>
      <c r="S20" s="1450"/>
      <c r="T20" s="1049">
        <v>12</v>
      </c>
      <c r="U20" s="1051"/>
      <c r="W20" s="3" t="s">
        <v>1705</v>
      </c>
      <c r="X20" s="354"/>
      <c r="Y20" s="355"/>
      <c r="Z20" s="355"/>
    </row>
    <row r="21" spans="2:37" x14ac:dyDescent="0.25">
      <c r="C21" s="656" t="s">
        <v>337</v>
      </c>
      <c r="D21" s="656"/>
      <c r="E21" s="950"/>
      <c r="F21" s="951"/>
      <c r="G21" s="951"/>
      <c r="H21" s="952"/>
      <c r="I21" s="656"/>
      <c r="J21" s="656"/>
      <c r="K21" s="656"/>
      <c r="L21" s="950"/>
      <c r="M21" s="952"/>
      <c r="N21" s="656"/>
      <c r="O21" s="950"/>
      <c r="P21" s="952"/>
      <c r="Q21" s="656">
        <f>SUM(Q11:Q20)</f>
        <v>14</v>
      </c>
      <c r="R21" s="1049"/>
      <c r="S21" s="1051"/>
      <c r="T21" s="1049"/>
      <c r="U21" s="1051"/>
    </row>
    <row r="22" spans="2:37" x14ac:dyDescent="0.25">
      <c r="C22" s="581" t="s">
        <v>257</v>
      </c>
      <c r="D22" s="581"/>
      <c r="E22" s="581"/>
      <c r="F22" s="581"/>
      <c r="G22" s="581"/>
      <c r="H22" s="581"/>
      <c r="I22" s="581"/>
      <c r="J22" s="581"/>
      <c r="K22" s="581"/>
      <c r="L22" s="581"/>
      <c r="M22" s="581"/>
      <c r="N22" s="581"/>
      <c r="O22" s="581"/>
      <c r="P22" s="581"/>
      <c r="Q22" s="581"/>
      <c r="R22" s="581"/>
      <c r="S22" s="581"/>
      <c r="T22" s="581"/>
      <c r="U22" s="581"/>
    </row>
    <row r="23" spans="2:37" x14ac:dyDescent="0.25">
      <c r="C23" s="581" t="s">
        <v>258</v>
      </c>
      <c r="D23" s="581"/>
      <c r="E23" s="581"/>
      <c r="F23" s="581"/>
      <c r="G23" s="581"/>
      <c r="H23" s="581"/>
      <c r="I23" s="581"/>
      <c r="J23" s="581"/>
      <c r="K23" s="581"/>
      <c r="L23" s="581"/>
      <c r="M23" s="581"/>
      <c r="N23" s="581"/>
      <c r="O23" s="581"/>
      <c r="P23" s="581"/>
      <c r="Q23" s="581"/>
      <c r="R23" s="581"/>
      <c r="S23" s="581"/>
      <c r="T23" s="581"/>
      <c r="U23" s="581"/>
    </row>
    <row r="24" spans="2:37" x14ac:dyDescent="0.25">
      <c r="B24" s="28"/>
      <c r="C24" s="28"/>
      <c r="D24" s="28"/>
      <c r="E24" s="28"/>
      <c r="F24" s="28"/>
      <c r="G24" s="28"/>
      <c r="H24" s="28"/>
    </row>
    <row r="25" spans="2:37" ht="16.5" thickBot="1" x14ac:dyDescent="0.3">
      <c r="B25" s="28"/>
      <c r="C25" s="28"/>
      <c r="D25" s="28"/>
      <c r="E25" s="28"/>
      <c r="F25" s="28"/>
      <c r="G25" s="28"/>
      <c r="H25" s="28"/>
    </row>
    <row r="26" spans="2:37" x14ac:dyDescent="0.25">
      <c r="B26" s="28"/>
      <c r="C26" s="1448" t="s">
        <v>1730</v>
      </c>
      <c r="D26" s="1448"/>
      <c r="E26" s="1448"/>
      <c r="F26" s="1448"/>
      <c r="G26" s="1448"/>
      <c r="H26" s="1448"/>
      <c r="I26" s="1448"/>
      <c r="J26" s="1448"/>
      <c r="K26" s="1448"/>
      <c r="L26" s="1448"/>
      <c r="M26" s="1448"/>
      <c r="N26" s="1448"/>
      <c r="O26" s="1448"/>
      <c r="P26" s="1448"/>
      <c r="Q26" s="1448"/>
      <c r="R26" s="1448"/>
      <c r="S26" s="1448"/>
      <c r="T26" s="1448"/>
      <c r="U26" s="1448"/>
      <c r="V26" s="1448"/>
      <c r="W26" s="1448"/>
      <c r="Y26" s="213"/>
      <c r="Z26" s="214"/>
      <c r="AA26" s="214"/>
      <c r="AB26" s="214"/>
      <c r="AC26" s="215"/>
    </row>
    <row r="27" spans="2:37" x14ac:dyDescent="0.25">
      <c r="B27" s="28"/>
      <c r="C27" s="1448"/>
      <c r="D27" s="1448"/>
      <c r="E27" s="1448"/>
      <c r="F27" s="1448"/>
      <c r="G27" s="1448"/>
      <c r="H27" s="1448"/>
      <c r="I27" s="1448"/>
      <c r="J27" s="1448"/>
      <c r="K27" s="1448"/>
      <c r="L27" s="1448"/>
      <c r="M27" s="1448"/>
      <c r="N27" s="1448"/>
      <c r="O27" s="1448"/>
      <c r="P27" s="1448"/>
      <c r="Q27" s="1448"/>
      <c r="R27" s="1448"/>
      <c r="S27" s="1448"/>
      <c r="T27" s="1448"/>
      <c r="U27" s="1448"/>
      <c r="V27" s="1448"/>
      <c r="W27" s="1448"/>
      <c r="Y27" s="216"/>
      <c r="Z27" s="631"/>
      <c r="AA27" s="631"/>
      <c r="AB27" s="631"/>
      <c r="AC27" s="217"/>
    </row>
    <row r="28" spans="2:37" ht="15.75" customHeight="1" x14ac:dyDescent="0.25">
      <c r="B28" s="28"/>
      <c r="C28" s="1416" t="s">
        <v>1688</v>
      </c>
      <c r="D28" s="1411" t="s">
        <v>1696</v>
      </c>
      <c r="E28" s="1416" t="s">
        <v>1689</v>
      </c>
      <c r="F28" s="1416" t="s">
        <v>1690</v>
      </c>
      <c r="G28" s="1410" t="s">
        <v>1691</v>
      </c>
      <c r="H28" s="1410"/>
      <c r="I28" s="1410"/>
      <c r="J28" s="1410"/>
      <c r="K28" s="1410"/>
      <c r="L28" s="1410"/>
      <c r="M28" s="1410"/>
      <c r="N28" s="1410"/>
      <c r="O28" s="1410"/>
      <c r="P28" s="1410"/>
      <c r="Q28" s="1411" t="s">
        <v>1692</v>
      </c>
      <c r="R28" s="1413" t="s">
        <v>1693</v>
      </c>
      <c r="S28" s="1414"/>
      <c r="T28" s="1414"/>
      <c r="U28" s="1415"/>
      <c r="V28" s="1411" t="s">
        <v>1694</v>
      </c>
      <c r="W28" s="1411" t="s">
        <v>1695</v>
      </c>
      <c r="X28" s="320"/>
      <c r="Y28" s="1458" t="s">
        <v>1731</v>
      </c>
      <c r="Z28" s="1052"/>
      <c r="AA28" s="1052"/>
      <c r="AB28" s="1052"/>
      <c r="AC28" s="1459"/>
      <c r="AD28" s="325"/>
      <c r="AE28" s="323"/>
      <c r="AF28" s="323"/>
      <c r="AG28" s="325"/>
      <c r="AH28" s="325"/>
      <c r="AI28" s="325"/>
      <c r="AJ28" s="325"/>
      <c r="AK28" s="325"/>
    </row>
    <row r="29" spans="2:37" ht="66.75" customHeight="1" x14ac:dyDescent="0.25">
      <c r="B29" s="28"/>
      <c r="C29" s="1417"/>
      <c r="D29" s="1412"/>
      <c r="E29" s="1417"/>
      <c r="F29" s="1417"/>
      <c r="G29" s="349" t="s">
        <v>1697</v>
      </c>
      <c r="H29" s="350" t="s">
        <v>1698</v>
      </c>
      <c r="I29" s="350" t="s">
        <v>1718</v>
      </c>
      <c r="J29" s="350" t="s">
        <v>1719</v>
      </c>
      <c r="K29" s="350" t="s">
        <v>1720</v>
      </c>
      <c r="L29" s="350" t="s">
        <v>1721</v>
      </c>
      <c r="M29" s="350" t="s">
        <v>1722</v>
      </c>
      <c r="N29" s="350" t="s">
        <v>1723</v>
      </c>
      <c r="O29" s="351" t="s">
        <v>1724</v>
      </c>
      <c r="P29" s="350" t="s">
        <v>1725</v>
      </c>
      <c r="Q29" s="1412"/>
      <c r="R29" s="349" t="s">
        <v>1699</v>
      </c>
      <c r="S29" s="350" t="s">
        <v>1700</v>
      </c>
      <c r="T29" s="350" t="s">
        <v>1701</v>
      </c>
      <c r="U29" s="350" t="s">
        <v>1702</v>
      </c>
      <c r="V29" s="1412"/>
      <c r="W29" s="1412"/>
      <c r="X29" s="320"/>
      <c r="Y29" s="647" t="s">
        <v>1706</v>
      </c>
      <c r="Z29" s="648">
        <v>2408000</v>
      </c>
      <c r="AA29" s="649"/>
      <c r="AB29" s="649"/>
      <c r="AC29" s="217"/>
      <c r="AD29" s="325"/>
      <c r="AE29" s="323"/>
      <c r="AF29" s="323"/>
      <c r="AG29" s="325"/>
      <c r="AH29" s="325"/>
      <c r="AI29" s="325"/>
      <c r="AJ29" s="325"/>
      <c r="AK29" s="325"/>
    </row>
    <row r="30" spans="2:37" x14ac:dyDescent="0.25">
      <c r="B30" s="28"/>
      <c r="C30" s="19">
        <v>1</v>
      </c>
      <c r="D30" s="329" t="s">
        <v>252</v>
      </c>
      <c r="E30" s="340">
        <f>Y12</f>
        <v>2408000</v>
      </c>
      <c r="F30" s="339">
        <v>30</v>
      </c>
      <c r="G30" s="338">
        <f t="shared" ref="G30:G31" si="0">E30/30*F30</f>
        <v>2408000</v>
      </c>
      <c r="H30" s="341">
        <v>0</v>
      </c>
      <c r="I30" s="342">
        <v>0</v>
      </c>
      <c r="J30" s="342">
        <v>0</v>
      </c>
      <c r="K30" s="342">
        <v>0</v>
      </c>
      <c r="L30" s="342">
        <v>0</v>
      </c>
      <c r="M30" s="342">
        <f t="shared" ref="M30:N31" si="1">25083*4</f>
        <v>100332</v>
      </c>
      <c r="N30" s="342">
        <f t="shared" si="1"/>
        <v>100332</v>
      </c>
      <c r="O30" s="313">
        <f>140467*4+40133*4</f>
        <v>722400</v>
      </c>
      <c r="P30" s="342">
        <v>0</v>
      </c>
      <c r="Q30" s="338">
        <f>E30+H30+I30+P30+J30+K30+L30+M30+N30+O30</f>
        <v>3331064</v>
      </c>
      <c r="R30" s="338">
        <f t="shared" ref="R30:R31" si="2">Q30*4%</f>
        <v>133242.56</v>
      </c>
      <c r="S30" s="342">
        <f t="shared" ref="S30:S31" si="3">Q30*4%</f>
        <v>133242.56</v>
      </c>
      <c r="T30" s="342">
        <v>0</v>
      </c>
      <c r="U30" s="342">
        <v>0</v>
      </c>
      <c r="V30" s="342">
        <f t="shared" ref="V30:V31" si="4">R30+S30</f>
        <v>266485.12</v>
      </c>
      <c r="W30" s="342">
        <f t="shared" ref="W30:W31" si="5">Q30-V30</f>
        <v>3064578.88</v>
      </c>
      <c r="X30" s="320"/>
      <c r="Y30" s="647"/>
      <c r="Z30" s="648"/>
      <c r="AA30" s="649"/>
      <c r="AB30" s="649"/>
      <c r="AC30" s="217"/>
      <c r="AD30" s="325"/>
      <c r="AE30" s="323"/>
      <c r="AF30" s="323"/>
      <c r="AG30" s="325"/>
      <c r="AH30" s="325"/>
      <c r="AI30" s="325"/>
      <c r="AJ30" s="325"/>
      <c r="AK30" s="325"/>
    </row>
    <row r="31" spans="2:37" x14ac:dyDescent="0.25">
      <c r="B31" s="28"/>
      <c r="C31" s="19">
        <v>2</v>
      </c>
      <c r="D31" s="329" t="s">
        <v>285</v>
      </c>
      <c r="E31" s="340">
        <f>Y12</f>
        <v>2408000</v>
      </c>
      <c r="F31" s="339">
        <v>30</v>
      </c>
      <c r="G31" s="338">
        <f t="shared" si="0"/>
        <v>2408000</v>
      </c>
      <c r="H31" s="341">
        <v>0</v>
      </c>
      <c r="I31" s="342">
        <v>0</v>
      </c>
      <c r="J31" s="342">
        <v>0</v>
      </c>
      <c r="K31" s="342">
        <v>0</v>
      </c>
      <c r="L31" s="342">
        <v>0</v>
      </c>
      <c r="M31" s="342">
        <f t="shared" si="1"/>
        <v>100332</v>
      </c>
      <c r="N31" s="342">
        <f t="shared" si="1"/>
        <v>100332</v>
      </c>
      <c r="O31" s="313">
        <f>140467*4+40133*4</f>
        <v>722400</v>
      </c>
      <c r="P31" s="342">
        <v>0</v>
      </c>
      <c r="Q31" s="338">
        <f t="shared" ref="Q31" si="6">E31+H31+I31+P31+J31+K31+L31+M31+N31+O31</f>
        <v>3331064</v>
      </c>
      <c r="R31" s="338">
        <f t="shared" si="2"/>
        <v>133242.56</v>
      </c>
      <c r="S31" s="342">
        <f t="shared" si="3"/>
        <v>133242.56</v>
      </c>
      <c r="T31" s="342">
        <v>0</v>
      </c>
      <c r="U31" s="342">
        <v>0</v>
      </c>
      <c r="V31" s="342">
        <f t="shared" si="4"/>
        <v>266485.12</v>
      </c>
      <c r="W31" s="342">
        <f t="shared" si="5"/>
        <v>3064578.88</v>
      </c>
      <c r="X31" s="320"/>
      <c r="Y31" s="650"/>
      <c r="Z31" s="651"/>
      <c r="AA31" s="652" t="s">
        <v>1707</v>
      </c>
      <c r="AB31" s="652" t="s">
        <v>1708</v>
      </c>
      <c r="AC31" s="7" t="s">
        <v>337</v>
      </c>
      <c r="AD31" s="325"/>
      <c r="AE31" s="323"/>
      <c r="AF31" s="323"/>
      <c r="AG31" s="325"/>
      <c r="AH31" s="325"/>
      <c r="AI31" s="325"/>
      <c r="AJ31" s="325"/>
      <c r="AK31" s="325"/>
    </row>
    <row r="32" spans="2:37" x14ac:dyDescent="0.25">
      <c r="B32" s="28"/>
      <c r="C32" s="19">
        <v>3</v>
      </c>
      <c r="D32" s="329" t="s">
        <v>1593</v>
      </c>
      <c r="E32" s="340">
        <f>Y11</f>
        <v>2121750</v>
      </c>
      <c r="F32" s="339">
        <v>30</v>
      </c>
      <c r="G32" s="338">
        <f t="shared" ref="G32:G43" si="7">E32/30*F32</f>
        <v>2121750</v>
      </c>
      <c r="H32" s="341">
        <v>0</v>
      </c>
      <c r="I32" s="342">
        <v>0</v>
      </c>
      <c r="J32" s="342">
        <v>0</v>
      </c>
      <c r="K32" s="342">
        <v>0</v>
      </c>
      <c r="L32" s="342">
        <v>0</v>
      </c>
      <c r="M32" s="342">
        <v>0</v>
      </c>
      <c r="N32" s="342">
        <v>0</v>
      </c>
      <c r="O32" s="313">
        <f>123768*4</f>
        <v>495072</v>
      </c>
      <c r="P32" s="342">
        <v>0</v>
      </c>
      <c r="Q32" s="338">
        <f t="shared" ref="Q32:Q43" si="8">E32+H32+I32+P32+J32+K32+L32+M32+N32+O32</f>
        <v>2616822</v>
      </c>
      <c r="R32" s="338">
        <f t="shared" ref="R32:R43" si="9">Q32*4%</f>
        <v>104672.88</v>
      </c>
      <c r="S32" s="342">
        <f t="shared" ref="S32:S43" si="10">Q32*4%</f>
        <v>104672.88</v>
      </c>
      <c r="T32" s="342">
        <v>0</v>
      </c>
      <c r="U32" s="342">
        <v>0</v>
      </c>
      <c r="V32" s="342">
        <f t="shared" ref="V32:V43" si="11">R32+S32</f>
        <v>209345.76</v>
      </c>
      <c r="W32" s="342">
        <f t="shared" ref="W32:W43" si="12">Q32-V32</f>
        <v>2407476.2400000002</v>
      </c>
      <c r="X32" s="320"/>
      <c r="Y32" s="653" t="s">
        <v>1709</v>
      </c>
      <c r="Z32" s="654">
        <f>Z29/240</f>
        <v>10033.333333333334</v>
      </c>
      <c r="AA32" s="652"/>
      <c r="AB32" s="655">
        <f>Z32*AA32</f>
        <v>0</v>
      </c>
      <c r="AC32" s="356">
        <f>Z32*AA32</f>
        <v>0</v>
      </c>
      <c r="AD32" s="325"/>
      <c r="AE32" s="323"/>
      <c r="AF32" s="323"/>
      <c r="AG32" s="325"/>
      <c r="AH32" s="325"/>
      <c r="AI32" s="325"/>
      <c r="AJ32" s="325"/>
      <c r="AK32" s="325"/>
    </row>
    <row r="33" spans="2:37" x14ac:dyDescent="0.25">
      <c r="B33" s="28"/>
      <c r="C33" s="19">
        <v>4</v>
      </c>
      <c r="D33" s="329" t="s">
        <v>1593</v>
      </c>
      <c r="E33" s="340">
        <f>Y11</f>
        <v>2121750</v>
      </c>
      <c r="F33" s="339">
        <v>30</v>
      </c>
      <c r="G33" s="338">
        <f t="shared" si="7"/>
        <v>2121750</v>
      </c>
      <c r="H33" s="341">
        <v>0</v>
      </c>
      <c r="I33" s="342">
        <v>0</v>
      </c>
      <c r="J33" s="342">
        <v>0</v>
      </c>
      <c r="K33" s="342">
        <v>0</v>
      </c>
      <c r="L33" s="342">
        <v>0</v>
      </c>
      <c r="M33" s="342">
        <v>0</v>
      </c>
      <c r="N33" s="342">
        <v>0</v>
      </c>
      <c r="O33" s="313">
        <f t="shared" ref="O33:O35" si="13">123768*4</f>
        <v>495072</v>
      </c>
      <c r="P33" s="342">
        <v>0</v>
      </c>
      <c r="Q33" s="338">
        <f t="shared" si="8"/>
        <v>2616822</v>
      </c>
      <c r="R33" s="338">
        <f t="shared" si="9"/>
        <v>104672.88</v>
      </c>
      <c r="S33" s="342">
        <f t="shared" si="10"/>
        <v>104672.88</v>
      </c>
      <c r="T33" s="342">
        <v>0</v>
      </c>
      <c r="U33" s="342">
        <v>0</v>
      </c>
      <c r="V33" s="342">
        <f t="shared" si="11"/>
        <v>209345.76</v>
      </c>
      <c r="W33" s="342">
        <f t="shared" si="12"/>
        <v>2407476.2400000002</v>
      </c>
      <c r="X33" s="320"/>
      <c r="Y33" s="653" t="s">
        <v>1710</v>
      </c>
      <c r="Z33" s="654">
        <f>(Z29*1.25)/240</f>
        <v>12541.666666666666</v>
      </c>
      <c r="AA33" s="652">
        <v>2</v>
      </c>
      <c r="AB33" s="655">
        <f>Z33*AA33</f>
        <v>25083.333333333332</v>
      </c>
      <c r="AC33" s="356">
        <f t="shared" ref="AC33:AC39" si="14">Z33*AA33</f>
        <v>25083.333333333332</v>
      </c>
      <c r="AD33" s="325"/>
      <c r="AE33" s="323"/>
      <c r="AF33" s="323"/>
      <c r="AG33" s="325"/>
      <c r="AH33" s="325"/>
      <c r="AI33" s="325"/>
      <c r="AJ33" s="325"/>
      <c r="AK33" s="325"/>
    </row>
    <row r="34" spans="2:37" x14ac:dyDescent="0.25">
      <c r="B34" s="28"/>
      <c r="C34" s="19">
        <v>5</v>
      </c>
      <c r="D34" s="329" t="s">
        <v>1403</v>
      </c>
      <c r="E34" s="340">
        <f>Y11</f>
        <v>2121750</v>
      </c>
      <c r="F34" s="339">
        <v>30</v>
      </c>
      <c r="G34" s="338">
        <f t="shared" si="7"/>
        <v>2121750</v>
      </c>
      <c r="H34" s="341">
        <v>0</v>
      </c>
      <c r="I34" s="342">
        <v>0</v>
      </c>
      <c r="J34" s="342">
        <v>0</v>
      </c>
      <c r="K34" s="342">
        <v>0</v>
      </c>
      <c r="L34" s="342">
        <v>0</v>
      </c>
      <c r="M34" s="342">
        <v>0</v>
      </c>
      <c r="N34" s="342">
        <v>0</v>
      </c>
      <c r="O34" s="313">
        <f t="shared" si="13"/>
        <v>495072</v>
      </c>
      <c r="P34" s="342">
        <v>0</v>
      </c>
      <c r="Q34" s="338">
        <f t="shared" si="8"/>
        <v>2616822</v>
      </c>
      <c r="R34" s="338">
        <f t="shared" si="9"/>
        <v>104672.88</v>
      </c>
      <c r="S34" s="342">
        <f t="shared" si="10"/>
        <v>104672.88</v>
      </c>
      <c r="T34" s="342">
        <v>0</v>
      </c>
      <c r="U34" s="342">
        <v>0</v>
      </c>
      <c r="V34" s="342">
        <f t="shared" si="11"/>
        <v>209345.76</v>
      </c>
      <c r="W34" s="342">
        <f t="shared" si="12"/>
        <v>2407476.2400000002</v>
      </c>
      <c r="X34" s="320"/>
      <c r="Y34" s="653" t="s">
        <v>1711</v>
      </c>
      <c r="Z34" s="654">
        <f>(Z29*1.35)/240</f>
        <v>13545</v>
      </c>
      <c r="AA34" s="652"/>
      <c r="AB34" s="655">
        <f>Z34*AA34-Z32*AA34</f>
        <v>0</v>
      </c>
      <c r="AC34" s="356">
        <f t="shared" si="14"/>
        <v>0</v>
      </c>
      <c r="AD34" s="325"/>
      <c r="AE34" s="323"/>
      <c r="AF34" s="323"/>
      <c r="AG34" s="325"/>
      <c r="AH34" s="325"/>
      <c r="AI34" s="325"/>
      <c r="AJ34" s="325"/>
      <c r="AK34" s="325"/>
    </row>
    <row r="35" spans="2:37" x14ac:dyDescent="0.25">
      <c r="C35" s="19">
        <v>6</v>
      </c>
      <c r="D35" s="329" t="s">
        <v>1403</v>
      </c>
      <c r="E35" s="340">
        <f>Y11</f>
        <v>2121750</v>
      </c>
      <c r="F35" s="339">
        <v>30</v>
      </c>
      <c r="G35" s="338">
        <f t="shared" si="7"/>
        <v>2121750</v>
      </c>
      <c r="H35" s="341">
        <v>0</v>
      </c>
      <c r="I35" s="342">
        <v>0</v>
      </c>
      <c r="J35" s="342">
        <v>0</v>
      </c>
      <c r="K35" s="342">
        <v>0</v>
      </c>
      <c r="L35" s="342">
        <v>0</v>
      </c>
      <c r="M35" s="342">
        <v>0</v>
      </c>
      <c r="N35" s="342">
        <v>0</v>
      </c>
      <c r="O35" s="313">
        <f t="shared" si="13"/>
        <v>495072</v>
      </c>
      <c r="P35" s="342">
        <v>0</v>
      </c>
      <c r="Q35" s="338">
        <f t="shared" si="8"/>
        <v>2616822</v>
      </c>
      <c r="R35" s="338">
        <f t="shared" si="9"/>
        <v>104672.88</v>
      </c>
      <c r="S35" s="342">
        <f t="shared" si="10"/>
        <v>104672.88</v>
      </c>
      <c r="T35" s="342">
        <v>0</v>
      </c>
      <c r="U35" s="342">
        <v>0</v>
      </c>
      <c r="V35" s="342">
        <f t="shared" si="11"/>
        <v>209345.76</v>
      </c>
      <c r="W35" s="342">
        <f t="shared" si="12"/>
        <v>2407476.2400000002</v>
      </c>
      <c r="X35" s="320"/>
      <c r="Y35" s="653" t="s">
        <v>1712</v>
      </c>
      <c r="Z35" s="654">
        <f>(Z29*1.75)/240</f>
        <v>17558.333333333332</v>
      </c>
      <c r="AA35" s="652"/>
      <c r="AB35" s="655">
        <f t="shared" ref="AB35:AB39" si="15">Z35*AA35</f>
        <v>0</v>
      </c>
      <c r="AC35" s="356">
        <f t="shared" si="14"/>
        <v>0</v>
      </c>
      <c r="AD35" s="325"/>
      <c r="AE35" s="323"/>
      <c r="AF35" s="323"/>
      <c r="AG35" s="325"/>
      <c r="AH35" s="325"/>
      <c r="AI35" s="325"/>
      <c r="AJ35" s="325"/>
      <c r="AK35" s="325"/>
    </row>
    <row r="36" spans="2:37" x14ac:dyDescent="0.25">
      <c r="C36" s="19">
        <v>7</v>
      </c>
      <c r="D36" s="329" t="s">
        <v>300</v>
      </c>
      <c r="E36" s="340">
        <f>Y4</f>
        <v>908526</v>
      </c>
      <c r="F36" s="339">
        <v>30</v>
      </c>
      <c r="G36" s="338">
        <f t="shared" si="7"/>
        <v>908526</v>
      </c>
      <c r="H36" s="341">
        <v>106454</v>
      </c>
      <c r="I36" s="342">
        <v>0</v>
      </c>
      <c r="J36" s="342">
        <v>0</v>
      </c>
      <c r="K36" s="342">
        <v>0</v>
      </c>
      <c r="L36" s="342">
        <v>0</v>
      </c>
      <c r="M36" s="342">
        <v>0</v>
      </c>
      <c r="N36" s="342">
        <v>0</v>
      </c>
      <c r="O36" s="313">
        <f>53000*4</f>
        <v>212000</v>
      </c>
      <c r="P36" s="342">
        <v>0</v>
      </c>
      <c r="Q36" s="338">
        <f t="shared" si="8"/>
        <v>1226980</v>
      </c>
      <c r="R36" s="338">
        <f t="shared" si="9"/>
        <v>49079.200000000004</v>
      </c>
      <c r="S36" s="342">
        <f t="shared" si="10"/>
        <v>49079.200000000004</v>
      </c>
      <c r="T36" s="342">
        <v>0</v>
      </c>
      <c r="U36" s="342">
        <v>0</v>
      </c>
      <c r="V36" s="342">
        <f t="shared" si="11"/>
        <v>98158.400000000009</v>
      </c>
      <c r="W36" s="342">
        <f t="shared" si="12"/>
        <v>1128821.6000000001</v>
      </c>
      <c r="X36" s="320"/>
      <c r="Y36" s="653" t="s">
        <v>1713</v>
      </c>
      <c r="Z36" s="654">
        <f>(Z29*1.75)/240</f>
        <v>17558.333333333332</v>
      </c>
      <c r="AA36" s="652">
        <v>8</v>
      </c>
      <c r="AB36" s="655">
        <f>Z36*AA36-Z32*AA36</f>
        <v>60199.999999999985</v>
      </c>
      <c r="AC36" s="356">
        <f>Z36*AA36</f>
        <v>140466.66666666666</v>
      </c>
      <c r="AD36" s="325"/>
      <c r="AE36" s="323"/>
      <c r="AF36" s="323"/>
      <c r="AG36" s="325"/>
      <c r="AH36" s="325"/>
      <c r="AI36" s="325"/>
      <c r="AJ36" s="325"/>
      <c r="AK36" s="325"/>
    </row>
    <row r="37" spans="2:37" x14ac:dyDescent="0.25">
      <c r="C37" s="19">
        <v>8</v>
      </c>
      <c r="D37" s="329" t="s">
        <v>300</v>
      </c>
      <c r="E37" s="340">
        <f>Y4</f>
        <v>908526</v>
      </c>
      <c r="F37" s="339">
        <v>30</v>
      </c>
      <c r="G37" s="338">
        <f t="shared" si="7"/>
        <v>908526</v>
      </c>
      <c r="H37" s="341">
        <v>106454</v>
      </c>
      <c r="I37" s="342">
        <v>0</v>
      </c>
      <c r="J37" s="342">
        <v>0</v>
      </c>
      <c r="K37" s="342">
        <v>0</v>
      </c>
      <c r="L37" s="342">
        <v>0</v>
      </c>
      <c r="M37" s="342">
        <v>0</v>
      </c>
      <c r="N37" s="342">
        <v>0</v>
      </c>
      <c r="O37" s="313">
        <f t="shared" ref="O37" si="16">53000*4</f>
        <v>212000</v>
      </c>
      <c r="P37" s="342">
        <v>0</v>
      </c>
      <c r="Q37" s="338">
        <f t="shared" si="8"/>
        <v>1226980</v>
      </c>
      <c r="R37" s="338">
        <f t="shared" si="9"/>
        <v>49079.200000000004</v>
      </c>
      <c r="S37" s="342">
        <f t="shared" si="10"/>
        <v>49079.200000000004</v>
      </c>
      <c r="T37" s="342">
        <v>0</v>
      </c>
      <c r="U37" s="342">
        <v>0</v>
      </c>
      <c r="V37" s="342">
        <f t="shared" si="11"/>
        <v>98158.400000000009</v>
      </c>
      <c r="W37" s="342">
        <f t="shared" si="12"/>
        <v>1128821.6000000001</v>
      </c>
      <c r="X37" s="320"/>
      <c r="Y37" s="653" t="s">
        <v>1714</v>
      </c>
      <c r="Z37" s="654">
        <f>(Z29*2)/240</f>
        <v>20066.666666666668</v>
      </c>
      <c r="AA37" s="652">
        <v>2</v>
      </c>
      <c r="AB37" s="655">
        <f t="shared" si="15"/>
        <v>40133.333333333336</v>
      </c>
      <c r="AC37" s="356">
        <f t="shared" si="14"/>
        <v>40133.333333333336</v>
      </c>
      <c r="AD37" s="325"/>
      <c r="AE37" s="323"/>
      <c r="AF37" s="323"/>
      <c r="AG37" s="325"/>
      <c r="AH37" s="325"/>
      <c r="AI37" s="325"/>
      <c r="AJ37" s="325"/>
      <c r="AK37" s="325"/>
    </row>
    <row r="38" spans="2:37" x14ac:dyDescent="0.25">
      <c r="C38" s="19">
        <v>9</v>
      </c>
      <c r="D38" s="329" t="s">
        <v>253</v>
      </c>
      <c r="E38" s="340">
        <f>Y4</f>
        <v>908526</v>
      </c>
      <c r="F38" s="339">
        <v>30</v>
      </c>
      <c r="G38" s="338">
        <f t="shared" si="7"/>
        <v>908526</v>
      </c>
      <c r="H38" s="341">
        <v>106454</v>
      </c>
      <c r="I38" s="342">
        <v>0</v>
      </c>
      <c r="J38" s="342">
        <v>0</v>
      </c>
      <c r="K38" s="342">
        <v>0</v>
      </c>
      <c r="L38" s="342">
        <v>0</v>
      </c>
      <c r="M38" s="342">
        <f>9464*4</f>
        <v>37856</v>
      </c>
      <c r="N38" s="342">
        <f>9464*4</f>
        <v>37856</v>
      </c>
      <c r="O38" s="313">
        <f>53000*4+15142*4</f>
        <v>272568</v>
      </c>
      <c r="P38" s="342">
        <v>0</v>
      </c>
      <c r="Q38" s="338">
        <f t="shared" si="8"/>
        <v>1363260</v>
      </c>
      <c r="R38" s="338">
        <f t="shared" si="9"/>
        <v>54530.400000000001</v>
      </c>
      <c r="S38" s="342">
        <f t="shared" si="10"/>
        <v>54530.400000000001</v>
      </c>
      <c r="T38" s="342">
        <v>0</v>
      </c>
      <c r="U38" s="342">
        <v>0</v>
      </c>
      <c r="V38" s="342">
        <f t="shared" si="11"/>
        <v>109060.8</v>
      </c>
      <c r="W38" s="342">
        <f t="shared" si="12"/>
        <v>1254199.2</v>
      </c>
      <c r="X38" s="320"/>
      <c r="Y38" s="653" t="s">
        <v>1715</v>
      </c>
      <c r="Z38" s="654">
        <f>(Z29*2.1)/240</f>
        <v>21070</v>
      </c>
      <c r="AA38" s="652"/>
      <c r="AB38" s="655">
        <f>Z38*AA38-Z32*AA38</f>
        <v>0</v>
      </c>
      <c r="AC38" s="356">
        <f t="shared" si="14"/>
        <v>0</v>
      </c>
      <c r="AD38" s="325"/>
      <c r="AE38" s="323"/>
      <c r="AF38" s="323"/>
      <c r="AG38" s="325"/>
      <c r="AH38" s="325"/>
      <c r="AI38" s="325"/>
      <c r="AJ38" s="325"/>
      <c r="AK38" s="325"/>
    </row>
    <row r="39" spans="2:37" x14ac:dyDescent="0.25">
      <c r="C39" s="19">
        <v>10</v>
      </c>
      <c r="D39" s="329" t="s">
        <v>253</v>
      </c>
      <c r="E39" s="340">
        <f>Y4</f>
        <v>908526</v>
      </c>
      <c r="F39" s="339">
        <v>30</v>
      </c>
      <c r="G39" s="338">
        <f t="shared" si="7"/>
        <v>908526</v>
      </c>
      <c r="H39" s="341">
        <v>106454</v>
      </c>
      <c r="I39" s="342">
        <v>0</v>
      </c>
      <c r="J39" s="342">
        <v>0</v>
      </c>
      <c r="K39" s="342">
        <v>0</v>
      </c>
      <c r="L39" s="342">
        <v>0</v>
      </c>
      <c r="M39" s="342">
        <f t="shared" ref="M39:N41" si="17">9464*4</f>
        <v>37856</v>
      </c>
      <c r="N39" s="342">
        <f t="shared" si="17"/>
        <v>37856</v>
      </c>
      <c r="O39" s="313">
        <f t="shared" ref="O39:O41" si="18">53000*4+15142*4</f>
        <v>272568</v>
      </c>
      <c r="P39" s="342">
        <v>0</v>
      </c>
      <c r="Q39" s="338">
        <f t="shared" si="8"/>
        <v>1363260</v>
      </c>
      <c r="R39" s="338">
        <f t="shared" si="9"/>
        <v>54530.400000000001</v>
      </c>
      <c r="S39" s="342">
        <f t="shared" si="10"/>
        <v>54530.400000000001</v>
      </c>
      <c r="T39" s="342">
        <v>0</v>
      </c>
      <c r="U39" s="342">
        <v>0</v>
      </c>
      <c r="V39" s="342">
        <f t="shared" si="11"/>
        <v>109060.8</v>
      </c>
      <c r="W39" s="342">
        <f t="shared" si="12"/>
        <v>1254199.2</v>
      </c>
      <c r="X39" s="320"/>
      <c r="Y39" s="653" t="s">
        <v>1716</v>
      </c>
      <c r="Z39" s="654">
        <f>(Z29*2.5)/240</f>
        <v>25083.333333333332</v>
      </c>
      <c r="AA39" s="652"/>
      <c r="AB39" s="655">
        <f t="shared" si="15"/>
        <v>0</v>
      </c>
      <c r="AC39" s="356">
        <f t="shared" si="14"/>
        <v>0</v>
      </c>
      <c r="AD39" s="325"/>
      <c r="AE39" s="323"/>
      <c r="AF39" s="323"/>
      <c r="AG39" s="325"/>
      <c r="AH39" s="325"/>
      <c r="AI39" s="325"/>
      <c r="AJ39" s="325"/>
      <c r="AK39" s="325"/>
    </row>
    <row r="40" spans="2:37" x14ac:dyDescent="0.25">
      <c r="C40" s="19">
        <v>11</v>
      </c>
      <c r="D40" s="329" t="s">
        <v>253</v>
      </c>
      <c r="E40" s="340">
        <f>Y4</f>
        <v>908526</v>
      </c>
      <c r="F40" s="339">
        <v>30</v>
      </c>
      <c r="G40" s="338">
        <f t="shared" si="7"/>
        <v>908526</v>
      </c>
      <c r="H40" s="341">
        <v>106454</v>
      </c>
      <c r="I40" s="342">
        <v>0</v>
      </c>
      <c r="J40" s="342">
        <v>0</v>
      </c>
      <c r="K40" s="342">
        <v>0</v>
      </c>
      <c r="L40" s="342">
        <v>0</v>
      </c>
      <c r="M40" s="342">
        <f t="shared" si="17"/>
        <v>37856</v>
      </c>
      <c r="N40" s="342">
        <f t="shared" si="17"/>
        <v>37856</v>
      </c>
      <c r="O40" s="313">
        <f t="shared" si="18"/>
        <v>272568</v>
      </c>
      <c r="P40" s="342">
        <v>0</v>
      </c>
      <c r="Q40" s="338">
        <f t="shared" si="8"/>
        <v>1363260</v>
      </c>
      <c r="R40" s="338">
        <f t="shared" si="9"/>
        <v>54530.400000000001</v>
      </c>
      <c r="S40" s="342">
        <f t="shared" si="10"/>
        <v>54530.400000000001</v>
      </c>
      <c r="T40" s="342">
        <v>0</v>
      </c>
      <c r="U40" s="342">
        <v>0</v>
      </c>
      <c r="V40" s="342">
        <f t="shared" si="11"/>
        <v>109060.8</v>
      </c>
      <c r="W40" s="342">
        <f t="shared" si="12"/>
        <v>1254199.2</v>
      </c>
      <c r="X40" s="320"/>
      <c r="Y40" s="650"/>
      <c r="Z40" s="649"/>
      <c r="AA40" s="652" t="s">
        <v>1717</v>
      </c>
      <c r="AB40" s="655">
        <f>SUMIF(AB32:AB39,"&gt;0")</f>
        <v>125416.66666666666</v>
      </c>
      <c r="AC40" s="217"/>
      <c r="AD40" s="325"/>
      <c r="AE40" s="323"/>
      <c r="AF40" s="323"/>
      <c r="AG40" s="325"/>
      <c r="AH40" s="325"/>
      <c r="AI40" s="325"/>
      <c r="AJ40" s="325"/>
      <c r="AK40" s="325"/>
    </row>
    <row r="41" spans="2:37" ht="16.5" thickBot="1" x14ac:dyDescent="0.3">
      <c r="C41" s="19">
        <v>12</v>
      </c>
      <c r="D41" s="329" t="s">
        <v>1105</v>
      </c>
      <c r="E41" s="340">
        <f>Y4</f>
        <v>908526</v>
      </c>
      <c r="F41" s="339">
        <v>30</v>
      </c>
      <c r="G41" s="338">
        <f t="shared" si="7"/>
        <v>908526</v>
      </c>
      <c r="H41" s="341">
        <v>106454</v>
      </c>
      <c r="I41" s="342">
        <v>0</v>
      </c>
      <c r="J41" s="342">
        <v>0</v>
      </c>
      <c r="K41" s="342">
        <v>0</v>
      </c>
      <c r="L41" s="342">
        <v>0</v>
      </c>
      <c r="M41" s="342">
        <f t="shared" si="17"/>
        <v>37856</v>
      </c>
      <c r="N41" s="342">
        <f t="shared" si="17"/>
        <v>37856</v>
      </c>
      <c r="O41" s="566">
        <f t="shared" si="18"/>
        <v>272568</v>
      </c>
      <c r="P41" s="342">
        <v>0</v>
      </c>
      <c r="Q41" s="338">
        <f t="shared" si="8"/>
        <v>1363260</v>
      </c>
      <c r="R41" s="338">
        <f t="shared" si="9"/>
        <v>54530.400000000001</v>
      </c>
      <c r="S41" s="342">
        <f t="shared" si="10"/>
        <v>54530.400000000001</v>
      </c>
      <c r="T41" s="342">
        <v>0</v>
      </c>
      <c r="U41" s="342">
        <v>0</v>
      </c>
      <c r="V41" s="342">
        <f t="shared" si="11"/>
        <v>109060.8</v>
      </c>
      <c r="W41" s="342">
        <f t="shared" si="12"/>
        <v>1254199.2</v>
      </c>
      <c r="X41" s="320"/>
      <c r="Y41" s="220"/>
      <c r="Z41" s="221"/>
      <c r="AA41" s="221"/>
      <c r="AB41" s="221"/>
      <c r="AC41" s="222"/>
      <c r="AD41" s="325"/>
      <c r="AE41" s="323"/>
      <c r="AF41" s="323"/>
      <c r="AG41" s="325"/>
      <c r="AH41" s="325"/>
      <c r="AI41" s="325"/>
      <c r="AJ41" s="325"/>
      <c r="AK41" s="325"/>
    </row>
    <row r="42" spans="2:37" x14ac:dyDescent="0.25">
      <c r="C42" s="19">
        <v>13</v>
      </c>
      <c r="D42" s="329" t="s">
        <v>1600</v>
      </c>
      <c r="E42" s="340">
        <f>Y12</f>
        <v>2408000</v>
      </c>
      <c r="F42" s="339">
        <v>30</v>
      </c>
      <c r="G42" s="338">
        <f t="shared" si="7"/>
        <v>2408000</v>
      </c>
      <c r="H42" s="341">
        <v>0</v>
      </c>
      <c r="I42" s="342">
        <v>0</v>
      </c>
      <c r="J42" s="342">
        <v>0</v>
      </c>
      <c r="K42" s="342">
        <v>0</v>
      </c>
      <c r="L42" s="342">
        <v>0</v>
      </c>
      <c r="M42" s="342">
        <f t="shared" ref="M42:N42" si="19">25083*4</f>
        <v>100332</v>
      </c>
      <c r="N42" s="342">
        <f t="shared" si="19"/>
        <v>100332</v>
      </c>
      <c r="O42" s="313">
        <f>123768*4+40133*4</f>
        <v>655604</v>
      </c>
      <c r="P42" s="342">
        <v>0</v>
      </c>
      <c r="Q42" s="338">
        <f t="shared" si="8"/>
        <v>3264268</v>
      </c>
      <c r="R42" s="338">
        <f t="shared" si="9"/>
        <v>130570.72</v>
      </c>
      <c r="S42" s="342">
        <f t="shared" si="10"/>
        <v>130570.72</v>
      </c>
      <c r="T42" s="342">
        <v>0</v>
      </c>
      <c r="U42" s="342">
        <v>0</v>
      </c>
      <c r="V42" s="342">
        <f t="shared" si="11"/>
        <v>261141.44</v>
      </c>
      <c r="W42" s="342">
        <f t="shared" si="12"/>
        <v>3003126.56</v>
      </c>
      <c r="X42" s="320"/>
      <c r="Y42" s="321"/>
      <c r="Z42" s="322"/>
      <c r="AA42" s="323"/>
      <c r="AB42" s="324"/>
      <c r="AC42" s="325"/>
      <c r="AD42" s="325"/>
      <c r="AE42" s="323"/>
      <c r="AF42" s="323"/>
      <c r="AG42" s="325"/>
      <c r="AH42" s="325"/>
      <c r="AI42" s="325"/>
      <c r="AJ42" s="325"/>
      <c r="AK42" s="325"/>
    </row>
    <row r="43" spans="2:37" x14ac:dyDescent="0.25">
      <c r="C43" s="19">
        <v>14</v>
      </c>
      <c r="D43" s="329" t="s">
        <v>273</v>
      </c>
      <c r="E43" s="340">
        <f>Y4</f>
        <v>908526</v>
      </c>
      <c r="F43" s="339">
        <v>30</v>
      </c>
      <c r="G43" s="338">
        <f t="shared" si="7"/>
        <v>908526</v>
      </c>
      <c r="H43" s="341">
        <v>106454</v>
      </c>
      <c r="I43" s="342">
        <v>0</v>
      </c>
      <c r="J43" s="342">
        <v>0</v>
      </c>
      <c r="K43" s="342">
        <v>0</v>
      </c>
      <c r="L43" s="342">
        <v>0</v>
      </c>
      <c r="M43" s="342">
        <f t="shared" ref="M43:N43" si="20">9464*4</f>
        <v>37856</v>
      </c>
      <c r="N43" s="342">
        <f t="shared" si="20"/>
        <v>37856</v>
      </c>
      <c r="O43" s="566">
        <f t="shared" ref="O43" si="21">53000*4+15142*4</f>
        <v>272568</v>
      </c>
      <c r="P43" s="342">
        <v>0</v>
      </c>
      <c r="Q43" s="338">
        <f t="shared" si="8"/>
        <v>1363260</v>
      </c>
      <c r="R43" s="338">
        <f t="shared" si="9"/>
        <v>54530.400000000001</v>
      </c>
      <c r="S43" s="342">
        <f t="shared" si="10"/>
        <v>54530.400000000001</v>
      </c>
      <c r="T43" s="342">
        <v>0</v>
      </c>
      <c r="U43" s="342">
        <v>0</v>
      </c>
      <c r="V43" s="342">
        <f t="shared" si="11"/>
        <v>109060.8</v>
      </c>
      <c r="W43" s="342">
        <f t="shared" si="12"/>
        <v>1254199.2</v>
      </c>
      <c r="X43" s="320"/>
      <c r="Y43" s="321"/>
      <c r="Z43" s="322"/>
      <c r="AA43" s="323"/>
      <c r="AB43" s="324"/>
      <c r="AC43" s="325"/>
      <c r="AD43" s="325"/>
      <c r="AE43" s="323"/>
      <c r="AF43" s="323"/>
      <c r="AG43" s="325"/>
      <c r="AH43" s="325"/>
      <c r="AI43" s="325"/>
      <c r="AJ43" s="325"/>
      <c r="AK43" s="325"/>
    </row>
    <row r="44" spans="2:37" x14ac:dyDescent="0.25">
      <c r="C44" s="343"/>
      <c r="D44" s="329"/>
      <c r="E44" s="340"/>
      <c r="F44" s="339"/>
      <c r="G44" s="338"/>
      <c r="H44" s="341"/>
      <c r="I44" s="342"/>
      <c r="J44" s="342"/>
      <c r="K44" s="342"/>
      <c r="L44" s="342"/>
      <c r="M44" s="342"/>
      <c r="N44" s="342"/>
      <c r="O44" s="313"/>
      <c r="P44" s="342"/>
      <c r="Q44" s="338"/>
      <c r="R44" s="338"/>
      <c r="S44" s="342"/>
      <c r="T44" s="342"/>
      <c r="U44" s="342"/>
      <c r="V44" s="342"/>
      <c r="W44" s="342"/>
    </row>
    <row r="45" spans="2:37" x14ac:dyDescent="0.25">
      <c r="C45" s="330"/>
      <c r="D45" s="331"/>
      <c r="E45" s="332"/>
      <c r="F45" s="333"/>
      <c r="G45" s="334"/>
      <c r="H45" s="335"/>
      <c r="I45" s="336"/>
      <c r="J45" s="336"/>
      <c r="K45" s="334"/>
      <c r="L45" s="334"/>
      <c r="M45" s="336"/>
      <c r="N45" s="336"/>
      <c r="O45" s="336"/>
      <c r="P45" s="336"/>
      <c r="Q45" s="336"/>
      <c r="R45" s="337"/>
      <c r="S45" s="28"/>
      <c r="V45" s="310" t="s">
        <v>1726</v>
      </c>
      <c r="W45" s="352">
        <f>SUM(W30:W44)</f>
        <v>27290828.479999997</v>
      </c>
    </row>
    <row r="49" spans="3:23" x14ac:dyDescent="0.25">
      <c r="U49" s="326"/>
      <c r="V49" s="327"/>
      <c r="W49" s="328"/>
    </row>
    <row r="51" spans="3:23" x14ac:dyDescent="0.25">
      <c r="C51" s="1117" t="s">
        <v>1740</v>
      </c>
      <c r="D51" s="1117"/>
      <c r="E51" s="1117"/>
      <c r="F51" s="1117"/>
      <c r="G51" s="1117"/>
      <c r="H51" s="1117"/>
      <c r="I51" s="1117"/>
      <c r="L51" s="1117" t="s">
        <v>1739</v>
      </c>
      <c r="M51" s="1117"/>
      <c r="N51" s="1117"/>
      <c r="O51" s="1117"/>
      <c r="P51" s="1117"/>
      <c r="S51" s="1117" t="s">
        <v>1741</v>
      </c>
      <c r="T51" s="1117"/>
      <c r="U51" s="1117"/>
    </row>
    <row r="52" spans="3:23" x14ac:dyDescent="0.25">
      <c r="C52" s="1418" t="s">
        <v>1688</v>
      </c>
      <c r="D52" s="1418" t="s">
        <v>1696</v>
      </c>
      <c r="E52" s="1418" t="s">
        <v>1743</v>
      </c>
      <c r="F52" s="1418" t="s">
        <v>1744</v>
      </c>
      <c r="G52" s="1422" t="s">
        <v>1745</v>
      </c>
      <c r="H52" s="1422" t="s">
        <v>1746</v>
      </c>
      <c r="I52" s="1452" t="s">
        <v>295</v>
      </c>
      <c r="L52" s="1418" t="s">
        <v>1688</v>
      </c>
      <c r="M52" s="1418" t="s">
        <v>1696</v>
      </c>
      <c r="N52" s="1117" t="s">
        <v>1700</v>
      </c>
      <c r="O52" s="1452" t="s">
        <v>1734</v>
      </c>
      <c r="P52" s="1452" t="s">
        <v>295</v>
      </c>
      <c r="S52" s="1418" t="s">
        <v>1688</v>
      </c>
      <c r="T52" s="1422" t="s">
        <v>1696</v>
      </c>
      <c r="U52" s="1460" t="s">
        <v>1742</v>
      </c>
    </row>
    <row r="53" spans="3:23" x14ac:dyDescent="0.25">
      <c r="C53" s="1419"/>
      <c r="D53" s="1418"/>
      <c r="E53" s="1419"/>
      <c r="F53" s="1419"/>
      <c r="G53" s="1421"/>
      <c r="H53" s="1423"/>
      <c r="I53" s="1452"/>
      <c r="L53" s="1419"/>
      <c r="M53" s="1418"/>
      <c r="N53" s="1117"/>
      <c r="O53" s="1452"/>
      <c r="P53" s="1452"/>
      <c r="S53" s="1453"/>
      <c r="T53" s="1423"/>
      <c r="U53" s="1461"/>
    </row>
    <row r="54" spans="3:23" x14ac:dyDescent="0.25">
      <c r="C54" s="308">
        <v>1</v>
      </c>
      <c r="D54" s="370" t="s">
        <v>252</v>
      </c>
      <c r="E54" s="371">
        <f t="shared" ref="E54:E67" si="22">Q30*0.0833</f>
        <v>277477.6312</v>
      </c>
      <c r="F54" s="372">
        <f t="shared" ref="F54:F67" si="23">Q30*0.0833</f>
        <v>277477.6312</v>
      </c>
      <c r="G54" s="373">
        <f>E54*0.01</f>
        <v>2774.776312</v>
      </c>
      <c r="H54" s="374">
        <f t="shared" ref="H54:H67" si="24">G30*0.0416</f>
        <v>100172.79999999999</v>
      </c>
      <c r="I54" s="375">
        <f>SUM(E54:H54)</f>
        <v>657902.83871200006</v>
      </c>
      <c r="L54" s="308">
        <v>1</v>
      </c>
      <c r="M54" s="370" t="s">
        <v>252</v>
      </c>
      <c r="N54" s="376">
        <f t="shared" ref="N54:N67" si="25">Q30*0.12</f>
        <v>399727.68</v>
      </c>
      <c r="O54" s="375">
        <f t="shared" ref="O54:O67" si="26">Q30*0.00552</f>
        <v>18387.473279999998</v>
      </c>
      <c r="P54" s="375">
        <f>SUM(N54:O54)</f>
        <v>418115.15327999997</v>
      </c>
      <c r="S54" s="308">
        <v>1</v>
      </c>
      <c r="T54" s="370" t="s">
        <v>252</v>
      </c>
      <c r="U54" s="376">
        <f t="shared" ref="U54:U67" si="27">Q30*0.04</f>
        <v>133242.56</v>
      </c>
    </row>
    <row r="55" spans="3:23" x14ac:dyDescent="0.25">
      <c r="C55" s="308">
        <v>2</v>
      </c>
      <c r="D55" s="370" t="s">
        <v>285</v>
      </c>
      <c r="E55" s="371">
        <f t="shared" si="22"/>
        <v>277477.6312</v>
      </c>
      <c r="F55" s="372">
        <f t="shared" si="23"/>
        <v>277477.6312</v>
      </c>
      <c r="G55" s="373">
        <f t="shared" ref="G55:G67" si="28">E55*0.01</f>
        <v>2774.776312</v>
      </c>
      <c r="H55" s="374">
        <f t="shared" si="24"/>
        <v>100172.79999999999</v>
      </c>
      <c r="I55" s="375">
        <f t="shared" ref="I55:I67" si="29">SUM(E55:H55)</f>
        <v>657902.83871200006</v>
      </c>
      <c r="L55" s="308">
        <v>2</v>
      </c>
      <c r="M55" s="370" t="s">
        <v>285</v>
      </c>
      <c r="N55" s="376">
        <f t="shared" si="25"/>
        <v>399727.68</v>
      </c>
      <c r="O55" s="375">
        <f t="shared" si="26"/>
        <v>18387.473279999998</v>
      </c>
      <c r="P55" s="375">
        <f t="shared" ref="P55:P67" si="30">SUM(N55:O55)</f>
        <v>418115.15327999997</v>
      </c>
      <c r="S55" s="308">
        <v>2</v>
      </c>
      <c r="T55" s="370" t="s">
        <v>285</v>
      </c>
      <c r="U55" s="376">
        <f t="shared" si="27"/>
        <v>133242.56</v>
      </c>
    </row>
    <row r="56" spans="3:23" x14ac:dyDescent="0.25">
      <c r="C56" s="565">
        <v>3</v>
      </c>
      <c r="D56" s="370" t="s">
        <v>1593</v>
      </c>
      <c r="E56" s="371">
        <f t="shared" si="22"/>
        <v>217981.2726</v>
      </c>
      <c r="F56" s="372">
        <f t="shared" si="23"/>
        <v>217981.2726</v>
      </c>
      <c r="G56" s="373">
        <f t="shared" si="28"/>
        <v>2179.8127260000001</v>
      </c>
      <c r="H56" s="374">
        <f t="shared" si="24"/>
        <v>88264.8</v>
      </c>
      <c r="I56" s="375">
        <f t="shared" si="29"/>
        <v>526407.15792599996</v>
      </c>
      <c r="L56" s="565">
        <v>3</v>
      </c>
      <c r="M56" s="370" t="s">
        <v>1593</v>
      </c>
      <c r="N56" s="376">
        <f t="shared" si="25"/>
        <v>314018.64</v>
      </c>
      <c r="O56" s="375">
        <f t="shared" si="26"/>
        <v>14444.85744</v>
      </c>
      <c r="P56" s="375">
        <f t="shared" si="30"/>
        <v>328463.49744000001</v>
      </c>
      <c r="S56" s="565">
        <v>3</v>
      </c>
      <c r="T56" s="370" t="s">
        <v>1593</v>
      </c>
      <c r="U56" s="376">
        <f t="shared" si="27"/>
        <v>104672.88</v>
      </c>
    </row>
    <row r="57" spans="3:23" x14ac:dyDescent="0.25">
      <c r="C57" s="565">
        <v>4</v>
      </c>
      <c r="D57" s="370" t="s">
        <v>1593</v>
      </c>
      <c r="E57" s="371">
        <f t="shared" si="22"/>
        <v>217981.2726</v>
      </c>
      <c r="F57" s="372">
        <f t="shared" si="23"/>
        <v>217981.2726</v>
      </c>
      <c r="G57" s="373">
        <f t="shared" si="28"/>
        <v>2179.8127260000001</v>
      </c>
      <c r="H57" s="374">
        <f t="shared" si="24"/>
        <v>88264.8</v>
      </c>
      <c r="I57" s="375">
        <f t="shared" si="29"/>
        <v>526407.15792599996</v>
      </c>
      <c r="L57" s="565">
        <v>4</v>
      </c>
      <c r="M57" s="370" t="s">
        <v>1593</v>
      </c>
      <c r="N57" s="376">
        <f t="shared" si="25"/>
        <v>314018.64</v>
      </c>
      <c r="O57" s="375">
        <f t="shared" si="26"/>
        <v>14444.85744</v>
      </c>
      <c r="P57" s="375">
        <f t="shared" si="30"/>
        <v>328463.49744000001</v>
      </c>
      <c r="S57" s="565">
        <v>4</v>
      </c>
      <c r="T57" s="370" t="s">
        <v>1593</v>
      </c>
      <c r="U57" s="376">
        <f t="shared" si="27"/>
        <v>104672.88</v>
      </c>
    </row>
    <row r="58" spans="3:23" x14ac:dyDescent="0.25">
      <c r="C58" s="565">
        <v>5</v>
      </c>
      <c r="D58" s="370" t="s">
        <v>1403</v>
      </c>
      <c r="E58" s="371">
        <f t="shared" si="22"/>
        <v>217981.2726</v>
      </c>
      <c r="F58" s="372">
        <f t="shared" si="23"/>
        <v>217981.2726</v>
      </c>
      <c r="G58" s="373">
        <f t="shared" si="28"/>
        <v>2179.8127260000001</v>
      </c>
      <c r="H58" s="374">
        <f t="shared" si="24"/>
        <v>88264.8</v>
      </c>
      <c r="I58" s="375">
        <f t="shared" si="29"/>
        <v>526407.15792599996</v>
      </c>
      <c r="L58" s="565">
        <v>5</v>
      </c>
      <c r="M58" s="370" t="s">
        <v>1403</v>
      </c>
      <c r="N58" s="376">
        <f t="shared" si="25"/>
        <v>314018.64</v>
      </c>
      <c r="O58" s="375">
        <f t="shared" si="26"/>
        <v>14444.85744</v>
      </c>
      <c r="P58" s="375">
        <f t="shared" si="30"/>
        <v>328463.49744000001</v>
      </c>
      <c r="S58" s="565">
        <v>5</v>
      </c>
      <c r="T58" s="370" t="s">
        <v>1403</v>
      </c>
      <c r="U58" s="376">
        <f t="shared" si="27"/>
        <v>104672.88</v>
      </c>
    </row>
    <row r="59" spans="3:23" x14ac:dyDescent="0.25">
      <c r="C59" s="565">
        <v>6</v>
      </c>
      <c r="D59" s="370" t="s">
        <v>1403</v>
      </c>
      <c r="E59" s="371">
        <f t="shared" si="22"/>
        <v>217981.2726</v>
      </c>
      <c r="F59" s="372">
        <f t="shared" si="23"/>
        <v>217981.2726</v>
      </c>
      <c r="G59" s="373">
        <f t="shared" si="28"/>
        <v>2179.8127260000001</v>
      </c>
      <c r="H59" s="374">
        <f t="shared" si="24"/>
        <v>88264.8</v>
      </c>
      <c r="I59" s="375">
        <f t="shared" si="29"/>
        <v>526407.15792599996</v>
      </c>
      <c r="L59" s="565">
        <v>6</v>
      </c>
      <c r="M59" s="370" t="s">
        <v>1403</v>
      </c>
      <c r="N59" s="376">
        <f t="shared" si="25"/>
        <v>314018.64</v>
      </c>
      <c r="O59" s="375">
        <f t="shared" si="26"/>
        <v>14444.85744</v>
      </c>
      <c r="P59" s="375">
        <f t="shared" si="30"/>
        <v>328463.49744000001</v>
      </c>
      <c r="S59" s="565">
        <v>6</v>
      </c>
      <c r="T59" s="370" t="s">
        <v>1403</v>
      </c>
      <c r="U59" s="376">
        <f t="shared" si="27"/>
        <v>104672.88</v>
      </c>
    </row>
    <row r="60" spans="3:23" x14ac:dyDescent="0.25">
      <c r="C60" s="565">
        <v>7</v>
      </c>
      <c r="D60" s="370" t="s">
        <v>300</v>
      </c>
      <c r="E60" s="371">
        <f t="shared" si="22"/>
        <v>102207.43399999999</v>
      </c>
      <c r="F60" s="372">
        <f t="shared" si="23"/>
        <v>102207.43399999999</v>
      </c>
      <c r="G60" s="373">
        <f t="shared" si="28"/>
        <v>1022.07434</v>
      </c>
      <c r="H60" s="374">
        <f t="shared" si="24"/>
        <v>37794.681599999996</v>
      </c>
      <c r="I60" s="375">
        <f t="shared" si="29"/>
        <v>243231.62393999996</v>
      </c>
      <c r="L60" s="565">
        <v>7</v>
      </c>
      <c r="M60" s="370" t="s">
        <v>300</v>
      </c>
      <c r="N60" s="376">
        <f t="shared" si="25"/>
        <v>147237.6</v>
      </c>
      <c r="O60" s="375">
        <f t="shared" si="26"/>
        <v>6772.9295999999995</v>
      </c>
      <c r="P60" s="375">
        <f t="shared" si="30"/>
        <v>154010.52960000001</v>
      </c>
      <c r="S60" s="565">
        <v>7</v>
      </c>
      <c r="T60" s="370" t="s">
        <v>300</v>
      </c>
      <c r="U60" s="376">
        <f t="shared" si="27"/>
        <v>49079.200000000004</v>
      </c>
    </row>
    <row r="61" spans="3:23" x14ac:dyDescent="0.25">
      <c r="C61" s="565">
        <v>8</v>
      </c>
      <c r="D61" s="370" t="s">
        <v>300</v>
      </c>
      <c r="E61" s="371">
        <f t="shared" si="22"/>
        <v>102207.43399999999</v>
      </c>
      <c r="F61" s="372">
        <f t="shared" si="23"/>
        <v>102207.43399999999</v>
      </c>
      <c r="G61" s="373">
        <f t="shared" si="28"/>
        <v>1022.07434</v>
      </c>
      <c r="H61" s="374">
        <f t="shared" si="24"/>
        <v>37794.681599999996</v>
      </c>
      <c r="I61" s="375">
        <f t="shared" si="29"/>
        <v>243231.62393999996</v>
      </c>
      <c r="L61" s="565">
        <v>8</v>
      </c>
      <c r="M61" s="370" t="s">
        <v>300</v>
      </c>
      <c r="N61" s="376">
        <f t="shared" si="25"/>
        <v>147237.6</v>
      </c>
      <c r="O61" s="375">
        <f t="shared" si="26"/>
        <v>6772.9295999999995</v>
      </c>
      <c r="P61" s="375">
        <f t="shared" si="30"/>
        <v>154010.52960000001</v>
      </c>
      <c r="S61" s="565">
        <v>8</v>
      </c>
      <c r="T61" s="370" t="s">
        <v>300</v>
      </c>
      <c r="U61" s="376">
        <f t="shared" si="27"/>
        <v>49079.200000000004</v>
      </c>
    </row>
    <row r="62" spans="3:23" x14ac:dyDescent="0.25">
      <c r="C62" s="565">
        <v>9</v>
      </c>
      <c r="D62" s="370" t="s">
        <v>253</v>
      </c>
      <c r="E62" s="371">
        <f t="shared" si="22"/>
        <v>113559.558</v>
      </c>
      <c r="F62" s="372">
        <f t="shared" si="23"/>
        <v>113559.558</v>
      </c>
      <c r="G62" s="373">
        <f t="shared" si="28"/>
        <v>1135.5955800000002</v>
      </c>
      <c r="H62" s="374">
        <f t="shared" si="24"/>
        <v>37794.681599999996</v>
      </c>
      <c r="I62" s="375">
        <f t="shared" si="29"/>
        <v>266049.39318000001</v>
      </c>
      <c r="L62" s="565">
        <v>9</v>
      </c>
      <c r="M62" s="370" t="s">
        <v>253</v>
      </c>
      <c r="N62" s="376">
        <f t="shared" si="25"/>
        <v>163591.19999999998</v>
      </c>
      <c r="O62" s="375">
        <f t="shared" si="26"/>
        <v>7525.1951999999992</v>
      </c>
      <c r="P62" s="375">
        <f t="shared" si="30"/>
        <v>171116.39519999997</v>
      </c>
      <c r="S62" s="565">
        <v>9</v>
      </c>
      <c r="T62" s="370" t="s">
        <v>253</v>
      </c>
      <c r="U62" s="376">
        <f t="shared" si="27"/>
        <v>54530.400000000001</v>
      </c>
    </row>
    <row r="63" spans="3:23" x14ac:dyDescent="0.25">
      <c r="C63" s="565">
        <v>10</v>
      </c>
      <c r="D63" s="370" t="s">
        <v>253</v>
      </c>
      <c r="E63" s="371">
        <f t="shared" si="22"/>
        <v>113559.558</v>
      </c>
      <c r="F63" s="372">
        <f t="shared" si="23"/>
        <v>113559.558</v>
      </c>
      <c r="G63" s="373">
        <f t="shared" si="28"/>
        <v>1135.5955800000002</v>
      </c>
      <c r="H63" s="374">
        <f t="shared" si="24"/>
        <v>37794.681599999996</v>
      </c>
      <c r="I63" s="375">
        <f t="shared" si="29"/>
        <v>266049.39318000001</v>
      </c>
      <c r="L63" s="565">
        <v>10</v>
      </c>
      <c r="M63" s="370" t="s">
        <v>253</v>
      </c>
      <c r="N63" s="376">
        <f t="shared" si="25"/>
        <v>163591.19999999998</v>
      </c>
      <c r="O63" s="375">
        <f t="shared" si="26"/>
        <v>7525.1951999999992</v>
      </c>
      <c r="P63" s="375">
        <f t="shared" si="30"/>
        <v>171116.39519999997</v>
      </c>
      <c r="S63" s="565">
        <v>10</v>
      </c>
      <c r="T63" s="370" t="s">
        <v>253</v>
      </c>
      <c r="U63" s="376">
        <f t="shared" si="27"/>
        <v>54530.400000000001</v>
      </c>
    </row>
    <row r="64" spans="3:23" x14ac:dyDescent="0.25">
      <c r="C64" s="565">
        <v>11</v>
      </c>
      <c r="D64" s="370" t="s">
        <v>253</v>
      </c>
      <c r="E64" s="371">
        <f t="shared" si="22"/>
        <v>113559.558</v>
      </c>
      <c r="F64" s="372">
        <f t="shared" si="23"/>
        <v>113559.558</v>
      </c>
      <c r="G64" s="373">
        <f t="shared" si="28"/>
        <v>1135.5955800000002</v>
      </c>
      <c r="H64" s="374">
        <f t="shared" si="24"/>
        <v>37794.681599999996</v>
      </c>
      <c r="I64" s="375">
        <f t="shared" si="29"/>
        <v>266049.39318000001</v>
      </c>
      <c r="L64" s="565">
        <v>11</v>
      </c>
      <c r="M64" s="370" t="s">
        <v>2307</v>
      </c>
      <c r="N64" s="376">
        <f t="shared" si="25"/>
        <v>163591.19999999998</v>
      </c>
      <c r="O64" s="375">
        <f t="shared" si="26"/>
        <v>7525.1951999999992</v>
      </c>
      <c r="P64" s="375">
        <f t="shared" si="30"/>
        <v>171116.39519999997</v>
      </c>
      <c r="S64" s="565">
        <v>11</v>
      </c>
      <c r="T64" s="370" t="s">
        <v>2307</v>
      </c>
      <c r="U64" s="376">
        <f t="shared" si="27"/>
        <v>54530.400000000001</v>
      </c>
    </row>
    <row r="65" spans="3:21" x14ac:dyDescent="0.25">
      <c r="C65" s="565">
        <v>12</v>
      </c>
      <c r="D65" s="370" t="s">
        <v>1105</v>
      </c>
      <c r="E65" s="371">
        <f t="shared" si="22"/>
        <v>113559.558</v>
      </c>
      <c r="F65" s="372">
        <f t="shared" si="23"/>
        <v>113559.558</v>
      </c>
      <c r="G65" s="373">
        <f t="shared" si="28"/>
        <v>1135.5955800000002</v>
      </c>
      <c r="H65" s="374">
        <f t="shared" si="24"/>
        <v>37794.681599999996</v>
      </c>
      <c r="I65" s="375">
        <f t="shared" si="29"/>
        <v>266049.39318000001</v>
      </c>
      <c r="L65" s="565">
        <v>12</v>
      </c>
      <c r="M65" s="370" t="s">
        <v>1105</v>
      </c>
      <c r="N65" s="376">
        <f t="shared" si="25"/>
        <v>163591.19999999998</v>
      </c>
      <c r="O65" s="375">
        <f t="shared" si="26"/>
        <v>7525.1951999999992</v>
      </c>
      <c r="P65" s="375">
        <f t="shared" si="30"/>
        <v>171116.39519999997</v>
      </c>
      <c r="S65" s="565">
        <v>12</v>
      </c>
      <c r="T65" s="370" t="s">
        <v>1105</v>
      </c>
      <c r="U65" s="376">
        <f t="shared" si="27"/>
        <v>54530.400000000001</v>
      </c>
    </row>
    <row r="66" spans="3:21" x14ac:dyDescent="0.25">
      <c r="C66" s="565">
        <v>13</v>
      </c>
      <c r="D66" s="370" t="s">
        <v>1600</v>
      </c>
      <c r="E66" s="371">
        <f t="shared" si="22"/>
        <v>271913.52439999999</v>
      </c>
      <c r="F66" s="372">
        <f t="shared" si="23"/>
        <v>271913.52439999999</v>
      </c>
      <c r="G66" s="373">
        <f t="shared" si="28"/>
        <v>2719.1352440000001</v>
      </c>
      <c r="H66" s="374">
        <f t="shared" si="24"/>
        <v>100172.79999999999</v>
      </c>
      <c r="I66" s="375">
        <f t="shared" si="29"/>
        <v>646718.98404400004</v>
      </c>
      <c r="L66" s="565">
        <v>13</v>
      </c>
      <c r="M66" s="370" t="s">
        <v>1600</v>
      </c>
      <c r="N66" s="376">
        <f t="shared" si="25"/>
        <v>391712.16</v>
      </c>
      <c r="O66" s="375">
        <f t="shared" si="26"/>
        <v>18018.75936</v>
      </c>
      <c r="P66" s="375">
        <f t="shared" si="30"/>
        <v>409730.91936</v>
      </c>
      <c r="S66" s="565">
        <v>13</v>
      </c>
      <c r="T66" s="370" t="s">
        <v>1600</v>
      </c>
      <c r="U66" s="376">
        <f t="shared" si="27"/>
        <v>130570.72</v>
      </c>
    </row>
    <row r="67" spans="3:21" x14ac:dyDescent="0.25">
      <c r="C67" s="565">
        <v>14</v>
      </c>
      <c r="D67" s="370" t="s">
        <v>273</v>
      </c>
      <c r="E67" s="371">
        <f t="shared" si="22"/>
        <v>113559.558</v>
      </c>
      <c r="F67" s="372">
        <f t="shared" si="23"/>
        <v>113559.558</v>
      </c>
      <c r="G67" s="373">
        <f t="shared" si="28"/>
        <v>1135.5955800000002</v>
      </c>
      <c r="H67" s="374">
        <f t="shared" si="24"/>
        <v>37794.681599999996</v>
      </c>
      <c r="I67" s="375">
        <f t="shared" si="29"/>
        <v>266049.39318000001</v>
      </c>
      <c r="L67" s="565">
        <v>14</v>
      </c>
      <c r="M67" s="370" t="s">
        <v>273</v>
      </c>
      <c r="N67" s="376">
        <f t="shared" si="25"/>
        <v>163591.19999999998</v>
      </c>
      <c r="O67" s="375">
        <f t="shared" si="26"/>
        <v>7525.1951999999992</v>
      </c>
      <c r="P67" s="375">
        <f t="shared" si="30"/>
        <v>171116.39519999997</v>
      </c>
      <c r="S67" s="565">
        <v>14</v>
      </c>
      <c r="T67" s="370" t="s">
        <v>273</v>
      </c>
      <c r="U67" s="376">
        <f t="shared" si="27"/>
        <v>54530.400000000001</v>
      </c>
    </row>
    <row r="72" spans="3:21" x14ac:dyDescent="0.25">
      <c r="K72" s="1418" t="s">
        <v>1688</v>
      </c>
      <c r="L72" s="1418" t="s">
        <v>1696</v>
      </c>
      <c r="M72" s="1418" t="s">
        <v>1735</v>
      </c>
      <c r="N72" s="1418" t="s">
        <v>1736</v>
      </c>
      <c r="O72" s="1420" t="s">
        <v>1737</v>
      </c>
      <c r="P72" s="1422" t="s">
        <v>1738</v>
      </c>
      <c r="Q72" s="1420" t="s">
        <v>337</v>
      </c>
    </row>
    <row r="73" spans="3:21" x14ac:dyDescent="0.25">
      <c r="K73" s="1453"/>
      <c r="L73" s="1418"/>
      <c r="M73" s="1453"/>
      <c r="N73" s="1453"/>
      <c r="O73" s="1421"/>
      <c r="P73" s="1423"/>
      <c r="Q73" s="1421"/>
    </row>
    <row r="74" spans="3:21" x14ac:dyDescent="0.25">
      <c r="K74" s="308">
        <v>1</v>
      </c>
      <c r="L74" s="370" t="s">
        <v>252</v>
      </c>
      <c r="M74" s="371">
        <f t="shared" ref="M74:M87" si="31">W30</f>
        <v>3064578.88</v>
      </c>
      <c r="N74" s="372">
        <f t="shared" ref="N74:N87" si="32">P54</f>
        <v>418115.15327999997</v>
      </c>
      <c r="O74" s="373">
        <f t="shared" ref="O74:O87" si="33">I54</f>
        <v>657902.83871200006</v>
      </c>
      <c r="P74" s="374">
        <f t="shared" ref="P74:P87" si="34">U54</f>
        <v>133242.56</v>
      </c>
      <c r="Q74" s="375">
        <f>SUM(M74:P74)</f>
        <v>4273839.431992</v>
      </c>
    </row>
    <row r="75" spans="3:21" x14ac:dyDescent="0.25">
      <c r="K75" s="308">
        <v>2</v>
      </c>
      <c r="L75" s="370" t="s">
        <v>285</v>
      </c>
      <c r="M75" s="371">
        <f t="shared" si="31"/>
        <v>3064578.88</v>
      </c>
      <c r="N75" s="372">
        <f t="shared" si="32"/>
        <v>418115.15327999997</v>
      </c>
      <c r="O75" s="373">
        <f t="shared" si="33"/>
        <v>657902.83871200006</v>
      </c>
      <c r="P75" s="374">
        <f t="shared" si="34"/>
        <v>133242.56</v>
      </c>
      <c r="Q75" s="375">
        <f t="shared" ref="Q75:Q87" si="35">SUM(M75:P75)</f>
        <v>4273839.431992</v>
      </c>
    </row>
    <row r="76" spans="3:21" x14ac:dyDescent="0.25">
      <c r="K76" s="565">
        <v>3</v>
      </c>
      <c r="L76" s="370" t="s">
        <v>1593</v>
      </c>
      <c r="M76" s="371">
        <f t="shared" si="31"/>
        <v>2407476.2400000002</v>
      </c>
      <c r="N76" s="372">
        <f t="shared" si="32"/>
        <v>328463.49744000001</v>
      </c>
      <c r="O76" s="373">
        <f t="shared" si="33"/>
        <v>526407.15792599996</v>
      </c>
      <c r="P76" s="374">
        <f t="shared" si="34"/>
        <v>104672.88</v>
      </c>
      <c r="Q76" s="375">
        <f t="shared" si="35"/>
        <v>3367019.7753659999</v>
      </c>
    </row>
    <row r="77" spans="3:21" x14ac:dyDescent="0.25">
      <c r="K77" s="565">
        <v>4</v>
      </c>
      <c r="L77" s="370" t="s">
        <v>1593</v>
      </c>
      <c r="M77" s="371">
        <f t="shared" si="31"/>
        <v>2407476.2400000002</v>
      </c>
      <c r="N77" s="372">
        <f t="shared" si="32"/>
        <v>328463.49744000001</v>
      </c>
      <c r="O77" s="373">
        <f t="shared" si="33"/>
        <v>526407.15792599996</v>
      </c>
      <c r="P77" s="374">
        <f t="shared" si="34"/>
        <v>104672.88</v>
      </c>
      <c r="Q77" s="375">
        <f t="shared" si="35"/>
        <v>3367019.7753659999</v>
      </c>
    </row>
    <row r="78" spans="3:21" x14ac:dyDescent="0.25">
      <c r="K78" s="565">
        <v>5</v>
      </c>
      <c r="L78" s="370" t="s">
        <v>1403</v>
      </c>
      <c r="M78" s="371">
        <f t="shared" si="31"/>
        <v>2407476.2400000002</v>
      </c>
      <c r="N78" s="372">
        <f t="shared" si="32"/>
        <v>328463.49744000001</v>
      </c>
      <c r="O78" s="373">
        <f t="shared" si="33"/>
        <v>526407.15792599996</v>
      </c>
      <c r="P78" s="374">
        <f t="shared" si="34"/>
        <v>104672.88</v>
      </c>
      <c r="Q78" s="375">
        <f t="shared" si="35"/>
        <v>3367019.7753659999</v>
      </c>
    </row>
    <row r="79" spans="3:21" x14ac:dyDescent="0.25">
      <c r="K79" s="565">
        <v>6</v>
      </c>
      <c r="L79" s="370" t="s">
        <v>1403</v>
      </c>
      <c r="M79" s="371">
        <f t="shared" si="31"/>
        <v>2407476.2400000002</v>
      </c>
      <c r="N79" s="372">
        <f t="shared" si="32"/>
        <v>328463.49744000001</v>
      </c>
      <c r="O79" s="373">
        <f t="shared" si="33"/>
        <v>526407.15792599996</v>
      </c>
      <c r="P79" s="374">
        <f t="shared" si="34"/>
        <v>104672.88</v>
      </c>
      <c r="Q79" s="375">
        <f t="shared" si="35"/>
        <v>3367019.7753659999</v>
      </c>
    </row>
    <row r="80" spans="3:21" x14ac:dyDescent="0.25">
      <c r="K80" s="565">
        <v>7</v>
      </c>
      <c r="L80" s="370" t="s">
        <v>300</v>
      </c>
      <c r="M80" s="371">
        <f t="shared" si="31"/>
        <v>1128821.6000000001</v>
      </c>
      <c r="N80" s="372">
        <f t="shared" si="32"/>
        <v>154010.52960000001</v>
      </c>
      <c r="O80" s="373">
        <f t="shared" si="33"/>
        <v>243231.62393999996</v>
      </c>
      <c r="P80" s="374">
        <f t="shared" si="34"/>
        <v>49079.200000000004</v>
      </c>
      <c r="Q80" s="375">
        <f t="shared" si="35"/>
        <v>1575142.9535399999</v>
      </c>
    </row>
    <row r="81" spans="11:18" x14ac:dyDescent="0.25">
      <c r="K81" s="565">
        <v>8</v>
      </c>
      <c r="L81" s="370" t="s">
        <v>300</v>
      </c>
      <c r="M81" s="371">
        <f t="shared" si="31"/>
        <v>1128821.6000000001</v>
      </c>
      <c r="N81" s="372">
        <f t="shared" si="32"/>
        <v>154010.52960000001</v>
      </c>
      <c r="O81" s="373">
        <f t="shared" si="33"/>
        <v>243231.62393999996</v>
      </c>
      <c r="P81" s="374">
        <f t="shared" si="34"/>
        <v>49079.200000000004</v>
      </c>
      <c r="Q81" s="375">
        <f t="shared" si="35"/>
        <v>1575142.9535399999</v>
      </c>
    </row>
    <row r="82" spans="11:18" x14ac:dyDescent="0.25">
      <c r="K82" s="565">
        <v>9</v>
      </c>
      <c r="L82" s="370" t="s">
        <v>253</v>
      </c>
      <c r="M82" s="371">
        <f t="shared" si="31"/>
        <v>1254199.2</v>
      </c>
      <c r="N82" s="372">
        <f t="shared" si="32"/>
        <v>171116.39519999997</v>
      </c>
      <c r="O82" s="373">
        <f t="shared" si="33"/>
        <v>266049.39318000001</v>
      </c>
      <c r="P82" s="374">
        <f t="shared" si="34"/>
        <v>54530.400000000001</v>
      </c>
      <c r="Q82" s="375">
        <f t="shared" si="35"/>
        <v>1745895.3883799999</v>
      </c>
    </row>
    <row r="83" spans="11:18" x14ac:dyDescent="0.25">
      <c r="K83" s="565">
        <v>10</v>
      </c>
      <c r="L83" s="370" t="s">
        <v>253</v>
      </c>
      <c r="M83" s="371">
        <f t="shared" si="31"/>
        <v>1254199.2</v>
      </c>
      <c r="N83" s="372">
        <f t="shared" si="32"/>
        <v>171116.39519999997</v>
      </c>
      <c r="O83" s="373">
        <f t="shared" si="33"/>
        <v>266049.39318000001</v>
      </c>
      <c r="P83" s="374">
        <f t="shared" si="34"/>
        <v>54530.400000000001</v>
      </c>
      <c r="Q83" s="375">
        <f t="shared" si="35"/>
        <v>1745895.3883799999</v>
      </c>
    </row>
    <row r="84" spans="11:18" x14ac:dyDescent="0.25">
      <c r="K84" s="565">
        <v>11</v>
      </c>
      <c r="L84" s="370" t="s">
        <v>2307</v>
      </c>
      <c r="M84" s="371">
        <f t="shared" si="31"/>
        <v>1254199.2</v>
      </c>
      <c r="N84" s="372">
        <f t="shared" si="32"/>
        <v>171116.39519999997</v>
      </c>
      <c r="O84" s="373">
        <f t="shared" si="33"/>
        <v>266049.39318000001</v>
      </c>
      <c r="P84" s="374">
        <f t="shared" si="34"/>
        <v>54530.400000000001</v>
      </c>
      <c r="Q84" s="375">
        <f t="shared" si="35"/>
        <v>1745895.3883799999</v>
      </c>
    </row>
    <row r="85" spans="11:18" x14ac:dyDescent="0.25">
      <c r="K85" s="565">
        <v>12</v>
      </c>
      <c r="L85" s="370" t="s">
        <v>1105</v>
      </c>
      <c r="M85" s="371">
        <f t="shared" si="31"/>
        <v>1254199.2</v>
      </c>
      <c r="N85" s="372">
        <f t="shared" si="32"/>
        <v>171116.39519999997</v>
      </c>
      <c r="O85" s="373">
        <f t="shared" si="33"/>
        <v>266049.39318000001</v>
      </c>
      <c r="P85" s="374">
        <f t="shared" si="34"/>
        <v>54530.400000000001</v>
      </c>
      <c r="Q85" s="375">
        <f t="shared" si="35"/>
        <v>1745895.3883799999</v>
      </c>
    </row>
    <row r="86" spans="11:18" x14ac:dyDescent="0.25">
      <c r="K86" s="565">
        <v>13</v>
      </c>
      <c r="L86" s="370" t="s">
        <v>1600</v>
      </c>
      <c r="M86" s="371">
        <f t="shared" si="31"/>
        <v>3003126.56</v>
      </c>
      <c r="N86" s="372">
        <f t="shared" si="32"/>
        <v>409730.91936</v>
      </c>
      <c r="O86" s="373">
        <f t="shared" si="33"/>
        <v>646718.98404400004</v>
      </c>
      <c r="P86" s="374">
        <f t="shared" si="34"/>
        <v>130570.72</v>
      </c>
      <c r="Q86" s="375">
        <f t="shared" si="35"/>
        <v>4190147.1834040005</v>
      </c>
    </row>
    <row r="87" spans="11:18" x14ac:dyDescent="0.25">
      <c r="K87" s="565">
        <v>14</v>
      </c>
      <c r="L87" s="370" t="s">
        <v>273</v>
      </c>
      <c r="M87" s="371">
        <f t="shared" si="31"/>
        <v>1254199.2</v>
      </c>
      <c r="N87" s="372">
        <f t="shared" si="32"/>
        <v>171116.39519999997</v>
      </c>
      <c r="O87" s="373">
        <f t="shared" si="33"/>
        <v>266049.39318000001</v>
      </c>
      <c r="P87" s="374">
        <f t="shared" si="34"/>
        <v>54530.400000000001</v>
      </c>
      <c r="Q87" s="375">
        <f t="shared" si="35"/>
        <v>1745895.3883799999</v>
      </c>
    </row>
    <row r="88" spans="11:18" x14ac:dyDescent="0.25">
      <c r="K88" s="887" t="s">
        <v>337</v>
      </c>
      <c r="L88" s="887"/>
      <c r="M88" s="887"/>
      <c r="N88" s="887"/>
      <c r="O88" s="887"/>
      <c r="P88" s="887"/>
      <c r="Q88" s="607">
        <f>SUM(Q74:Q87)</f>
        <v>38085667.997832</v>
      </c>
      <c r="R88" s="624">
        <f>Q88*4</f>
        <v>152342671.991328</v>
      </c>
    </row>
    <row r="89" spans="11:18" x14ac:dyDescent="0.25">
      <c r="K89" s="887" t="s">
        <v>1945</v>
      </c>
      <c r="L89" s="887"/>
      <c r="M89" s="887"/>
      <c r="N89" s="887"/>
      <c r="O89" s="887"/>
      <c r="P89" s="887"/>
      <c r="Q89" s="607">
        <f>Q74+Q86+Q84</f>
        <v>10209882.003776001</v>
      </c>
      <c r="R89" s="624">
        <f t="shared" ref="R89" si="36">Q89*4</f>
        <v>40839528.015104003</v>
      </c>
    </row>
    <row r="90" spans="11:18" x14ac:dyDescent="0.25">
      <c r="K90" s="887" t="s">
        <v>1946</v>
      </c>
      <c r="L90" s="887"/>
      <c r="M90" s="887"/>
      <c r="N90" s="887"/>
      <c r="O90" s="887"/>
      <c r="P90" s="887"/>
      <c r="Q90" s="607">
        <f>Q75+Q76+Q77+Q78+Q79+Q80+Q81+Q82+Q83+Q85+Q87</f>
        <v>27875785.994055998</v>
      </c>
      <c r="R90" s="624">
        <f>Q90*4</f>
        <v>111503143.97622399</v>
      </c>
    </row>
    <row r="91" spans="11:18" x14ac:dyDescent="0.25">
      <c r="K91" s="887" t="s">
        <v>2140</v>
      </c>
      <c r="L91" s="887"/>
      <c r="M91" s="887"/>
      <c r="N91" s="887"/>
      <c r="O91" s="887"/>
      <c r="P91" s="887"/>
      <c r="Q91" s="607">
        <f>Q88*12</f>
        <v>457028015.973984</v>
      </c>
    </row>
    <row r="92" spans="11:18" x14ac:dyDescent="0.25">
      <c r="K92" s="887" t="s">
        <v>1945</v>
      </c>
      <c r="L92" s="887"/>
      <c r="M92" s="887"/>
      <c r="N92" s="887"/>
      <c r="O92" s="887"/>
      <c r="P92" s="887"/>
      <c r="Q92" s="607">
        <f>Q89*12</f>
        <v>122518584.04531202</v>
      </c>
    </row>
    <row r="93" spans="11:18" x14ac:dyDescent="0.25">
      <c r="K93" s="887" t="s">
        <v>1946</v>
      </c>
      <c r="L93" s="887"/>
      <c r="M93" s="887"/>
      <c r="N93" s="887"/>
      <c r="O93" s="887"/>
      <c r="P93" s="887"/>
      <c r="Q93" s="607">
        <f>Q90*12</f>
        <v>334509431.92867196</v>
      </c>
    </row>
    <row r="98" spans="3:49" x14ac:dyDescent="0.25">
      <c r="C98" s="1117" t="s">
        <v>2265</v>
      </c>
      <c r="D98" s="1117"/>
      <c r="F98" s="1117" t="s">
        <v>2265</v>
      </c>
      <c r="G98" s="1117"/>
      <c r="I98" s="1117" t="s">
        <v>2265</v>
      </c>
      <c r="J98" s="1117"/>
      <c r="L98" s="1117" t="s">
        <v>2265</v>
      </c>
      <c r="M98" s="1117"/>
      <c r="N98" s="581"/>
      <c r="O98" s="1117" t="s">
        <v>2265</v>
      </c>
      <c r="P98" s="1117"/>
      <c r="Q98" s="581"/>
      <c r="R98" s="1117" t="s">
        <v>2265</v>
      </c>
      <c r="S98" s="1117"/>
      <c r="T98" s="581"/>
      <c r="U98" s="1117" t="s">
        <v>2265</v>
      </c>
      <c r="V98" s="1117"/>
      <c r="X98" s="670" t="s">
        <v>2265</v>
      </c>
      <c r="Y98" s="670"/>
      <c r="Z98" s="581"/>
      <c r="AA98" s="670" t="s">
        <v>2265</v>
      </c>
      <c r="AB98" s="670"/>
      <c r="AC98" s="581"/>
      <c r="AD98" s="670" t="s">
        <v>2265</v>
      </c>
      <c r="AE98" s="670"/>
      <c r="AF98" s="581"/>
      <c r="AG98" s="581"/>
      <c r="AH98" s="581"/>
      <c r="AI98" s="581"/>
      <c r="AJ98" s="581"/>
      <c r="AK98" s="581"/>
      <c r="AL98" s="581"/>
      <c r="AM98" s="581"/>
      <c r="AN98" s="581"/>
      <c r="AO98" s="581"/>
      <c r="AP98" s="581"/>
      <c r="AQ98" s="581"/>
      <c r="AR98" s="581"/>
      <c r="AS98" s="581"/>
      <c r="AT98" s="581"/>
      <c r="AU98" s="581"/>
      <c r="AV98" s="581"/>
      <c r="AW98" s="581"/>
    </row>
    <row r="99" spans="3:49" x14ac:dyDescent="0.25">
      <c r="C99" s="665" t="s">
        <v>2251</v>
      </c>
      <c r="D99" s="644" t="s">
        <v>252</v>
      </c>
      <c r="F99" s="665" t="s">
        <v>2251</v>
      </c>
      <c r="G99" s="644" t="s">
        <v>285</v>
      </c>
      <c r="I99" s="665" t="s">
        <v>2251</v>
      </c>
      <c r="J99" s="644" t="s">
        <v>1951</v>
      </c>
      <c r="L99" s="665" t="s">
        <v>2251</v>
      </c>
      <c r="M99" s="644" t="s">
        <v>1403</v>
      </c>
      <c r="N99" s="581"/>
      <c r="O99" s="665" t="s">
        <v>2251</v>
      </c>
      <c r="P99" s="644" t="s">
        <v>300</v>
      </c>
      <c r="Q99" s="581"/>
      <c r="R99" s="665" t="s">
        <v>2251</v>
      </c>
      <c r="S99" s="644" t="s">
        <v>253</v>
      </c>
      <c r="T99" s="581"/>
      <c r="U99" s="665" t="s">
        <v>2251</v>
      </c>
      <c r="V99" s="660" t="s">
        <v>2307</v>
      </c>
      <c r="X99" s="665" t="s">
        <v>2251</v>
      </c>
      <c r="Y99" s="660" t="s">
        <v>1105</v>
      </c>
      <c r="Z99" s="581"/>
      <c r="AA99" s="665" t="s">
        <v>2251</v>
      </c>
      <c r="AB99" s="660" t="s">
        <v>1600</v>
      </c>
      <c r="AC99" s="581"/>
      <c r="AD99" s="665" t="s">
        <v>2251</v>
      </c>
      <c r="AE99" s="660" t="s">
        <v>273</v>
      </c>
      <c r="AF99" s="581"/>
      <c r="AG99" s="581"/>
      <c r="AH99" s="581"/>
      <c r="AI99" s="581"/>
      <c r="AJ99" s="581"/>
      <c r="AK99" s="581"/>
      <c r="AL99" s="581"/>
      <c r="AM99" s="581"/>
      <c r="AN99" s="581"/>
      <c r="AO99" s="581"/>
      <c r="AP99" s="581"/>
      <c r="AQ99" s="581"/>
      <c r="AR99" s="581"/>
      <c r="AS99" s="581"/>
      <c r="AT99" s="581"/>
      <c r="AU99" s="581"/>
      <c r="AV99" s="581"/>
      <c r="AW99" s="581"/>
    </row>
    <row r="100" spans="3:49" x14ac:dyDescent="0.25">
      <c r="C100" s="665" t="s">
        <v>2252</v>
      </c>
      <c r="D100" s="644" t="s">
        <v>2259</v>
      </c>
      <c r="F100" s="665" t="s">
        <v>2252</v>
      </c>
      <c r="G100" s="644" t="s">
        <v>2260</v>
      </c>
      <c r="I100" s="665" t="s">
        <v>2252</v>
      </c>
      <c r="J100" s="644" t="s">
        <v>2260</v>
      </c>
      <c r="L100" s="665" t="s">
        <v>2252</v>
      </c>
      <c r="M100" s="644" t="s">
        <v>2260</v>
      </c>
      <c r="N100" s="581"/>
      <c r="O100" s="665" t="s">
        <v>2252</v>
      </c>
      <c r="P100" s="644" t="s">
        <v>2260</v>
      </c>
      <c r="Q100" s="581"/>
      <c r="R100" s="665" t="s">
        <v>2252</v>
      </c>
      <c r="S100" s="644" t="s">
        <v>1545</v>
      </c>
      <c r="T100" s="581"/>
      <c r="U100" s="665" t="s">
        <v>2252</v>
      </c>
      <c r="V100" s="660" t="s">
        <v>2310</v>
      </c>
      <c r="X100" s="665" t="s">
        <v>2252</v>
      </c>
      <c r="Y100" s="660" t="s">
        <v>1545</v>
      </c>
      <c r="Z100" s="581"/>
      <c r="AA100" s="665" t="s">
        <v>2252</v>
      </c>
      <c r="AB100" s="660" t="s">
        <v>1545</v>
      </c>
      <c r="AC100" s="581"/>
      <c r="AD100" s="665" t="s">
        <v>2252</v>
      </c>
      <c r="AE100" s="660" t="s">
        <v>1545</v>
      </c>
      <c r="AF100" s="581"/>
      <c r="AG100" s="581"/>
      <c r="AH100" s="581"/>
      <c r="AI100" s="581"/>
      <c r="AJ100" s="581"/>
      <c r="AK100" s="581"/>
      <c r="AL100" s="581"/>
      <c r="AM100" s="581"/>
      <c r="AN100" s="581"/>
      <c r="AO100" s="581"/>
      <c r="AP100" s="581"/>
      <c r="AQ100" s="581"/>
      <c r="AR100" s="581"/>
      <c r="AS100" s="581"/>
      <c r="AT100" s="581"/>
      <c r="AU100" s="581"/>
      <c r="AV100" s="581"/>
      <c r="AW100" s="581"/>
    </row>
    <row r="101" spans="3:49" ht="66" customHeight="1" x14ac:dyDescent="0.25">
      <c r="C101" s="665" t="s">
        <v>2253</v>
      </c>
      <c r="D101" s="643" t="s">
        <v>2266</v>
      </c>
      <c r="F101" s="665" t="s">
        <v>2253</v>
      </c>
      <c r="G101" s="643" t="s">
        <v>2270</v>
      </c>
      <c r="I101" s="665" t="s">
        <v>2253</v>
      </c>
      <c r="J101" s="643" t="s">
        <v>2270</v>
      </c>
      <c r="L101" s="665" t="s">
        <v>2253</v>
      </c>
      <c r="M101" s="643" t="s">
        <v>2270</v>
      </c>
      <c r="N101" s="581"/>
      <c r="O101" s="665" t="s">
        <v>2253</v>
      </c>
      <c r="P101" s="643" t="s">
        <v>2279</v>
      </c>
      <c r="Q101" s="581"/>
      <c r="R101" s="665" t="s">
        <v>2253</v>
      </c>
      <c r="S101" s="643" t="s">
        <v>2279</v>
      </c>
      <c r="T101" s="581"/>
      <c r="U101" s="665" t="s">
        <v>2253</v>
      </c>
      <c r="V101" s="661" t="s">
        <v>2311</v>
      </c>
      <c r="X101" s="665" t="s">
        <v>2253</v>
      </c>
      <c r="Y101" s="661" t="s">
        <v>2284</v>
      </c>
      <c r="Z101" s="581"/>
      <c r="AA101" s="665" t="s">
        <v>2253</v>
      </c>
      <c r="AB101" s="661" t="s">
        <v>2288</v>
      </c>
      <c r="AC101" s="581"/>
      <c r="AD101" s="665" t="s">
        <v>2253</v>
      </c>
      <c r="AE101" s="661" t="s">
        <v>259</v>
      </c>
      <c r="AF101" s="581"/>
      <c r="AG101" s="581"/>
      <c r="AH101" s="581"/>
      <c r="AI101" s="581"/>
      <c r="AJ101" s="581"/>
      <c r="AK101" s="581"/>
      <c r="AL101" s="581"/>
      <c r="AM101" s="581"/>
      <c r="AN101" s="581"/>
      <c r="AO101" s="581"/>
      <c r="AP101" s="581"/>
      <c r="AQ101" s="581"/>
      <c r="AR101" s="581"/>
      <c r="AS101" s="581"/>
      <c r="AT101" s="581"/>
      <c r="AU101" s="581"/>
      <c r="AV101" s="581"/>
      <c r="AW101" s="581"/>
    </row>
    <row r="102" spans="3:49" x14ac:dyDescent="0.25">
      <c r="C102" s="665" t="s">
        <v>2254</v>
      </c>
      <c r="D102" s="644" t="s">
        <v>274</v>
      </c>
      <c r="F102" s="665" t="s">
        <v>2254</v>
      </c>
      <c r="G102" s="644" t="s">
        <v>275</v>
      </c>
      <c r="I102" s="665" t="s">
        <v>2254</v>
      </c>
      <c r="J102" s="644" t="s">
        <v>274</v>
      </c>
      <c r="L102" s="665" t="s">
        <v>2254</v>
      </c>
      <c r="M102" s="644" t="s">
        <v>276</v>
      </c>
      <c r="N102" s="581"/>
      <c r="O102" s="665" t="s">
        <v>2254</v>
      </c>
      <c r="P102" s="644" t="s">
        <v>276</v>
      </c>
      <c r="Q102" s="581"/>
      <c r="R102" s="665" t="s">
        <v>2254</v>
      </c>
      <c r="S102" s="644" t="s">
        <v>276</v>
      </c>
      <c r="T102" s="581"/>
      <c r="U102" s="665" t="s">
        <v>2254</v>
      </c>
      <c r="V102" s="660" t="s">
        <v>276</v>
      </c>
      <c r="X102" s="665" t="s">
        <v>2254</v>
      </c>
      <c r="Y102" s="660" t="s">
        <v>276</v>
      </c>
      <c r="Z102" s="581"/>
      <c r="AA102" s="665" t="s">
        <v>2254</v>
      </c>
      <c r="AB102" s="660" t="s">
        <v>274</v>
      </c>
      <c r="AC102" s="581"/>
      <c r="AD102" s="665" t="s">
        <v>2254</v>
      </c>
      <c r="AE102" s="660" t="s">
        <v>276</v>
      </c>
      <c r="AF102" s="581"/>
      <c r="AG102" s="581"/>
      <c r="AH102" s="581"/>
      <c r="AI102" s="581"/>
      <c r="AJ102" s="581"/>
      <c r="AK102" s="581"/>
      <c r="AL102" s="581"/>
      <c r="AM102" s="581"/>
      <c r="AN102" s="581"/>
      <c r="AO102" s="581"/>
      <c r="AP102" s="581"/>
      <c r="AQ102" s="581"/>
      <c r="AR102" s="581"/>
      <c r="AS102" s="581"/>
      <c r="AT102" s="581"/>
      <c r="AU102" s="581"/>
      <c r="AV102" s="581"/>
      <c r="AW102" s="581"/>
    </row>
    <row r="103" spans="3:49" x14ac:dyDescent="0.25">
      <c r="C103" s="665" t="s">
        <v>2255</v>
      </c>
      <c r="D103" s="644" t="s">
        <v>2267</v>
      </c>
      <c r="F103" s="665" t="s">
        <v>2255</v>
      </c>
      <c r="G103" s="644" t="s">
        <v>2268</v>
      </c>
      <c r="I103" s="665" t="s">
        <v>2255</v>
      </c>
      <c r="J103" s="644" t="s">
        <v>2271</v>
      </c>
      <c r="L103" s="665" t="s">
        <v>2255</v>
      </c>
      <c r="M103" s="644" t="s">
        <v>2275</v>
      </c>
      <c r="N103" s="581"/>
      <c r="O103" s="665" t="s">
        <v>2255</v>
      </c>
      <c r="P103" s="644" t="s">
        <v>1543</v>
      </c>
      <c r="Q103" s="581"/>
      <c r="R103" s="665" t="s">
        <v>2255</v>
      </c>
      <c r="S103" s="644" t="s">
        <v>1543</v>
      </c>
      <c r="T103" s="581"/>
      <c r="U103" s="665" t="s">
        <v>2255</v>
      </c>
      <c r="V103" s="660" t="s">
        <v>1543</v>
      </c>
      <c r="X103" s="665" t="s">
        <v>2255</v>
      </c>
      <c r="Y103" s="660" t="s">
        <v>1543</v>
      </c>
      <c r="Z103" s="581"/>
      <c r="AA103" s="665" t="s">
        <v>2255</v>
      </c>
      <c r="AB103" s="660" t="s">
        <v>1543</v>
      </c>
      <c r="AC103" s="581"/>
      <c r="AD103" s="665" t="s">
        <v>2255</v>
      </c>
      <c r="AE103" s="660" t="s">
        <v>1543</v>
      </c>
      <c r="AF103" s="581"/>
      <c r="AG103" s="581"/>
      <c r="AH103" s="581"/>
      <c r="AI103" s="581"/>
      <c r="AJ103" s="581"/>
      <c r="AK103" s="581"/>
      <c r="AL103" s="581"/>
      <c r="AM103" s="581"/>
      <c r="AN103" s="581"/>
      <c r="AO103" s="581"/>
      <c r="AP103" s="581"/>
      <c r="AQ103" s="581"/>
      <c r="AR103" s="581"/>
      <c r="AS103" s="581"/>
      <c r="AT103" s="581"/>
      <c r="AU103" s="581"/>
      <c r="AV103" s="581"/>
      <c r="AW103" s="581"/>
    </row>
    <row r="104" spans="3:49" x14ac:dyDescent="0.25">
      <c r="C104" s="665" t="s">
        <v>2261</v>
      </c>
      <c r="D104" s="645">
        <v>1</v>
      </c>
      <c r="F104" s="665" t="s">
        <v>2261</v>
      </c>
      <c r="G104" s="645">
        <v>1</v>
      </c>
      <c r="I104" s="665" t="s">
        <v>2261</v>
      </c>
      <c r="J104" s="645">
        <v>2</v>
      </c>
      <c r="L104" s="665" t="s">
        <v>2261</v>
      </c>
      <c r="M104" s="645">
        <v>2</v>
      </c>
      <c r="N104" s="581"/>
      <c r="O104" s="665" t="s">
        <v>2261</v>
      </c>
      <c r="P104" s="645">
        <v>2</v>
      </c>
      <c r="Q104" s="581"/>
      <c r="R104" s="665" t="s">
        <v>2261</v>
      </c>
      <c r="S104" s="645">
        <v>2</v>
      </c>
      <c r="T104" s="581"/>
      <c r="U104" s="665" t="s">
        <v>2261</v>
      </c>
      <c r="V104" s="662">
        <v>1</v>
      </c>
      <c r="X104" s="665" t="s">
        <v>2261</v>
      </c>
      <c r="Y104" s="662">
        <v>1</v>
      </c>
      <c r="Z104" s="581"/>
      <c r="AA104" s="665" t="s">
        <v>2261</v>
      </c>
      <c r="AB104" s="662">
        <v>1</v>
      </c>
      <c r="AC104" s="581"/>
      <c r="AD104" s="665" t="s">
        <v>2261</v>
      </c>
      <c r="AE104" s="662">
        <v>1</v>
      </c>
      <c r="AF104" s="581"/>
      <c r="AG104" s="581"/>
      <c r="AH104" s="581"/>
      <c r="AI104" s="581"/>
      <c r="AJ104" s="581"/>
      <c r="AK104" s="581"/>
      <c r="AL104" s="581"/>
      <c r="AM104" s="581"/>
      <c r="AN104" s="581"/>
      <c r="AO104" s="581"/>
      <c r="AP104" s="581"/>
      <c r="AQ104" s="581"/>
      <c r="AR104" s="581"/>
      <c r="AS104" s="581"/>
      <c r="AT104" s="581"/>
      <c r="AU104" s="581"/>
      <c r="AV104" s="581"/>
      <c r="AW104" s="581"/>
    </row>
    <row r="105" spans="3:49" x14ac:dyDescent="0.25">
      <c r="C105" s="665" t="s">
        <v>246</v>
      </c>
      <c r="D105" s="644" t="s">
        <v>2262</v>
      </c>
      <c r="F105" s="665" t="s">
        <v>246</v>
      </c>
      <c r="G105" s="644" t="s">
        <v>2262</v>
      </c>
      <c r="I105" s="665" t="s">
        <v>246</v>
      </c>
      <c r="J105" s="644" t="s">
        <v>2262</v>
      </c>
      <c r="L105" s="665" t="s">
        <v>246</v>
      </c>
      <c r="M105" s="644" t="s">
        <v>2262</v>
      </c>
      <c r="N105" s="581"/>
      <c r="O105" s="665" t="s">
        <v>246</v>
      </c>
      <c r="P105" s="644" t="s">
        <v>2262</v>
      </c>
      <c r="R105" s="665" t="s">
        <v>246</v>
      </c>
      <c r="S105" s="644" t="s">
        <v>2262</v>
      </c>
      <c r="T105" s="581"/>
      <c r="U105" s="665" t="s">
        <v>246</v>
      </c>
      <c r="V105" s="660" t="s">
        <v>2262</v>
      </c>
      <c r="X105" s="665" t="s">
        <v>246</v>
      </c>
      <c r="Y105" s="660" t="s">
        <v>2262</v>
      </c>
      <c r="Z105" s="581"/>
      <c r="AA105" s="665" t="s">
        <v>246</v>
      </c>
      <c r="AB105" s="660" t="s">
        <v>2262</v>
      </c>
      <c r="AC105" s="581"/>
      <c r="AD105" s="665" t="s">
        <v>246</v>
      </c>
      <c r="AE105" s="660" t="s">
        <v>2262</v>
      </c>
      <c r="AF105" s="581"/>
      <c r="AG105" s="581"/>
      <c r="AH105" s="581"/>
      <c r="AI105" s="581"/>
      <c r="AJ105" s="581"/>
      <c r="AK105" s="581"/>
      <c r="AL105" s="581"/>
      <c r="AM105" s="581"/>
      <c r="AN105" s="581"/>
      <c r="AO105" s="581"/>
      <c r="AP105" s="581"/>
      <c r="AQ105" s="581"/>
      <c r="AR105" s="581"/>
      <c r="AS105" s="581"/>
      <c r="AT105" s="581"/>
      <c r="AU105" s="581"/>
      <c r="AV105" s="581"/>
      <c r="AW105" s="581"/>
    </row>
    <row r="106" spans="3:49" x14ac:dyDescent="0.25">
      <c r="C106" s="1117" t="s">
        <v>2256</v>
      </c>
      <c r="D106" s="1117"/>
      <c r="F106" s="1117" t="s">
        <v>2256</v>
      </c>
      <c r="G106" s="1117"/>
      <c r="I106" s="1117" t="s">
        <v>2256</v>
      </c>
      <c r="J106" s="1117"/>
      <c r="L106" s="1117" t="s">
        <v>2256</v>
      </c>
      <c r="M106" s="1117"/>
      <c r="N106" s="581"/>
      <c r="O106" s="1117" t="s">
        <v>2256</v>
      </c>
      <c r="P106" s="1117"/>
      <c r="R106" s="1117" t="s">
        <v>2256</v>
      </c>
      <c r="S106" s="1117"/>
      <c r="T106" s="581"/>
      <c r="U106" s="1117" t="s">
        <v>2256</v>
      </c>
      <c r="V106" s="1117"/>
      <c r="X106" s="1056" t="s">
        <v>2256</v>
      </c>
      <c r="Y106" s="1058"/>
      <c r="Z106" s="581"/>
      <c r="AA106" s="1056" t="s">
        <v>2256</v>
      </c>
      <c r="AB106" s="1058"/>
      <c r="AC106" s="581"/>
      <c r="AD106" s="1056" t="s">
        <v>2256</v>
      </c>
      <c r="AE106" s="1058"/>
      <c r="AF106" s="581"/>
      <c r="AG106" s="581"/>
      <c r="AH106" s="581"/>
      <c r="AI106" s="581"/>
      <c r="AJ106" s="581"/>
      <c r="AK106" s="581"/>
      <c r="AL106" s="581"/>
      <c r="AM106" s="581"/>
      <c r="AN106" s="581"/>
      <c r="AO106" s="581"/>
      <c r="AP106" s="581"/>
      <c r="AQ106" s="581"/>
      <c r="AR106" s="581"/>
      <c r="AS106" s="581"/>
      <c r="AT106" s="581"/>
      <c r="AU106" s="581"/>
      <c r="AV106" s="581"/>
      <c r="AW106" s="581"/>
    </row>
    <row r="107" spans="3:49" ht="15.75" customHeight="1" x14ac:dyDescent="0.25">
      <c r="C107" s="1454" t="s">
        <v>2263</v>
      </c>
      <c r="D107" s="1455"/>
      <c r="F107" s="1456" t="s">
        <v>2301</v>
      </c>
      <c r="G107" s="1457"/>
      <c r="I107" s="1456" t="s">
        <v>2296</v>
      </c>
      <c r="J107" s="1457"/>
      <c r="L107" s="1456" t="s">
        <v>2297</v>
      </c>
      <c r="M107" s="1457"/>
      <c r="N107" s="581"/>
      <c r="O107" s="1456" t="s">
        <v>2298</v>
      </c>
      <c r="P107" s="1457"/>
      <c r="Q107" s="581"/>
      <c r="R107" s="1456" t="s">
        <v>2299</v>
      </c>
      <c r="S107" s="1457"/>
      <c r="T107" s="581"/>
      <c r="U107" s="1456" t="s">
        <v>2308</v>
      </c>
      <c r="V107" s="1457"/>
      <c r="X107" s="1402" t="s">
        <v>2285</v>
      </c>
      <c r="Y107" s="1403"/>
      <c r="Z107" s="578"/>
      <c r="AA107" s="1402" t="s">
        <v>2304</v>
      </c>
      <c r="AB107" s="1403"/>
      <c r="AC107" s="578"/>
      <c r="AD107" s="1402" t="s">
        <v>2295</v>
      </c>
      <c r="AE107" s="1403"/>
      <c r="AF107" s="581"/>
      <c r="AG107" s="581"/>
      <c r="AH107" s="581"/>
      <c r="AI107" s="581"/>
      <c r="AJ107" s="581"/>
      <c r="AK107" s="581"/>
      <c r="AL107" s="581"/>
      <c r="AM107" s="581"/>
      <c r="AN107" s="581"/>
      <c r="AO107" s="581"/>
      <c r="AP107" s="581"/>
      <c r="AQ107" s="581"/>
      <c r="AR107" s="581"/>
      <c r="AS107" s="581"/>
      <c r="AT107" s="581"/>
      <c r="AU107" s="581"/>
      <c r="AV107" s="581"/>
      <c r="AW107" s="581"/>
    </row>
    <row r="108" spans="3:49" x14ac:dyDescent="0.25">
      <c r="C108" s="1455"/>
      <c r="D108" s="1455"/>
      <c r="F108" s="1457"/>
      <c r="G108" s="1457"/>
      <c r="I108" s="1457"/>
      <c r="J108" s="1457"/>
      <c r="L108" s="1457"/>
      <c r="M108" s="1457"/>
      <c r="N108" s="581"/>
      <c r="O108" s="1457"/>
      <c r="P108" s="1457"/>
      <c r="Q108" s="581"/>
      <c r="R108" s="1457"/>
      <c r="S108" s="1457"/>
      <c r="T108" s="581"/>
      <c r="U108" s="1457"/>
      <c r="V108" s="1457"/>
      <c r="X108" s="1404"/>
      <c r="Y108" s="1405"/>
      <c r="Z108" s="578"/>
      <c r="AA108" s="1404"/>
      <c r="AB108" s="1405"/>
      <c r="AC108" s="578"/>
      <c r="AD108" s="1404"/>
      <c r="AE108" s="1405"/>
      <c r="AF108" s="581"/>
      <c r="AG108" s="581"/>
      <c r="AH108" s="581"/>
      <c r="AI108" s="581"/>
      <c r="AJ108" s="581"/>
      <c r="AK108" s="581"/>
      <c r="AL108" s="581"/>
      <c r="AM108" s="581"/>
      <c r="AN108" s="581"/>
      <c r="AO108" s="581"/>
      <c r="AP108" s="581"/>
      <c r="AQ108" s="581"/>
      <c r="AR108" s="581"/>
      <c r="AS108" s="581"/>
      <c r="AT108" s="581"/>
      <c r="AU108" s="581"/>
      <c r="AV108" s="581"/>
      <c r="AW108" s="581"/>
    </row>
    <row r="109" spans="3:49" ht="83.25" customHeight="1" x14ac:dyDescent="0.25">
      <c r="C109" s="1455"/>
      <c r="D109" s="1455"/>
      <c r="F109" s="1457"/>
      <c r="G109" s="1457"/>
      <c r="I109" s="1457"/>
      <c r="J109" s="1457"/>
      <c r="L109" s="1457"/>
      <c r="M109" s="1457"/>
      <c r="O109" s="1457"/>
      <c r="P109" s="1457"/>
      <c r="Q109" s="581"/>
      <c r="R109" s="1457"/>
      <c r="S109" s="1457"/>
      <c r="T109" s="581"/>
      <c r="U109" s="1457"/>
      <c r="V109" s="1457"/>
      <c r="X109" s="1406"/>
      <c r="Y109" s="1407"/>
      <c r="Z109" s="578"/>
      <c r="AA109" s="1406"/>
      <c r="AB109" s="1407"/>
      <c r="AC109" s="578"/>
      <c r="AD109" s="1406"/>
      <c r="AE109" s="1407"/>
      <c r="AF109" s="581"/>
      <c r="AG109" s="581"/>
      <c r="AH109" s="581"/>
      <c r="AI109" s="581"/>
      <c r="AJ109" s="581"/>
      <c r="AK109" s="581"/>
      <c r="AL109" s="581"/>
      <c r="AM109" s="581"/>
      <c r="AN109" s="581"/>
      <c r="AO109" s="581"/>
      <c r="AP109" s="581"/>
      <c r="AQ109" s="581"/>
      <c r="AR109" s="581"/>
      <c r="AS109" s="581"/>
      <c r="AT109" s="581"/>
      <c r="AU109" s="581"/>
      <c r="AV109" s="581"/>
      <c r="AW109" s="581"/>
    </row>
    <row r="110" spans="3:49" x14ac:dyDescent="0.25">
      <c r="C110" s="1117" t="s">
        <v>2257</v>
      </c>
      <c r="D110" s="1117"/>
      <c r="F110" s="1117" t="s">
        <v>2257</v>
      </c>
      <c r="G110" s="1117"/>
      <c r="I110" s="1117" t="s">
        <v>2257</v>
      </c>
      <c r="J110" s="1117"/>
      <c r="L110" s="1117" t="s">
        <v>2257</v>
      </c>
      <c r="M110" s="1117"/>
      <c r="O110" s="1117" t="s">
        <v>2257</v>
      </c>
      <c r="P110" s="1117"/>
      <c r="R110" s="1117" t="s">
        <v>2257</v>
      </c>
      <c r="S110" s="1117"/>
      <c r="T110" s="581"/>
      <c r="U110" s="1117" t="s">
        <v>2257</v>
      </c>
      <c r="V110" s="1117"/>
      <c r="X110" s="1056" t="s">
        <v>2257</v>
      </c>
      <c r="Y110" s="1058"/>
      <c r="Z110" s="581"/>
      <c r="AA110" s="1056" t="s">
        <v>2257</v>
      </c>
      <c r="AB110" s="1058"/>
      <c r="AC110" s="581"/>
      <c r="AD110" s="1056" t="s">
        <v>2257</v>
      </c>
      <c r="AE110" s="1058"/>
      <c r="AF110" s="581"/>
      <c r="AG110" s="581"/>
      <c r="AH110" s="581"/>
      <c r="AI110" s="581"/>
      <c r="AJ110" s="581"/>
      <c r="AK110" s="581"/>
      <c r="AL110" s="581"/>
      <c r="AM110" s="581"/>
      <c r="AN110" s="581"/>
      <c r="AO110" s="581"/>
      <c r="AP110" s="581"/>
      <c r="AQ110" s="581"/>
      <c r="AR110" s="581"/>
      <c r="AS110" s="581"/>
      <c r="AT110" s="581"/>
      <c r="AU110" s="581"/>
      <c r="AV110" s="581"/>
      <c r="AW110" s="581"/>
    </row>
    <row r="111" spans="3:49" ht="282.75" customHeight="1" x14ac:dyDescent="0.25">
      <c r="C111" s="1274" t="s">
        <v>2300</v>
      </c>
      <c r="D111" s="1276"/>
      <c r="F111" s="1274" t="s">
        <v>2269</v>
      </c>
      <c r="G111" s="1276"/>
      <c r="I111" s="1274" t="s">
        <v>2272</v>
      </c>
      <c r="J111" s="1276"/>
      <c r="L111" s="1274" t="s">
        <v>2277</v>
      </c>
      <c r="M111" s="1276"/>
      <c r="O111" s="1274" t="s">
        <v>2280</v>
      </c>
      <c r="P111" s="1276"/>
      <c r="R111" s="1274" t="s">
        <v>2281</v>
      </c>
      <c r="S111" s="1276"/>
      <c r="T111" s="581"/>
      <c r="U111" s="1274" t="s">
        <v>2312</v>
      </c>
      <c r="V111" s="1276"/>
      <c r="X111" s="1274" t="s">
        <v>2294</v>
      </c>
      <c r="Y111" s="1276"/>
      <c r="Z111" s="581"/>
      <c r="AA111" s="1274" t="s">
        <v>2290</v>
      </c>
      <c r="AB111" s="1276"/>
      <c r="AC111" s="581"/>
      <c r="AD111" s="1274" t="s">
        <v>2292</v>
      </c>
      <c r="AE111" s="1276"/>
      <c r="AF111" s="581"/>
      <c r="AG111" s="581"/>
      <c r="AH111" s="581"/>
      <c r="AI111" s="581"/>
      <c r="AJ111" s="581"/>
      <c r="AK111" s="581"/>
      <c r="AL111" s="581"/>
      <c r="AM111" s="581"/>
      <c r="AN111" s="581"/>
      <c r="AO111" s="581"/>
      <c r="AP111" s="581"/>
      <c r="AQ111" s="581"/>
      <c r="AR111" s="581"/>
      <c r="AS111" s="581"/>
      <c r="AT111" s="581"/>
      <c r="AU111" s="581"/>
      <c r="AV111" s="581"/>
      <c r="AW111" s="581"/>
    </row>
    <row r="112" spans="3:49" ht="110.25" customHeight="1" x14ac:dyDescent="0.25">
      <c r="C112" s="665" t="s">
        <v>2258</v>
      </c>
      <c r="D112" s="643" t="s">
        <v>2264</v>
      </c>
      <c r="F112" s="665" t="s">
        <v>2258</v>
      </c>
      <c r="G112" s="643" t="s">
        <v>2274</v>
      </c>
      <c r="I112" s="665" t="s">
        <v>2258</v>
      </c>
      <c r="J112" s="643" t="s">
        <v>2273</v>
      </c>
      <c r="L112" s="665" t="s">
        <v>2258</v>
      </c>
      <c r="M112" s="643" t="s">
        <v>2273</v>
      </c>
      <c r="O112" s="665" t="s">
        <v>2258</v>
      </c>
      <c r="P112" s="643" t="s">
        <v>2282</v>
      </c>
      <c r="R112" s="665" t="s">
        <v>2258</v>
      </c>
      <c r="S112" s="643" t="s">
        <v>2283</v>
      </c>
      <c r="T112" s="581"/>
      <c r="U112" s="665" t="s">
        <v>2258</v>
      </c>
      <c r="V112" s="661" t="s">
        <v>2283</v>
      </c>
      <c r="X112" s="665" t="s">
        <v>2258</v>
      </c>
      <c r="Y112" s="661" t="s">
        <v>2282</v>
      </c>
      <c r="Z112" s="581"/>
      <c r="AA112" s="665" t="s">
        <v>2258</v>
      </c>
      <c r="AB112" s="661" t="s">
        <v>2291</v>
      </c>
      <c r="AC112" s="581"/>
      <c r="AD112" s="665" t="s">
        <v>2258</v>
      </c>
      <c r="AE112" s="661" t="s">
        <v>2293</v>
      </c>
    </row>
    <row r="113" spans="9:27" x14ac:dyDescent="0.25">
      <c r="I113" s="581" t="s">
        <v>2276</v>
      </c>
      <c r="L113" s="581" t="s">
        <v>2278</v>
      </c>
      <c r="U113" s="581" t="s">
        <v>2321</v>
      </c>
      <c r="X113" s="581" t="s">
        <v>2286</v>
      </c>
      <c r="AA113" s="581" t="s">
        <v>2289</v>
      </c>
    </row>
    <row r="114" spans="9:27" x14ac:dyDescent="0.25">
      <c r="X114" s="581" t="s">
        <v>2287</v>
      </c>
    </row>
  </sheetData>
  <mergeCells count="167">
    <mergeCell ref="U98:V98"/>
    <mergeCell ref="U106:V106"/>
    <mergeCell ref="U107:V109"/>
    <mergeCell ref="U110:V110"/>
    <mergeCell ref="U111:V111"/>
    <mergeCell ref="Y28:AC28"/>
    <mergeCell ref="S52:S53"/>
    <mergeCell ref="X106:Y106"/>
    <mergeCell ref="X107:Y109"/>
    <mergeCell ref="X110:Y110"/>
    <mergeCell ref="X111:Y111"/>
    <mergeCell ref="AA106:AB106"/>
    <mergeCell ref="AA107:AB109"/>
    <mergeCell ref="AA110:AB110"/>
    <mergeCell ref="AA111:AB111"/>
    <mergeCell ref="R106:S106"/>
    <mergeCell ref="R107:S109"/>
    <mergeCell ref="R110:S110"/>
    <mergeCell ref="R111:S111"/>
    <mergeCell ref="U52:U53"/>
    <mergeCell ref="T52:T53"/>
    <mergeCell ref="L107:M109"/>
    <mergeCell ref="L110:M110"/>
    <mergeCell ref="L111:M111"/>
    <mergeCell ref="O98:P98"/>
    <mergeCell ref="O106:P106"/>
    <mergeCell ref="O107:P109"/>
    <mergeCell ref="O110:P110"/>
    <mergeCell ref="O111:P111"/>
    <mergeCell ref="L98:M98"/>
    <mergeCell ref="L106:M106"/>
    <mergeCell ref="C107:D109"/>
    <mergeCell ref="C110:D110"/>
    <mergeCell ref="C111:D111"/>
    <mergeCell ref="F98:G98"/>
    <mergeCell ref="F106:G106"/>
    <mergeCell ref="F107:G109"/>
    <mergeCell ref="F110:G110"/>
    <mergeCell ref="F111:G111"/>
    <mergeCell ref="I106:J106"/>
    <mergeCell ref="I107:J109"/>
    <mergeCell ref="I110:J110"/>
    <mergeCell ref="I111:J111"/>
    <mergeCell ref="C106:D106"/>
    <mergeCell ref="Q72:Q73"/>
    <mergeCell ref="K91:P91"/>
    <mergeCell ref="K92:P92"/>
    <mergeCell ref="K93:P93"/>
    <mergeCell ref="L21:M21"/>
    <mergeCell ref="O20:P20"/>
    <mergeCell ref="O21:P21"/>
    <mergeCell ref="G52:G53"/>
    <mergeCell ref="H52:H53"/>
    <mergeCell ref="K88:P88"/>
    <mergeCell ref="K89:P89"/>
    <mergeCell ref="K90:P90"/>
    <mergeCell ref="K72:K73"/>
    <mergeCell ref="L72:L73"/>
    <mergeCell ref="M72:M73"/>
    <mergeCell ref="N72:N73"/>
    <mergeCell ref="L19:M19"/>
    <mergeCell ref="F28:F29"/>
    <mergeCell ref="C18:D18"/>
    <mergeCell ref="C16:D16"/>
    <mergeCell ref="P52:P53"/>
    <mergeCell ref="N52:N53"/>
    <mergeCell ref="O52:O53"/>
    <mergeCell ref="L52:L53"/>
    <mergeCell ref="M52:M53"/>
    <mergeCell ref="I52:I53"/>
    <mergeCell ref="L51:P51"/>
    <mergeCell ref="C9:D10"/>
    <mergeCell ref="C11:D11"/>
    <mergeCell ref="I9:K9"/>
    <mergeCell ref="C12:D12"/>
    <mergeCell ref="E11:H11"/>
    <mergeCell ref="T19:U19"/>
    <mergeCell ref="C14:D14"/>
    <mergeCell ref="E14:H14"/>
    <mergeCell ref="L14:M14"/>
    <mergeCell ref="C13:D13"/>
    <mergeCell ref="E13:H13"/>
    <mergeCell ref="E19:H19"/>
    <mergeCell ref="T17:U17"/>
    <mergeCell ref="O17:P17"/>
    <mergeCell ref="R17:S17"/>
    <mergeCell ref="R19:S19"/>
    <mergeCell ref="L13:M13"/>
    <mergeCell ref="O19:P19"/>
    <mergeCell ref="E12:H12"/>
    <mergeCell ref="T13:U13"/>
    <mergeCell ref="T14:U14"/>
    <mergeCell ref="T15:U15"/>
    <mergeCell ref="L9:M10"/>
    <mergeCell ref="R16:S16"/>
    <mergeCell ref="T16:U16"/>
    <mergeCell ref="L12:M12"/>
    <mergeCell ref="N9:N10"/>
    <mergeCell ref="O9:P10"/>
    <mergeCell ref="Q9:Q10"/>
    <mergeCell ref="E9:H10"/>
    <mergeCell ref="R14:S14"/>
    <mergeCell ref="R15:S15"/>
    <mergeCell ref="E28:E29"/>
    <mergeCell ref="R9:S10"/>
    <mergeCell ref="O15:P15"/>
    <mergeCell ref="C26:W27"/>
    <mergeCell ref="R20:S20"/>
    <mergeCell ref="T20:U20"/>
    <mergeCell ref="L20:M20"/>
    <mergeCell ref="D28:D29"/>
    <mergeCell ref="C15:D15"/>
    <mergeCell ref="T9:U10"/>
    <mergeCell ref="T11:U11"/>
    <mergeCell ref="T12:U12"/>
    <mergeCell ref="O11:P11"/>
    <mergeCell ref="O12:P12"/>
    <mergeCell ref="R18:S18"/>
    <mergeCell ref="T21:U21"/>
    <mergeCell ref="W2:Z2"/>
    <mergeCell ref="E16:H16"/>
    <mergeCell ref="L16:M16"/>
    <mergeCell ref="E18:H18"/>
    <mergeCell ref="L18:M18"/>
    <mergeCell ref="E15:H15"/>
    <mergeCell ref="L15:M15"/>
    <mergeCell ref="R12:S12"/>
    <mergeCell ref="R13:S13"/>
    <mergeCell ref="W5:W7"/>
    <mergeCell ref="W8:W10"/>
    <mergeCell ref="W11:W13"/>
    <mergeCell ref="W14:W16"/>
    <mergeCell ref="W17:W19"/>
    <mergeCell ref="O16:P16"/>
    <mergeCell ref="O18:P18"/>
    <mergeCell ref="T18:U18"/>
    <mergeCell ref="R11:S11"/>
    <mergeCell ref="L11:M11"/>
    <mergeCell ref="C8:U8"/>
    <mergeCell ref="O13:P13"/>
    <mergeCell ref="O14:P14"/>
    <mergeCell ref="E17:H17"/>
    <mergeCell ref="L17:M17"/>
    <mergeCell ref="AD107:AE109"/>
    <mergeCell ref="AD111:AE111"/>
    <mergeCell ref="AD106:AE106"/>
    <mergeCell ref="AD110:AE110"/>
    <mergeCell ref="C98:D98"/>
    <mergeCell ref="I98:J98"/>
    <mergeCell ref="R98:S98"/>
    <mergeCell ref="E20:H20"/>
    <mergeCell ref="E21:H21"/>
    <mergeCell ref="G28:P28"/>
    <mergeCell ref="W28:W29"/>
    <mergeCell ref="V28:V29"/>
    <mergeCell ref="R28:U28"/>
    <mergeCell ref="C51:I51"/>
    <mergeCell ref="S51:U51"/>
    <mergeCell ref="Q28:Q29"/>
    <mergeCell ref="C28:C29"/>
    <mergeCell ref="C52:C53"/>
    <mergeCell ref="D52:D53"/>
    <mergeCell ref="E52:E53"/>
    <mergeCell ref="F52:F53"/>
    <mergeCell ref="O72:O73"/>
    <mergeCell ref="P72:P73"/>
    <mergeCell ref="R21:S21"/>
  </mergeCells>
  <phoneticPr fontId="4" type="noConversion"/>
  <pageMargins left="0.7" right="0.7" top="0.75" bottom="0.75" header="0.3" footer="0.3"/>
  <pageSetup paperSize="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FC14-FF19-4406-92D0-284C9AC44359}">
  <dimension ref="A1:AU50"/>
  <sheetViews>
    <sheetView topLeftCell="I1" zoomScaleNormal="100" workbookViewId="0">
      <selection activeCell="I1" sqref="I1"/>
    </sheetView>
  </sheetViews>
  <sheetFormatPr baseColWidth="10" defaultRowHeight="15.75" x14ac:dyDescent="0.25"/>
  <cols>
    <col min="1" max="1" width="11.42578125" style="3"/>
    <col min="2" max="2" width="28.28515625" style="3" bestFit="1" customWidth="1"/>
    <col min="3" max="3" width="11.85546875" style="3" bestFit="1" customWidth="1"/>
    <col min="4" max="4" width="11.5703125" style="3" customWidth="1"/>
    <col min="5" max="5" width="19.140625" style="3" customWidth="1"/>
    <col min="6" max="6" width="22.5703125" style="3" customWidth="1"/>
    <col min="7" max="7" width="21.5703125" style="3" customWidth="1"/>
    <col min="8" max="9" width="11.42578125" style="3"/>
    <col min="10" max="10" width="20.85546875" style="3" customWidth="1"/>
    <col min="11" max="11" width="17" style="3" customWidth="1"/>
    <col min="12" max="12" width="19.42578125" style="3" customWidth="1"/>
    <col min="13" max="13" width="18.85546875" style="3" customWidth="1"/>
    <col min="14" max="14" width="18.7109375" style="3" customWidth="1"/>
    <col min="15" max="15" width="18.85546875" style="3" customWidth="1"/>
    <col min="16" max="16" width="18.42578125" style="3" customWidth="1"/>
    <col min="17" max="19" width="11.42578125" style="3"/>
    <col min="20" max="20" width="29" style="3" customWidth="1"/>
    <col min="21" max="22" width="11.42578125" style="3"/>
    <col min="23" max="23" width="18.85546875" style="3" bestFit="1" customWidth="1"/>
    <col min="24" max="24" width="20" style="3" customWidth="1"/>
    <col min="25" max="25" width="20.42578125" style="3" customWidth="1"/>
    <col min="26" max="27" width="19.140625" style="3" customWidth="1"/>
    <col min="28" max="30" width="11.42578125" style="3"/>
    <col min="31" max="31" width="17.5703125" style="3" customWidth="1"/>
    <col min="32" max="36" width="18.85546875" style="3" bestFit="1" customWidth="1"/>
    <col min="37" max="39" width="11.42578125" style="3"/>
    <col min="40" max="40" width="25.85546875" style="3" customWidth="1"/>
    <col min="41" max="42" width="11.42578125" style="3"/>
    <col min="43" max="43" width="18.85546875" style="3" bestFit="1" customWidth="1"/>
    <col min="44" max="44" width="19.42578125" style="3" customWidth="1"/>
    <col min="45" max="45" width="19.5703125" style="3" customWidth="1"/>
    <col min="46" max="46" width="20.7109375" style="3" customWidth="1"/>
    <col min="47" max="47" width="20.140625" style="3" customWidth="1"/>
    <col min="48" max="16384" width="11.42578125" style="3"/>
  </cols>
  <sheetData>
    <row r="1" spans="2:47" s="581" customFormat="1" ht="16.5" thickBot="1" x14ac:dyDescent="0.3"/>
    <row r="2" spans="2:47" ht="16.5" thickBot="1" x14ac:dyDescent="0.3">
      <c r="J2" s="1462" t="s">
        <v>2332</v>
      </c>
      <c r="K2" s="1463"/>
      <c r="L2" s="1463"/>
      <c r="M2" s="1463"/>
      <c r="N2" s="1463"/>
      <c r="O2" s="1463"/>
      <c r="P2" s="1463"/>
      <c r="Q2" s="1463"/>
      <c r="R2" s="1463"/>
      <c r="S2" s="1463"/>
      <c r="T2" s="1463"/>
      <c r="U2" s="1463"/>
      <c r="V2" s="1463"/>
      <c r="W2" s="1463"/>
      <c r="X2" s="1463"/>
      <c r="Y2" s="1463"/>
      <c r="Z2" s="1463"/>
      <c r="AA2" s="1464"/>
      <c r="AD2" s="1462" t="s">
        <v>2208</v>
      </c>
      <c r="AE2" s="1463"/>
      <c r="AF2" s="1463"/>
      <c r="AG2" s="1463"/>
      <c r="AH2" s="1463"/>
      <c r="AI2" s="1463"/>
      <c r="AJ2" s="1463"/>
      <c r="AK2" s="1463"/>
      <c r="AL2" s="1463"/>
      <c r="AM2" s="1463"/>
      <c r="AN2" s="1463"/>
      <c r="AO2" s="1463"/>
      <c r="AP2" s="1463"/>
      <c r="AQ2" s="1463"/>
      <c r="AR2" s="1463"/>
      <c r="AS2" s="1463"/>
      <c r="AT2" s="1463"/>
      <c r="AU2" s="1464"/>
    </row>
    <row r="3" spans="2:47" ht="16.5" thickBot="1" x14ac:dyDescent="0.3">
      <c r="B3" s="595" t="s">
        <v>1859</v>
      </c>
      <c r="E3" s="597"/>
      <c r="F3" s="597"/>
      <c r="G3" s="597"/>
      <c r="U3" s="581"/>
      <c r="V3" s="581"/>
      <c r="W3" s="584"/>
      <c r="X3" s="584"/>
      <c r="Y3" s="584"/>
      <c r="Z3" s="584"/>
      <c r="AA3" s="584"/>
      <c r="AD3" s="581"/>
      <c r="AE3" s="581"/>
      <c r="AF3" s="581"/>
      <c r="AG3" s="581"/>
      <c r="AH3" s="581"/>
      <c r="AI3" s="581"/>
      <c r="AJ3" s="581"/>
      <c r="AK3" s="581"/>
      <c r="AL3" s="581"/>
      <c r="AM3" s="581"/>
      <c r="AN3" s="34"/>
      <c r="AO3" s="581"/>
      <c r="AP3" s="581"/>
      <c r="AQ3" s="584"/>
      <c r="AR3" s="584"/>
      <c r="AS3" s="584"/>
      <c r="AT3" s="584"/>
      <c r="AU3" s="584"/>
    </row>
    <row r="4" spans="2:47" ht="16.5" thickBot="1" x14ac:dyDescent="0.3">
      <c r="E4" s="377"/>
      <c r="F4" s="377"/>
      <c r="G4" s="377"/>
      <c r="J4" s="1462" t="s">
        <v>1875</v>
      </c>
      <c r="K4" s="1463"/>
      <c r="L4" s="1463"/>
      <c r="M4" s="1463"/>
      <c r="N4" s="1463"/>
      <c r="O4" s="1463"/>
      <c r="P4" s="1464"/>
      <c r="T4" s="1462" t="s">
        <v>1852</v>
      </c>
      <c r="U4" s="1463"/>
      <c r="V4" s="1463"/>
      <c r="W4" s="1463"/>
      <c r="X4" s="1463"/>
      <c r="Y4" s="1463"/>
      <c r="Z4" s="1463"/>
      <c r="AA4" s="1464"/>
      <c r="AD4" s="1462" t="s">
        <v>1875</v>
      </c>
      <c r="AE4" s="1463"/>
      <c r="AF4" s="1463"/>
      <c r="AG4" s="1463"/>
      <c r="AH4" s="1463"/>
      <c r="AI4" s="1463"/>
      <c r="AJ4" s="1464"/>
      <c r="AK4" s="581"/>
      <c r="AL4" s="581"/>
      <c r="AM4" s="581"/>
      <c r="AN4" s="1466" t="s">
        <v>1852</v>
      </c>
      <c r="AO4" s="1467"/>
      <c r="AP4" s="1467"/>
      <c r="AQ4" s="1467"/>
      <c r="AR4" s="1467"/>
      <c r="AS4" s="1467"/>
      <c r="AT4" s="1467"/>
      <c r="AU4" s="1468"/>
    </row>
    <row r="5" spans="2:47" x14ac:dyDescent="0.25">
      <c r="J5" s="728" t="s">
        <v>1876</v>
      </c>
      <c r="L5" s="765">
        <v>2021</v>
      </c>
      <c r="M5" s="765">
        <v>2022</v>
      </c>
      <c r="N5" s="765">
        <v>2023</v>
      </c>
      <c r="O5" s="765">
        <v>2024</v>
      </c>
      <c r="P5" s="765">
        <v>2025</v>
      </c>
      <c r="AD5" s="728" t="s">
        <v>1876</v>
      </c>
      <c r="AE5" s="581"/>
      <c r="AF5" s="765">
        <v>2021</v>
      </c>
      <c r="AG5" s="765">
        <v>2022</v>
      </c>
      <c r="AH5" s="765">
        <v>2023</v>
      </c>
      <c r="AI5" s="765">
        <v>2024</v>
      </c>
      <c r="AJ5" s="765">
        <v>2025</v>
      </c>
      <c r="AK5" s="581"/>
      <c r="AL5" s="581"/>
      <c r="AM5" s="581"/>
      <c r="AN5" s="581"/>
      <c r="AO5" s="581"/>
      <c r="AP5" s="581"/>
      <c r="AQ5" s="581"/>
      <c r="AR5" s="581"/>
      <c r="AS5" s="581"/>
      <c r="AT5" s="581"/>
      <c r="AU5" s="581"/>
    </row>
    <row r="6" spans="2:47" x14ac:dyDescent="0.25">
      <c r="B6" s="596" t="s">
        <v>1860</v>
      </c>
      <c r="J6" s="762"/>
      <c r="T6" s="581"/>
      <c r="U6" s="581"/>
      <c r="V6" s="581"/>
      <c r="W6" s="480">
        <v>2021</v>
      </c>
      <c r="X6" s="480">
        <v>2022</v>
      </c>
      <c r="Y6" s="480">
        <v>2023</v>
      </c>
      <c r="Z6" s="480">
        <v>2024</v>
      </c>
      <c r="AA6" s="480">
        <v>2025</v>
      </c>
      <c r="AD6" s="762"/>
      <c r="AE6" s="581"/>
      <c r="AF6" s="581"/>
      <c r="AG6" s="581"/>
      <c r="AH6" s="581"/>
      <c r="AI6" s="581"/>
      <c r="AJ6" s="581"/>
      <c r="AK6" s="581"/>
      <c r="AL6" s="581"/>
      <c r="AM6" s="581"/>
      <c r="AN6" s="581"/>
      <c r="AO6" s="581"/>
      <c r="AP6" s="581"/>
      <c r="AQ6" s="480">
        <v>2021</v>
      </c>
      <c r="AR6" s="480">
        <v>2022</v>
      </c>
      <c r="AS6" s="480">
        <v>2023</v>
      </c>
      <c r="AT6" s="480">
        <v>2024</v>
      </c>
      <c r="AU6" s="480">
        <v>2025</v>
      </c>
    </row>
    <row r="7" spans="2:47" x14ac:dyDescent="0.25">
      <c r="B7" s="3" t="s">
        <v>1861</v>
      </c>
      <c r="E7" s="481">
        <f>'10. EQUIPO DE TRABAJO'!R88+'8. REQUERIMIENTOS 14'!M4</f>
        <v>179942671.991328</v>
      </c>
      <c r="F7" s="620" t="s">
        <v>2211</v>
      </c>
      <c r="J7" s="764" t="s">
        <v>1877</v>
      </c>
      <c r="T7" s="581"/>
      <c r="U7" s="619"/>
      <c r="V7" s="619"/>
      <c r="W7" s="137"/>
      <c r="X7" s="137"/>
      <c r="Y7" s="137"/>
      <c r="Z7" s="137"/>
      <c r="AA7" s="137"/>
      <c r="AD7" s="764" t="s">
        <v>1877</v>
      </c>
      <c r="AE7" s="581"/>
      <c r="AF7" s="581"/>
      <c r="AG7" s="581"/>
      <c r="AH7" s="581"/>
      <c r="AI7" s="581"/>
      <c r="AJ7" s="581"/>
      <c r="AK7" s="581"/>
      <c r="AL7" s="581"/>
      <c r="AM7" s="581"/>
      <c r="AN7" s="581"/>
      <c r="AO7" s="733"/>
      <c r="AP7" s="733"/>
      <c r="AQ7" s="137"/>
      <c r="AR7" s="137"/>
      <c r="AS7" s="137"/>
      <c r="AT7" s="137"/>
      <c r="AU7" s="137"/>
    </row>
    <row r="8" spans="2:47" x14ac:dyDescent="0.25">
      <c r="B8" s="3" t="s">
        <v>1862</v>
      </c>
      <c r="E8" s="481">
        <v>0</v>
      </c>
      <c r="J8" s="3" t="s">
        <v>1877</v>
      </c>
      <c r="L8" s="481">
        <f>'5. PROYECCIONES'!Q71</f>
        <v>1619804872.0213261</v>
      </c>
      <c r="M8" s="584">
        <f>'5. PROYECCIONES'!R71</f>
        <v>1673258432.7980297</v>
      </c>
      <c r="N8" s="584">
        <f>'5. PROYECCIONES'!S71</f>
        <v>1725129444.2147684</v>
      </c>
      <c r="O8" s="584">
        <f>'5. PROYECCIONES'!T71</f>
        <v>1778608456.9854262</v>
      </c>
      <c r="P8" s="584">
        <f>'5. PROYECCIONES'!U71</f>
        <v>1837302536.0659451</v>
      </c>
      <c r="T8" s="619" t="s">
        <v>1853</v>
      </c>
      <c r="U8" s="377"/>
      <c r="V8" s="377"/>
      <c r="W8" s="482">
        <f>L8</f>
        <v>1619804872.0213261</v>
      </c>
      <c r="X8" s="482">
        <f t="shared" ref="X8:AA8" si="0">M8</f>
        <v>1673258432.7980297</v>
      </c>
      <c r="Y8" s="482">
        <f t="shared" si="0"/>
        <v>1725129444.2147684</v>
      </c>
      <c r="Z8" s="482">
        <f t="shared" si="0"/>
        <v>1778608456.9854262</v>
      </c>
      <c r="AA8" s="482">
        <f t="shared" si="0"/>
        <v>1837302536.0659451</v>
      </c>
      <c r="AD8" s="581" t="s">
        <v>1877</v>
      </c>
      <c r="AE8" s="581"/>
      <c r="AF8" s="584">
        <f>'5. PROYECCIONES'!Q98</f>
        <v>1729267132.8952656</v>
      </c>
      <c r="AG8" s="584">
        <f>'5. PROYECCIONES'!R98</f>
        <v>1786332948.2808092</v>
      </c>
      <c r="AH8" s="584">
        <f>'5. PROYECCIONES'!S98</f>
        <v>1841709269.6775141</v>
      </c>
      <c r="AI8" s="584">
        <f>'5. PROYECCIONES'!T98</f>
        <v>1898802257.0375168</v>
      </c>
      <c r="AJ8" s="584">
        <f>'5. PROYECCIONES'!U98</f>
        <v>1961462731.5197546</v>
      </c>
      <c r="AK8" s="581"/>
      <c r="AL8" s="581"/>
      <c r="AM8" s="581"/>
      <c r="AN8" s="733" t="s">
        <v>1853</v>
      </c>
      <c r="AO8" s="377"/>
      <c r="AP8" s="377"/>
      <c r="AQ8" s="482">
        <f>AF8</f>
        <v>1729267132.8952656</v>
      </c>
      <c r="AR8" s="482">
        <f t="shared" ref="AR8" si="1">AG8</f>
        <v>1786332948.2808092</v>
      </c>
      <c r="AS8" s="482">
        <f t="shared" ref="AS8" si="2">AH8</f>
        <v>1841709269.6775141</v>
      </c>
      <c r="AT8" s="482">
        <f t="shared" ref="AT8" si="3">AI8</f>
        <v>1898802257.0375168</v>
      </c>
      <c r="AU8" s="482">
        <f t="shared" ref="AU8" si="4">AJ8</f>
        <v>1961462731.5197546</v>
      </c>
    </row>
    <row r="9" spans="2:47" x14ac:dyDescent="0.25">
      <c r="B9" s="3" t="s">
        <v>1863</v>
      </c>
      <c r="E9" s="481" t="e">
        <f>(4*#REF!)/12</f>
        <v>#REF!</v>
      </c>
      <c r="F9" s="3" t="s">
        <v>2212</v>
      </c>
      <c r="J9" s="3" t="s">
        <v>1878</v>
      </c>
      <c r="K9" s="761">
        <f>'8. REQUERIMIENTOS 14'!M124</f>
        <v>251500104.16222799</v>
      </c>
      <c r="L9" s="485">
        <f>$K$9/5</f>
        <v>50300020.832445599</v>
      </c>
      <c r="M9" s="485">
        <f t="shared" ref="M9:P9" si="5">$K$9/5</f>
        <v>50300020.832445599</v>
      </c>
      <c r="N9" s="485">
        <f t="shared" si="5"/>
        <v>50300020.832445599</v>
      </c>
      <c r="O9" s="485">
        <f t="shared" si="5"/>
        <v>50300020.832445599</v>
      </c>
      <c r="P9" s="485">
        <f t="shared" si="5"/>
        <v>50300020.832445599</v>
      </c>
      <c r="T9" s="619" t="s">
        <v>2215</v>
      </c>
      <c r="U9" s="619"/>
      <c r="V9" s="619"/>
      <c r="W9" s="475">
        <f>W8*0.578703704</f>
        <v>937387079.19598746</v>
      </c>
      <c r="X9" s="475">
        <f t="shared" ref="X9:AA9" si="6">X8*0.578703704</f>
        <v>968320852.80945492</v>
      </c>
      <c r="Y9" s="475">
        <f t="shared" si="6"/>
        <v>998338799.24654794</v>
      </c>
      <c r="Z9" s="475">
        <f t="shared" si="6"/>
        <v>1029287302.0231909</v>
      </c>
      <c r="AA9" s="475">
        <f t="shared" si="6"/>
        <v>1063253782.9899561</v>
      </c>
      <c r="AD9" s="581" t="s">
        <v>1878</v>
      </c>
      <c r="AE9" s="761">
        <f>K9</f>
        <v>251500104.16222799</v>
      </c>
      <c r="AF9" s="485">
        <f>$K$9/5</f>
        <v>50300020.832445599</v>
      </c>
      <c r="AG9" s="485">
        <f t="shared" ref="AG9:AJ9" si="7">$K$9/5</f>
        <v>50300020.832445599</v>
      </c>
      <c r="AH9" s="485">
        <f t="shared" si="7"/>
        <v>50300020.832445599</v>
      </c>
      <c r="AI9" s="485">
        <f t="shared" si="7"/>
        <v>50300020.832445599</v>
      </c>
      <c r="AJ9" s="485">
        <f t="shared" si="7"/>
        <v>50300020.832445599</v>
      </c>
      <c r="AK9" s="581"/>
      <c r="AL9" s="581"/>
      <c r="AM9" s="581"/>
      <c r="AN9" s="733" t="s">
        <v>2215</v>
      </c>
      <c r="AO9" s="733"/>
      <c r="AP9" s="733"/>
      <c r="AQ9" s="475">
        <f>AQ8*0.578703704</f>
        <v>1000733295.0119505</v>
      </c>
      <c r="AR9" s="475">
        <f t="shared" ref="AR9:AU9" si="8">AR8*0.578703704</f>
        <v>1033757493.7473447</v>
      </c>
      <c r="AS9" s="475">
        <f t="shared" si="8"/>
        <v>1065803976.0535123</v>
      </c>
      <c r="AT9" s="475">
        <f t="shared" si="8"/>
        <v>1098843899.3111711</v>
      </c>
      <c r="AU9" s="475">
        <f t="shared" si="8"/>
        <v>1135105747.9884396</v>
      </c>
    </row>
    <row r="10" spans="2:47" x14ac:dyDescent="0.25">
      <c r="B10" s="594" t="s">
        <v>1864</v>
      </c>
      <c r="E10" s="481" t="e">
        <f>SUM(E7:E9)</f>
        <v>#REF!</v>
      </c>
      <c r="J10" s="762"/>
      <c r="K10" s="762"/>
      <c r="L10" s="762"/>
      <c r="M10" s="762"/>
      <c r="N10" s="762"/>
      <c r="O10" s="762"/>
      <c r="P10" s="762"/>
      <c r="T10" s="770"/>
      <c r="W10" s="770"/>
      <c r="X10" s="770"/>
      <c r="Y10" s="770"/>
      <c r="Z10" s="770"/>
      <c r="AA10" s="770"/>
      <c r="AD10" s="762"/>
      <c r="AE10" s="762"/>
      <c r="AF10" s="762"/>
      <c r="AG10" s="762"/>
      <c r="AH10" s="762"/>
      <c r="AI10" s="762"/>
      <c r="AJ10" s="762"/>
      <c r="AK10" s="581"/>
      <c r="AL10" s="581"/>
      <c r="AM10" s="581"/>
      <c r="AN10" s="770"/>
      <c r="AO10" s="581"/>
      <c r="AP10" s="581"/>
      <c r="AQ10" s="770"/>
      <c r="AR10" s="770"/>
      <c r="AS10" s="770"/>
      <c r="AT10" s="770"/>
      <c r="AU10" s="770"/>
    </row>
    <row r="11" spans="2:47" x14ac:dyDescent="0.25">
      <c r="J11" s="728" t="s">
        <v>337</v>
      </c>
      <c r="K11" s="762"/>
      <c r="L11" s="763">
        <f>L8-L9</f>
        <v>1569504851.1888804</v>
      </c>
      <c r="M11" s="763">
        <f t="shared" ref="M11:P11" si="9">M8-M9</f>
        <v>1622958411.965584</v>
      </c>
      <c r="N11" s="763">
        <f t="shared" si="9"/>
        <v>1674829423.3823228</v>
      </c>
      <c r="O11" s="763">
        <f t="shared" si="9"/>
        <v>1728308436.1529806</v>
      </c>
      <c r="P11" s="763">
        <f t="shared" si="9"/>
        <v>1787002515.2334995</v>
      </c>
      <c r="T11" s="771" t="s">
        <v>1854</v>
      </c>
      <c r="U11" s="581"/>
      <c r="V11" s="581"/>
      <c r="W11" s="772">
        <f>W8-W9</f>
        <v>682417792.8253386</v>
      </c>
      <c r="X11" s="772">
        <f t="shared" ref="X11:AA11" si="10">X8-X9</f>
        <v>704937579.98857474</v>
      </c>
      <c r="Y11" s="772">
        <f t="shared" si="10"/>
        <v>726790644.96822047</v>
      </c>
      <c r="Z11" s="772">
        <f t="shared" si="10"/>
        <v>749321154.96223533</v>
      </c>
      <c r="AA11" s="772">
        <f t="shared" si="10"/>
        <v>774048753.07598901</v>
      </c>
      <c r="AD11" s="728" t="s">
        <v>337</v>
      </c>
      <c r="AE11" s="762"/>
      <c r="AF11" s="763">
        <f>AF8-AF9</f>
        <v>1678967112.06282</v>
      </c>
      <c r="AG11" s="763">
        <f t="shared" ref="AG11:AJ11" si="11">AG8-AG9</f>
        <v>1736032927.4483635</v>
      </c>
      <c r="AH11" s="763">
        <f t="shared" si="11"/>
        <v>1791409248.8450685</v>
      </c>
      <c r="AI11" s="763">
        <f t="shared" si="11"/>
        <v>1848502236.2050712</v>
      </c>
      <c r="AJ11" s="763">
        <f t="shared" si="11"/>
        <v>1911162710.687309</v>
      </c>
      <c r="AK11" s="581"/>
      <c r="AL11" s="581"/>
      <c r="AM11" s="581"/>
      <c r="AN11" s="771" t="s">
        <v>1854</v>
      </c>
      <c r="AO11" s="581"/>
      <c r="AP11" s="581"/>
      <c r="AQ11" s="772">
        <f>AQ8-AQ9</f>
        <v>728533837.88331509</v>
      </c>
      <c r="AR11" s="772">
        <f t="shared" ref="AR11:AU11" si="12">AR8-AR9</f>
        <v>752575454.53346443</v>
      </c>
      <c r="AS11" s="772">
        <f t="shared" si="12"/>
        <v>775905293.62400174</v>
      </c>
      <c r="AT11" s="772">
        <f t="shared" si="12"/>
        <v>799958357.72634578</v>
      </c>
      <c r="AU11" s="772">
        <f t="shared" si="12"/>
        <v>826356983.53131509</v>
      </c>
    </row>
    <row r="12" spans="2:47" x14ac:dyDescent="0.25">
      <c r="J12" s="732"/>
      <c r="T12" s="581"/>
      <c r="U12" s="612"/>
      <c r="V12" s="581"/>
      <c r="W12" s="611">
        <f>W11*100/W8</f>
        <v>42.129629599999994</v>
      </c>
      <c r="X12" s="611">
        <f>X11*100/X8</f>
        <v>42.129629599999994</v>
      </c>
      <c r="Y12" s="611">
        <f>Y11*100/Y8</f>
        <v>42.129629600000001</v>
      </c>
      <c r="Z12" s="611">
        <f>Z11*100/Z8</f>
        <v>42.129629599999994</v>
      </c>
      <c r="AA12" s="611">
        <f>AA11*100/AA8</f>
        <v>42.129629600000001</v>
      </c>
      <c r="AD12" s="732"/>
      <c r="AE12" s="581"/>
      <c r="AF12" s="581"/>
      <c r="AG12" s="581"/>
      <c r="AH12" s="581"/>
      <c r="AI12" s="581"/>
      <c r="AJ12" s="581"/>
      <c r="AK12" s="581"/>
      <c r="AL12" s="581"/>
      <c r="AM12" s="581"/>
      <c r="AN12" s="581"/>
      <c r="AO12" s="733"/>
      <c r="AP12" s="581"/>
      <c r="AQ12" s="611">
        <f>AQ11*100/AQ8</f>
        <v>42.129629600000001</v>
      </c>
      <c r="AR12" s="611">
        <f>AR11*100/AR8</f>
        <v>42.129629599999994</v>
      </c>
      <c r="AS12" s="611">
        <f>AS11*100/AS8</f>
        <v>42.129629600000001</v>
      </c>
      <c r="AT12" s="611">
        <f>AT11*100/AT8</f>
        <v>42.129629600000001</v>
      </c>
      <c r="AU12" s="611">
        <f>AU11*100/AU8</f>
        <v>42.129629600000001</v>
      </c>
    </row>
    <row r="13" spans="2:47" x14ac:dyDescent="0.25">
      <c r="B13" s="596" t="s">
        <v>1865</v>
      </c>
      <c r="J13" s="764" t="s">
        <v>1879</v>
      </c>
      <c r="T13" s="612"/>
      <c r="U13" s="612"/>
      <c r="V13" s="581"/>
      <c r="W13" s="610"/>
      <c r="X13" s="610"/>
      <c r="Y13" s="610"/>
      <c r="Z13" s="610"/>
      <c r="AA13" s="610"/>
      <c r="AD13" s="764" t="s">
        <v>1879</v>
      </c>
      <c r="AE13" s="581"/>
      <c r="AF13" s="581"/>
      <c r="AG13" s="581"/>
      <c r="AH13" s="581"/>
      <c r="AI13" s="581"/>
      <c r="AJ13" s="581"/>
      <c r="AK13" s="581"/>
      <c r="AL13" s="581"/>
      <c r="AM13" s="581"/>
      <c r="AN13" s="733"/>
      <c r="AO13" s="733"/>
      <c r="AP13" s="581"/>
      <c r="AQ13" s="610"/>
      <c r="AR13" s="610"/>
      <c r="AS13" s="610"/>
      <c r="AT13" s="610"/>
      <c r="AU13" s="610"/>
    </row>
    <row r="14" spans="2:47" x14ac:dyDescent="0.25">
      <c r="B14" s="3" t="s">
        <v>1866</v>
      </c>
      <c r="E14" s="486">
        <f>'8. REQUERIMIENTOS 14'!M117</f>
        <v>65773560.056900002</v>
      </c>
      <c r="J14" s="3" t="s">
        <v>2213</v>
      </c>
      <c r="L14" s="584">
        <f>'5. PROYECCIONES'!Q111</f>
        <v>746012120.76392269</v>
      </c>
      <c r="M14" s="584">
        <f>'5. PROYECCIONES'!R111</f>
        <v>770630520.74913204</v>
      </c>
      <c r="N14" s="584">
        <f>'5. PROYECCIONES'!S111</f>
        <v>794520066.89235508</v>
      </c>
      <c r="O14" s="584">
        <f>'5. PROYECCIONES'!T111</f>
        <v>819150188.96601808</v>
      </c>
      <c r="P14" s="584">
        <f>'5. PROYECCIONES'!U111</f>
        <v>846182145.20189667</v>
      </c>
      <c r="T14" s="3" t="s">
        <v>2216</v>
      </c>
      <c r="W14" s="482">
        <f>'5. PROYECCIONES'!Q90</f>
        <v>334509431.92867196</v>
      </c>
      <c r="X14" s="482">
        <f>'5. PROYECCIONES'!R90</f>
        <v>345548243.18231809</v>
      </c>
      <c r="Y14" s="482">
        <f>'5. PROYECCIONES'!S90</f>
        <v>356260238.72096992</v>
      </c>
      <c r="Z14" s="482">
        <f>'5. PROYECCIONES'!T90</f>
        <v>367304306.12131995</v>
      </c>
      <c r="AA14" s="482">
        <f>'5. PROYECCIONES'!U90</f>
        <v>379425348.22332346</v>
      </c>
      <c r="AD14" s="581" t="s">
        <v>2213</v>
      </c>
      <c r="AE14" s="581"/>
      <c r="AF14" s="584">
        <f>'5. PROYECCIONES'!Q108</f>
        <v>796425707.4796356</v>
      </c>
      <c r="AG14" s="584">
        <f>'5. PROYECCIONES'!R108</f>
        <v>822707755.82646346</v>
      </c>
      <c r="AH14" s="584">
        <f>'5. PROYECCIONES'!S108</f>
        <v>848211696.25708377</v>
      </c>
      <c r="AI14" s="584">
        <f>'5. PROYECCIONES'!T108</f>
        <v>874506258.84105325</v>
      </c>
      <c r="AJ14" s="584">
        <f>'5. PROYECCIONES'!U108</f>
        <v>903364965.38280797</v>
      </c>
      <c r="AK14" s="581"/>
      <c r="AL14" s="581"/>
      <c r="AM14" s="581"/>
      <c r="AN14" s="581" t="s">
        <v>2216</v>
      </c>
      <c r="AO14" s="581"/>
      <c r="AP14" s="581"/>
      <c r="AQ14" s="482">
        <f>AF16</f>
        <v>334509431.92867196</v>
      </c>
      <c r="AR14" s="482">
        <f t="shared" ref="AR14:AU14" si="13">AG16</f>
        <v>345548243.18231809</v>
      </c>
      <c r="AS14" s="482">
        <f t="shared" si="13"/>
        <v>356260238.72096992</v>
      </c>
      <c r="AT14" s="482">
        <f t="shared" si="13"/>
        <v>367304306.12131995</v>
      </c>
      <c r="AU14" s="482">
        <f t="shared" si="13"/>
        <v>379425348.22332346</v>
      </c>
    </row>
    <row r="15" spans="2:47" x14ac:dyDescent="0.25">
      <c r="E15" s="481"/>
      <c r="J15" s="3" t="s">
        <v>293</v>
      </c>
      <c r="K15" s="485"/>
      <c r="L15" s="481">
        <f>'5. PROYECCIONES'!Q80</f>
        <v>189766218.82576999</v>
      </c>
      <c r="M15" s="584">
        <f>'5. PROYECCIONES'!R80</f>
        <v>196028504.04702038</v>
      </c>
      <c r="N15" s="584">
        <f>'5. PROYECCIONES'!S80</f>
        <v>202105387.67247799</v>
      </c>
      <c r="O15" s="584">
        <f>'5. PROYECCIONES'!T80</f>
        <v>208370654.69032478</v>
      </c>
      <c r="P15" s="584">
        <f>'5. PROYECCIONES'!U80</f>
        <v>215246886.29510549</v>
      </c>
      <c r="T15" s="581" t="s">
        <v>2217</v>
      </c>
      <c r="U15" s="581"/>
      <c r="V15" s="581"/>
      <c r="W15" s="482">
        <f>'5. PROYECCIONES'!Q80</f>
        <v>189766218.82576999</v>
      </c>
      <c r="X15" s="482">
        <f>'5. PROYECCIONES'!R80</f>
        <v>196028504.04702038</v>
      </c>
      <c r="Y15" s="482">
        <f>'5. PROYECCIONES'!S80</f>
        <v>202105387.67247799</v>
      </c>
      <c r="Z15" s="482">
        <f>'5. PROYECCIONES'!T80</f>
        <v>208370654.69032478</v>
      </c>
      <c r="AA15" s="482">
        <f>'5. PROYECCIONES'!U80</f>
        <v>215246886.29510549</v>
      </c>
      <c r="AD15" s="581" t="s">
        <v>293</v>
      </c>
      <c r="AE15" s="485"/>
      <c r="AF15" s="584">
        <f>L15</f>
        <v>189766218.82576999</v>
      </c>
      <c r="AG15" s="584">
        <f t="shared" ref="AG15:AJ15" si="14">M15</f>
        <v>196028504.04702038</v>
      </c>
      <c r="AH15" s="584">
        <f t="shared" si="14"/>
        <v>202105387.67247799</v>
      </c>
      <c r="AI15" s="584">
        <f t="shared" si="14"/>
        <v>208370654.69032478</v>
      </c>
      <c r="AJ15" s="584">
        <f t="shared" si="14"/>
        <v>215246886.29510549</v>
      </c>
      <c r="AK15" s="581"/>
      <c r="AL15" s="581"/>
      <c r="AM15" s="581"/>
      <c r="AN15" s="581" t="s">
        <v>2217</v>
      </c>
      <c r="AO15" s="581"/>
      <c r="AP15" s="581"/>
      <c r="AQ15" s="482">
        <f>AF15</f>
        <v>189766218.82576999</v>
      </c>
      <c r="AR15" s="482">
        <f t="shared" ref="AR15:AU15" si="15">AG15</f>
        <v>196028504.04702038</v>
      </c>
      <c r="AS15" s="482">
        <f t="shared" si="15"/>
        <v>202105387.67247799</v>
      </c>
      <c r="AT15" s="482">
        <f t="shared" si="15"/>
        <v>208370654.69032478</v>
      </c>
      <c r="AU15" s="482">
        <f t="shared" si="15"/>
        <v>215246886.29510549</v>
      </c>
    </row>
    <row r="16" spans="2:47" x14ac:dyDescent="0.25">
      <c r="B16" s="594" t="s">
        <v>1867</v>
      </c>
      <c r="E16" s="486">
        <f>E14-E15</f>
        <v>65773560.056900002</v>
      </c>
      <c r="J16" s="3" t="s">
        <v>2214</v>
      </c>
      <c r="L16" s="481">
        <f>'5. PROYECCIONES'!Q90</f>
        <v>334509431.92867196</v>
      </c>
      <c r="M16" s="584">
        <f>'5. PROYECCIONES'!R90</f>
        <v>345548243.18231809</v>
      </c>
      <c r="N16" s="584">
        <f>'5. PROYECCIONES'!S90</f>
        <v>356260238.72096992</v>
      </c>
      <c r="O16" s="584">
        <f>'5. PROYECCIONES'!T90</f>
        <v>367304306.12131995</v>
      </c>
      <c r="P16" s="584">
        <f>'5. PROYECCIONES'!U90</f>
        <v>379425348.22332346</v>
      </c>
      <c r="T16" s="581" t="s">
        <v>2218</v>
      </c>
      <c r="U16" s="581"/>
      <c r="V16" s="581"/>
      <c r="W16" s="482">
        <f>'5. PROYECCIONES'!Q81</f>
        <v>7541520</v>
      </c>
      <c r="X16" s="482">
        <f>'5. PROYECCIONES'!R81</f>
        <v>7790390.1599999992</v>
      </c>
      <c r="Y16" s="482">
        <f>'5. PROYECCIONES'!S81</f>
        <v>8031892.2549599987</v>
      </c>
      <c r="Z16" s="482">
        <f>'5. PROYECCIONES'!T81</f>
        <v>8280880.9148637578</v>
      </c>
      <c r="AA16" s="482">
        <f>'5. PROYECCIONES'!U81</f>
        <v>8554149.985054262</v>
      </c>
      <c r="AD16" s="581" t="s">
        <v>2214</v>
      </c>
      <c r="AE16" s="581"/>
      <c r="AF16" s="584">
        <f t="shared" ref="AF16:AF17" si="16">L16</f>
        <v>334509431.92867196</v>
      </c>
      <c r="AG16" s="584">
        <f t="shared" ref="AG16:AG17" si="17">M16</f>
        <v>345548243.18231809</v>
      </c>
      <c r="AH16" s="584">
        <f t="shared" ref="AH16:AH17" si="18">N16</f>
        <v>356260238.72096992</v>
      </c>
      <c r="AI16" s="584">
        <f t="shared" ref="AI16:AI17" si="19">O16</f>
        <v>367304306.12131995</v>
      </c>
      <c r="AJ16" s="584">
        <f t="shared" ref="AJ16:AJ17" si="20">P16</f>
        <v>379425348.22332346</v>
      </c>
      <c r="AK16" s="581"/>
      <c r="AL16" s="581"/>
      <c r="AM16" s="581"/>
      <c r="AN16" s="581" t="s">
        <v>2218</v>
      </c>
      <c r="AO16" s="581"/>
      <c r="AP16" s="581"/>
      <c r="AQ16" s="482">
        <f>AF17</f>
        <v>7541520</v>
      </c>
      <c r="AR16" s="482">
        <f t="shared" ref="AR16:AU16" si="21">AG17</f>
        <v>7790390.1599999992</v>
      </c>
      <c r="AS16" s="482">
        <f t="shared" si="21"/>
        <v>8031892.2549599987</v>
      </c>
      <c r="AT16" s="482">
        <f t="shared" si="21"/>
        <v>8280880.9148637578</v>
      </c>
      <c r="AU16" s="482">
        <f t="shared" si="21"/>
        <v>8554149.985054262</v>
      </c>
    </row>
    <row r="17" spans="1:47" x14ac:dyDescent="0.25">
      <c r="J17" s="3" t="s">
        <v>1880</v>
      </c>
      <c r="L17" s="584">
        <f>'5. PROYECCIONES'!Q81</f>
        <v>7541520</v>
      </c>
      <c r="M17" s="584">
        <f>'5. PROYECCIONES'!R81</f>
        <v>7790390.1599999992</v>
      </c>
      <c r="N17" s="584">
        <f>'5. PROYECCIONES'!S81</f>
        <v>8031892.2549599987</v>
      </c>
      <c r="O17" s="584">
        <f>'5. PROYECCIONES'!T81</f>
        <v>8280880.9148637578</v>
      </c>
      <c r="P17" s="584">
        <f>'5. PROYECCIONES'!U81</f>
        <v>8554149.985054262</v>
      </c>
      <c r="T17" s="770" t="s">
        <v>2241</v>
      </c>
      <c r="W17" s="774">
        <f>'5. PROYECCIONES'!Q82</f>
        <v>263760</v>
      </c>
      <c r="X17" s="774">
        <f>'5. PROYECCIONES'!R82</f>
        <v>272464.07999999996</v>
      </c>
      <c r="Y17" s="774">
        <f>'5. PROYECCIONES'!S82</f>
        <v>280910.46647999994</v>
      </c>
      <c r="Z17" s="774">
        <f>'5. PROYECCIONES'!T82</f>
        <v>289618.69094087993</v>
      </c>
      <c r="AA17" s="774">
        <f>'5. PROYECCIONES'!U82</f>
        <v>299176.10774192895</v>
      </c>
      <c r="AD17" s="581" t="s">
        <v>1880</v>
      </c>
      <c r="AE17" s="581"/>
      <c r="AF17" s="584">
        <f t="shared" si="16"/>
        <v>7541520</v>
      </c>
      <c r="AG17" s="584">
        <f t="shared" si="17"/>
        <v>7790390.1599999992</v>
      </c>
      <c r="AH17" s="584">
        <f t="shared" si="18"/>
        <v>8031892.2549599987</v>
      </c>
      <c r="AI17" s="584">
        <f t="shared" si="19"/>
        <v>8280880.9148637578</v>
      </c>
      <c r="AJ17" s="584">
        <f t="shared" si="20"/>
        <v>8554149.985054262</v>
      </c>
      <c r="AK17" s="581"/>
      <c r="AL17" s="581"/>
      <c r="AM17" s="581"/>
      <c r="AN17" s="770" t="s">
        <v>2241</v>
      </c>
      <c r="AO17" s="581"/>
      <c r="AP17" s="581"/>
      <c r="AQ17" s="773">
        <f>AF19</f>
        <v>263760</v>
      </c>
      <c r="AR17" s="773">
        <f t="shared" ref="AR17:AU17" si="22">AG19</f>
        <v>272464.07999999996</v>
      </c>
      <c r="AS17" s="773">
        <f t="shared" si="22"/>
        <v>280910.46647999994</v>
      </c>
      <c r="AT17" s="773">
        <f t="shared" si="22"/>
        <v>289618.69094087993</v>
      </c>
      <c r="AU17" s="773">
        <f t="shared" si="22"/>
        <v>299176.10774192895</v>
      </c>
    </row>
    <row r="18" spans="1:47" x14ac:dyDescent="0.25">
      <c r="J18" s="3" t="s">
        <v>1763</v>
      </c>
      <c r="L18" s="584">
        <f>L8*0.08</f>
        <v>129584389.76170608</v>
      </c>
      <c r="M18" s="584">
        <f t="shared" ref="M18:P18" si="23">M8*0.08</f>
        <v>133860674.62384237</v>
      </c>
      <c r="N18" s="584">
        <f t="shared" si="23"/>
        <v>138010355.53718147</v>
      </c>
      <c r="O18" s="584">
        <f t="shared" si="23"/>
        <v>142288676.55883411</v>
      </c>
      <c r="P18" s="584">
        <f t="shared" si="23"/>
        <v>146984202.8852756</v>
      </c>
      <c r="T18" s="771" t="s">
        <v>1855</v>
      </c>
      <c r="U18" s="581"/>
      <c r="V18" s="581"/>
      <c r="W18" s="772">
        <f>W11-W14-W15-W16-W17</f>
        <v>150336862.07089666</v>
      </c>
      <c r="X18" s="772">
        <f t="shared" ref="X18:AA18" si="24">X11-X14-X15-X16-X17</f>
        <v>155297978.51923627</v>
      </c>
      <c r="Y18" s="772">
        <f t="shared" si="24"/>
        <v>160112215.85333258</v>
      </c>
      <c r="Z18" s="772">
        <f t="shared" si="24"/>
        <v>165075694.54478595</v>
      </c>
      <c r="AA18" s="772">
        <f t="shared" si="24"/>
        <v>170523192.46476388</v>
      </c>
      <c r="AD18" s="581" t="s">
        <v>1763</v>
      </c>
      <c r="AE18" s="581"/>
      <c r="AF18" s="584">
        <f>AF8*0.08</f>
        <v>138341370.63162124</v>
      </c>
      <c r="AG18" s="584">
        <f t="shared" ref="AG18:AJ18" si="25">AG8*0.08</f>
        <v>142906635.86246473</v>
      </c>
      <c r="AH18" s="584">
        <f>AH8*0.08</f>
        <v>147336741.57420114</v>
      </c>
      <c r="AI18" s="584">
        <f t="shared" si="25"/>
        <v>151904180.56300136</v>
      </c>
      <c r="AJ18" s="584">
        <f t="shared" si="25"/>
        <v>156917018.52158037</v>
      </c>
      <c r="AK18" s="581"/>
      <c r="AL18" s="581"/>
      <c r="AM18" s="581"/>
      <c r="AN18" s="771" t="s">
        <v>1855</v>
      </c>
      <c r="AO18" s="581"/>
      <c r="AP18" s="581"/>
      <c r="AQ18" s="772">
        <f>AQ11-AQ14-AQ15-AQ16-AQ17</f>
        <v>196452907.12887314</v>
      </c>
      <c r="AR18" s="772">
        <f t="shared" ref="AR18:AU18" si="26">AR11-AR14-AR15-AR16-AR17</f>
        <v>202935853.06412596</v>
      </c>
      <c r="AS18" s="772">
        <f t="shared" si="26"/>
        <v>209226864.50911385</v>
      </c>
      <c r="AT18" s="772">
        <f t="shared" si="26"/>
        <v>215712897.30889639</v>
      </c>
      <c r="AU18" s="772">
        <f t="shared" si="26"/>
        <v>222831422.92008996</v>
      </c>
    </row>
    <row r="19" spans="1:47" s="581" customFormat="1" x14ac:dyDescent="0.25">
      <c r="A19" s="3"/>
      <c r="B19" s="594" t="s">
        <v>1868</v>
      </c>
      <c r="C19" s="3"/>
      <c r="D19" s="3"/>
      <c r="E19" s="486" t="e">
        <f>E10+E16</f>
        <v>#REF!</v>
      </c>
      <c r="F19" s="3"/>
      <c r="G19" s="3"/>
      <c r="H19" s="3"/>
      <c r="J19" s="581" t="s">
        <v>2233</v>
      </c>
      <c r="L19" s="584">
        <f>W17</f>
        <v>263760</v>
      </c>
      <c r="M19" s="584">
        <f t="shared" ref="M19:P19" si="27">X17</f>
        <v>272464.07999999996</v>
      </c>
      <c r="N19" s="584">
        <f t="shared" si="27"/>
        <v>280910.46647999994</v>
      </c>
      <c r="O19" s="584">
        <f t="shared" si="27"/>
        <v>289618.69094087993</v>
      </c>
      <c r="P19" s="584">
        <f t="shared" si="27"/>
        <v>299176.10774192895</v>
      </c>
      <c r="W19" s="482"/>
      <c r="X19" s="482"/>
      <c r="Y19" s="482"/>
      <c r="Z19" s="482"/>
      <c r="AA19" s="482"/>
      <c r="AD19" s="581" t="s">
        <v>2233</v>
      </c>
      <c r="AF19" s="584">
        <f>L19</f>
        <v>263760</v>
      </c>
      <c r="AG19" s="584">
        <f t="shared" ref="AG19:AJ19" si="28">M19</f>
        <v>272464.07999999996</v>
      </c>
      <c r="AH19" s="584">
        <f t="shared" si="28"/>
        <v>280910.46647999994</v>
      </c>
      <c r="AI19" s="584">
        <f t="shared" si="28"/>
        <v>289618.69094087993</v>
      </c>
      <c r="AJ19" s="584">
        <f t="shared" si="28"/>
        <v>299176.10774192895</v>
      </c>
      <c r="AQ19" s="482"/>
      <c r="AR19" s="482"/>
      <c r="AS19" s="482"/>
      <c r="AT19" s="482"/>
      <c r="AU19" s="482"/>
    </row>
    <row r="20" spans="1:47" x14ac:dyDescent="0.25">
      <c r="J20" s="762"/>
      <c r="K20" s="762"/>
      <c r="L20" s="762"/>
      <c r="M20" s="762"/>
      <c r="N20" s="762"/>
      <c r="O20" s="762"/>
      <c r="P20" s="762"/>
      <c r="T20" s="770" t="s">
        <v>1857</v>
      </c>
      <c r="U20" s="775">
        <v>0.08</v>
      </c>
      <c r="V20" s="581"/>
      <c r="W20" s="774">
        <f>W18*0.08</f>
        <v>12026948.965671733</v>
      </c>
      <c r="X20" s="774">
        <f t="shared" ref="X20:AA20" si="29">X18*0.08</f>
        <v>12423838.281538902</v>
      </c>
      <c r="Y20" s="774">
        <f t="shared" si="29"/>
        <v>12808977.268266607</v>
      </c>
      <c r="Z20" s="774">
        <f t="shared" si="29"/>
        <v>13206055.563582877</v>
      </c>
      <c r="AA20" s="774">
        <f t="shared" si="29"/>
        <v>13641855.39718111</v>
      </c>
      <c r="AD20" s="762"/>
      <c r="AE20" s="762"/>
      <c r="AF20" s="762"/>
      <c r="AG20" s="762"/>
      <c r="AH20" s="762"/>
      <c r="AI20" s="762"/>
      <c r="AJ20" s="762"/>
      <c r="AK20" s="581"/>
      <c r="AL20" s="581"/>
      <c r="AM20" s="581"/>
      <c r="AN20" s="770" t="s">
        <v>1857</v>
      </c>
      <c r="AO20" s="775">
        <v>0.08</v>
      </c>
      <c r="AP20" s="581"/>
      <c r="AQ20" s="774">
        <f>AQ18*0.08</f>
        <v>15716232.570309851</v>
      </c>
      <c r="AR20" s="774">
        <f t="shared" ref="AR20:AU20" si="30">AR18*0.08</f>
        <v>16234868.245130077</v>
      </c>
      <c r="AS20" s="774">
        <f t="shared" si="30"/>
        <v>16738149.160729108</v>
      </c>
      <c r="AT20" s="774">
        <f t="shared" si="30"/>
        <v>17257031.784711711</v>
      </c>
      <c r="AU20" s="774">
        <f t="shared" si="30"/>
        <v>17826513.833607197</v>
      </c>
    </row>
    <row r="21" spans="1:47" x14ac:dyDescent="0.25">
      <c r="B21" s="3" t="s">
        <v>1869</v>
      </c>
      <c r="E21" s="481" t="e">
        <f>E19*0.9</f>
        <v>#REF!</v>
      </c>
      <c r="J21" s="764" t="s">
        <v>337</v>
      </c>
      <c r="K21" s="732"/>
      <c r="L21" s="766">
        <f>SUM(L14:L19)</f>
        <v>1407677441.2800708</v>
      </c>
      <c r="M21" s="766">
        <f>SUM(M14:M19)</f>
        <v>1454130796.8423128</v>
      </c>
      <c r="N21" s="766">
        <f>SUM(N14:N19)</f>
        <v>1499208851.5444243</v>
      </c>
      <c r="O21" s="766">
        <f>SUM(O14:O19)</f>
        <v>1545684325.9423015</v>
      </c>
      <c r="P21" s="766">
        <f>SUM(P14:P19)</f>
        <v>1596691908.6983972</v>
      </c>
      <c r="T21" s="771" t="s">
        <v>1856</v>
      </c>
      <c r="U21" s="581"/>
      <c r="V21" s="581"/>
      <c r="W21" s="776">
        <f>W18-W20</f>
        <v>138309913.10522491</v>
      </c>
      <c r="X21" s="776">
        <f>X18-X20</f>
        <v>142874140.23769736</v>
      </c>
      <c r="Y21" s="776">
        <f>Y18-Y20</f>
        <v>147303238.58506596</v>
      </c>
      <c r="Z21" s="776">
        <f>Z18-Z20</f>
        <v>151869638.98120308</v>
      </c>
      <c r="AA21" s="776">
        <f>AA18-AA20</f>
        <v>156881337.06758276</v>
      </c>
      <c r="AD21" s="764" t="s">
        <v>337</v>
      </c>
      <c r="AE21" s="732"/>
      <c r="AF21" s="766">
        <f>SUM(AF14:AF19)</f>
        <v>1466848008.8656988</v>
      </c>
      <c r="AG21" s="766">
        <f>SUM(AG14:AG19)</f>
        <v>1515253993.1582665</v>
      </c>
      <c r="AH21" s="766">
        <f>SUM(AH14:AH19)</f>
        <v>1562226866.946173</v>
      </c>
      <c r="AI21" s="766">
        <f>SUM(AI14:AI19)</f>
        <v>1610655899.8215041</v>
      </c>
      <c r="AJ21" s="766">
        <f>SUM(AJ14:AJ19)</f>
        <v>1663807544.5156136</v>
      </c>
      <c r="AK21" s="581"/>
      <c r="AL21" s="581"/>
      <c r="AM21" s="581"/>
      <c r="AN21" s="771" t="s">
        <v>1856</v>
      </c>
      <c r="AO21" s="581"/>
      <c r="AP21" s="581"/>
      <c r="AQ21" s="776">
        <f>AQ18-AQ20</f>
        <v>180736674.55856329</v>
      </c>
      <c r="AR21" s="776">
        <f>AR18-AR20</f>
        <v>186700984.81899589</v>
      </c>
      <c r="AS21" s="776">
        <f>AS18-AS20</f>
        <v>192488715.34838474</v>
      </c>
      <c r="AT21" s="776">
        <f>AT18-AT20</f>
        <v>198455865.52418467</v>
      </c>
      <c r="AU21" s="776">
        <f>AU18-AU20</f>
        <v>205004909.08648276</v>
      </c>
    </row>
    <row r="22" spans="1:47" x14ac:dyDescent="0.25">
      <c r="B22" s="3" t="s">
        <v>1870</v>
      </c>
      <c r="E22" s="486" t="e">
        <f>E19*0.1</f>
        <v>#REF!</v>
      </c>
      <c r="J22" s="767" t="s">
        <v>1934</v>
      </c>
      <c r="K22" s="768"/>
      <c r="L22" s="769">
        <f>L11-L21</f>
        <v>161827409.90880966</v>
      </c>
      <c r="M22" s="769">
        <f>M11-M21</f>
        <v>168827615.12327123</v>
      </c>
      <c r="N22" s="769">
        <f>N11-N21</f>
        <v>175620571.83789849</v>
      </c>
      <c r="O22" s="769">
        <f>O11-O21</f>
        <v>182624110.21067905</v>
      </c>
      <c r="P22" s="769">
        <f>P11-P21</f>
        <v>190310606.53510237</v>
      </c>
      <c r="T22" s="581"/>
      <c r="U22" s="581"/>
      <c r="V22" s="581"/>
      <c r="W22" s="777">
        <f>W21*100/W8</f>
        <v>8.5386774354265533</v>
      </c>
      <c r="X22" s="777">
        <f>X21*100/X8</f>
        <v>8.5386774354265551</v>
      </c>
      <c r="Y22" s="777">
        <f>Y21*100/Y8</f>
        <v>8.5386774354265551</v>
      </c>
      <c r="Z22" s="777">
        <f>Z21*100/Z8</f>
        <v>8.5386774354265587</v>
      </c>
      <c r="AA22" s="777">
        <f>AA21*100/AA8</f>
        <v>8.5386774354265587</v>
      </c>
      <c r="AD22" s="767" t="s">
        <v>1934</v>
      </c>
      <c r="AE22" s="768"/>
      <c r="AF22" s="769">
        <f>AF11-AF21</f>
        <v>212119103.19712114</v>
      </c>
      <c r="AG22" s="769">
        <f>AG11-AG21</f>
        <v>220778934.290097</v>
      </c>
      <c r="AH22" s="769">
        <f>AH11-AH21</f>
        <v>229182381.8988955</v>
      </c>
      <c r="AI22" s="769">
        <f>AI11-AI21</f>
        <v>237846336.38356709</v>
      </c>
      <c r="AJ22" s="769">
        <f>AJ11-AJ21</f>
        <v>247355166.17169547</v>
      </c>
      <c r="AK22" s="581"/>
      <c r="AL22" s="581"/>
      <c r="AM22" s="581"/>
      <c r="AN22" s="581"/>
      <c r="AO22" s="581"/>
      <c r="AP22" s="581"/>
      <c r="AQ22" s="777">
        <f>AQ21*100/AQ8</f>
        <v>10.451634170364457</v>
      </c>
      <c r="AR22" s="777">
        <f>AR21*100/AR8</f>
        <v>10.451634170364457</v>
      </c>
      <c r="AS22" s="777">
        <f>AS21*100/AS8</f>
        <v>10.451634170364457</v>
      </c>
      <c r="AT22" s="777">
        <f>AT21*100/AT8</f>
        <v>10.451634170364459</v>
      </c>
      <c r="AU22" s="777">
        <f>AU21*100/AU8</f>
        <v>10.451634170364459</v>
      </c>
    </row>
    <row r="23" spans="1:47" x14ac:dyDescent="0.25">
      <c r="B23" s="594" t="s">
        <v>1871</v>
      </c>
      <c r="E23" s="486" t="e">
        <f>E21+E22</f>
        <v>#REF!</v>
      </c>
      <c r="AD23" s="581"/>
      <c r="AE23" s="581"/>
      <c r="AF23" s="581"/>
      <c r="AG23" s="581"/>
      <c r="AH23" s="581"/>
      <c r="AI23" s="581"/>
      <c r="AJ23" s="581"/>
    </row>
    <row r="24" spans="1:47" x14ac:dyDescent="0.25">
      <c r="B24" s="3" t="s">
        <v>1874</v>
      </c>
      <c r="AD24" s="581"/>
      <c r="AE24" s="581"/>
      <c r="AF24" s="581"/>
      <c r="AG24" s="581"/>
      <c r="AH24" s="581"/>
      <c r="AI24" s="581"/>
      <c r="AJ24" s="581"/>
    </row>
    <row r="25" spans="1:47" x14ac:dyDescent="0.25">
      <c r="J25" s="727" t="s">
        <v>1821</v>
      </c>
      <c r="K25" s="727" t="s">
        <v>1934</v>
      </c>
      <c r="L25" s="727" t="s">
        <v>2328</v>
      </c>
      <c r="M25" s="485"/>
      <c r="N25" s="485"/>
      <c r="O25" s="485"/>
      <c r="P25" s="485"/>
      <c r="AD25" s="727" t="s">
        <v>1821</v>
      </c>
      <c r="AE25" s="727" t="s">
        <v>1934</v>
      </c>
      <c r="AF25" s="727" t="s">
        <v>2328</v>
      </c>
      <c r="AG25" s="485"/>
      <c r="AH25" s="485"/>
      <c r="AI25" s="485"/>
      <c r="AJ25" s="485"/>
    </row>
    <row r="26" spans="1:47" x14ac:dyDescent="0.25">
      <c r="J26" s="760">
        <v>0</v>
      </c>
      <c r="K26" s="731">
        <f>-K9</f>
        <v>-251500104.16222799</v>
      </c>
      <c r="L26" s="729"/>
      <c r="AD26" s="760">
        <v>0</v>
      </c>
      <c r="AE26" s="731">
        <f>-AE9</f>
        <v>-251500104.16222799</v>
      </c>
      <c r="AF26" s="729"/>
      <c r="AG26" s="581"/>
      <c r="AH26" s="581"/>
      <c r="AI26" s="581"/>
      <c r="AJ26" s="581"/>
    </row>
    <row r="27" spans="1:47" x14ac:dyDescent="0.25">
      <c r="J27" s="760">
        <v>1</v>
      </c>
      <c r="K27" s="730">
        <f>L22</f>
        <v>161827409.90880966</v>
      </c>
      <c r="L27" s="730">
        <f>K27</f>
        <v>161827409.90880966</v>
      </c>
      <c r="AD27" s="760">
        <v>1</v>
      </c>
      <c r="AE27" s="730">
        <f>AF22</f>
        <v>212119103.19712114</v>
      </c>
      <c r="AF27" s="730">
        <f>AE27</f>
        <v>212119103.19712114</v>
      </c>
      <c r="AG27" s="581"/>
      <c r="AH27" s="581"/>
      <c r="AI27" s="581"/>
      <c r="AJ27" s="581"/>
    </row>
    <row r="28" spans="1:47" x14ac:dyDescent="0.25">
      <c r="J28" s="760">
        <v>2</v>
      </c>
      <c r="K28" s="730">
        <f>M22</f>
        <v>168827615.12327123</v>
      </c>
      <c r="L28" s="730">
        <f>L27+K28</f>
        <v>330655025.03208089</v>
      </c>
      <c r="AD28" s="760">
        <v>2</v>
      </c>
      <c r="AE28" s="730">
        <f>AG22</f>
        <v>220778934.290097</v>
      </c>
      <c r="AF28" s="730">
        <f>AF27+AE28</f>
        <v>432898037.48721814</v>
      </c>
      <c r="AG28" s="581"/>
      <c r="AH28" s="581"/>
      <c r="AI28" s="581"/>
      <c r="AJ28" s="581"/>
    </row>
    <row r="29" spans="1:47" x14ac:dyDescent="0.25">
      <c r="J29" s="760">
        <v>3</v>
      </c>
      <c r="K29" s="730">
        <f>N22</f>
        <v>175620571.83789849</v>
      </c>
      <c r="L29" s="730">
        <f t="shared" ref="L29:L31" si="31">L28+K29</f>
        <v>506275596.86997938</v>
      </c>
      <c r="AD29" s="760">
        <v>3</v>
      </c>
      <c r="AE29" s="730">
        <f>AH22</f>
        <v>229182381.8988955</v>
      </c>
      <c r="AF29" s="730">
        <f t="shared" ref="AF29:AF31" si="32">AF28+AE29</f>
        <v>662080419.38611364</v>
      </c>
      <c r="AG29" s="581"/>
      <c r="AH29" s="581"/>
      <c r="AI29" s="581"/>
      <c r="AJ29" s="581"/>
    </row>
    <row r="30" spans="1:47" x14ac:dyDescent="0.25">
      <c r="J30" s="760">
        <v>4</v>
      </c>
      <c r="K30" s="730">
        <f>O22</f>
        <v>182624110.21067905</v>
      </c>
      <c r="L30" s="730">
        <f t="shared" si="31"/>
        <v>688899707.08065844</v>
      </c>
      <c r="AD30" s="760">
        <v>4</v>
      </c>
      <c r="AE30" s="730">
        <f>AI22</f>
        <v>237846336.38356709</v>
      </c>
      <c r="AF30" s="730">
        <f t="shared" si="32"/>
        <v>899926755.76968074</v>
      </c>
      <c r="AG30" s="581"/>
      <c r="AH30" s="581"/>
      <c r="AI30" s="581"/>
      <c r="AJ30" s="581"/>
    </row>
    <row r="31" spans="1:47" x14ac:dyDescent="0.25">
      <c r="J31" s="760">
        <v>5</v>
      </c>
      <c r="K31" s="730">
        <f>P22</f>
        <v>190310606.53510237</v>
      </c>
      <c r="L31" s="730">
        <f t="shared" si="31"/>
        <v>879210313.6157608</v>
      </c>
      <c r="O31" s="486"/>
      <c r="AD31" s="760">
        <v>5</v>
      </c>
      <c r="AE31" s="730">
        <f>AJ22</f>
        <v>247355166.17169547</v>
      </c>
      <c r="AF31" s="730">
        <f t="shared" si="32"/>
        <v>1147281921.9413762</v>
      </c>
      <c r="AG31" s="581"/>
      <c r="AH31" s="581"/>
      <c r="AI31" s="486"/>
      <c r="AJ31" s="581"/>
    </row>
    <row r="32" spans="1:47" x14ac:dyDescent="0.25">
      <c r="AD32" s="581"/>
      <c r="AE32" s="581"/>
      <c r="AF32" s="581"/>
      <c r="AG32" s="581"/>
      <c r="AH32" s="581"/>
      <c r="AI32" s="581"/>
      <c r="AJ32" s="581"/>
    </row>
    <row r="33" spans="10:36" x14ac:dyDescent="0.25">
      <c r="J33" s="727" t="s">
        <v>1935</v>
      </c>
      <c r="K33" s="756">
        <f>(1+0.0184)*(1+0.036)*(1+(W22/100))-1</f>
        <v>0.14515077507846974</v>
      </c>
      <c r="AD33" s="727" t="s">
        <v>1935</v>
      </c>
      <c r="AE33" s="756">
        <f>(1+0.0184)*(1+0.036)*(1+(AQ22/100))-1</f>
        <v>0.16533366231706714</v>
      </c>
      <c r="AF33" s="581"/>
      <c r="AG33" s="581"/>
      <c r="AH33" s="581"/>
      <c r="AI33" s="581"/>
      <c r="AJ33" s="581"/>
    </row>
    <row r="34" spans="10:36" x14ac:dyDescent="0.25">
      <c r="J34" s="727" t="s">
        <v>1936</v>
      </c>
      <c r="K34" s="757">
        <f>NPV(K33,K27:K31)</f>
        <v>589837487.74378026</v>
      </c>
      <c r="AD34" s="727" t="s">
        <v>1936</v>
      </c>
      <c r="AE34" s="757">
        <f>NPV(AE33,AE27:AE31)</f>
        <v>733491607.63966393</v>
      </c>
      <c r="AF34" s="581"/>
      <c r="AG34" s="581"/>
      <c r="AH34" s="581"/>
      <c r="AI34" s="581"/>
      <c r="AJ34" s="581"/>
    </row>
    <row r="35" spans="10:36" x14ac:dyDescent="0.25">
      <c r="J35" s="727" t="s">
        <v>1933</v>
      </c>
      <c r="K35" s="757">
        <f>K34+K26</f>
        <v>338337383.58155227</v>
      </c>
      <c r="O35" s="633"/>
      <c r="AD35" s="727" t="s">
        <v>1933</v>
      </c>
      <c r="AE35" s="757">
        <f>AE34+AE26</f>
        <v>481991503.47743595</v>
      </c>
      <c r="AF35" s="581"/>
      <c r="AG35" s="581"/>
      <c r="AH35" s="581"/>
      <c r="AI35" s="633"/>
      <c r="AJ35" s="581"/>
    </row>
    <row r="36" spans="10:36" x14ac:dyDescent="0.25">
      <c r="J36" s="717" t="s">
        <v>1942</v>
      </c>
      <c r="K36" s="758">
        <f>IRR(K26:K28)</f>
        <v>0.20194535553844495</v>
      </c>
      <c r="AD36" s="717" t="s">
        <v>1942</v>
      </c>
      <c r="AE36" s="758">
        <f>IRR(AE26:AE28)</f>
        <v>0.44917347041578481</v>
      </c>
      <c r="AF36" s="581"/>
      <c r="AG36" s="581"/>
      <c r="AH36" s="581"/>
      <c r="AI36" s="581"/>
      <c r="AJ36" s="581"/>
    </row>
    <row r="37" spans="10:36" x14ac:dyDescent="0.25">
      <c r="J37" s="727" t="s">
        <v>2329</v>
      </c>
      <c r="K37" s="729">
        <f>((L22/(1+K33)^1)+(M22/(1+K33)^2)+(N22/(1+K33)^3)+(O22/(1+K33)^4)+(P22/(1+K33)^5))/K9</f>
        <v>2.3452773099581328</v>
      </c>
      <c r="AD37" s="727" t="s">
        <v>2329</v>
      </c>
      <c r="AE37" s="729">
        <f>((AF22/(1+AE33)^1)+(AG22/(1+AE33)^2)+(AH22/(1+AE33)^3)+(AI22/(1+AE33)^4)+(AJ22/(1+AE33)^5))/AE9</f>
        <v>2.9164664169146088</v>
      </c>
      <c r="AF37" s="581"/>
      <c r="AG37" s="581"/>
      <c r="AH37" s="581"/>
      <c r="AI37" s="581"/>
      <c r="AJ37" s="581"/>
    </row>
    <row r="38" spans="10:36" x14ac:dyDescent="0.25">
      <c r="J38" s="727" t="s">
        <v>2242</v>
      </c>
      <c r="K38" s="759">
        <f>1+((-K26-L27)/K28)</f>
        <v>1.5311494460662902</v>
      </c>
      <c r="X38" s="581"/>
      <c r="Y38" s="634"/>
      <c r="AD38" s="727" t="s">
        <v>2242</v>
      </c>
      <c r="AE38" s="759">
        <f>1+((-AE26-AF27)/AE28)</f>
        <v>1.1783730005389073</v>
      </c>
      <c r="AF38" s="581"/>
      <c r="AG38" s="581"/>
      <c r="AH38" s="581"/>
      <c r="AI38" s="581"/>
      <c r="AJ38" s="581"/>
    </row>
    <row r="39" spans="10:36" x14ac:dyDescent="0.25">
      <c r="X39" s="581"/>
      <c r="Y39" s="486"/>
      <c r="AD39" s="581"/>
      <c r="AE39" s="486"/>
      <c r="AF39" s="581"/>
      <c r="AG39" s="581"/>
      <c r="AH39" s="581"/>
      <c r="AI39" s="581"/>
      <c r="AJ39" s="581"/>
    </row>
    <row r="40" spans="10:36" x14ac:dyDescent="0.25">
      <c r="J40" s="3" t="s">
        <v>2330</v>
      </c>
      <c r="X40" s="581"/>
      <c r="Y40" s="486"/>
      <c r="AD40" s="581"/>
      <c r="AE40" s="486"/>
      <c r="AF40" s="581"/>
      <c r="AG40" s="581"/>
      <c r="AH40" s="581"/>
      <c r="AI40" s="581"/>
      <c r="AJ40" s="581"/>
    </row>
    <row r="41" spans="10:36" ht="15.75" customHeight="1" x14ac:dyDescent="0.25">
      <c r="J41" s="1465" t="s">
        <v>2331</v>
      </c>
      <c r="K41" s="1465"/>
      <c r="X41" s="581"/>
      <c r="Y41" s="483"/>
      <c r="AD41" s="581"/>
      <c r="AE41" s="483"/>
      <c r="AF41" s="581"/>
      <c r="AG41" s="581"/>
      <c r="AH41" s="581"/>
      <c r="AI41" s="581"/>
      <c r="AJ41" s="581"/>
    </row>
    <row r="42" spans="10:36" x14ac:dyDescent="0.25">
      <c r="J42" s="1465"/>
      <c r="K42" s="1465"/>
    </row>
    <row r="43" spans="10:36" x14ac:dyDescent="0.25">
      <c r="J43" s="1465"/>
      <c r="K43" s="1465"/>
    </row>
    <row r="44" spans="10:36" x14ac:dyDescent="0.25">
      <c r="J44" s="1465"/>
      <c r="K44" s="1465"/>
    </row>
    <row r="45" spans="10:36" x14ac:dyDescent="0.25">
      <c r="J45" s="1465"/>
      <c r="K45" s="1465"/>
    </row>
    <row r="46" spans="10:36" x14ac:dyDescent="0.25">
      <c r="J46" s="1465"/>
      <c r="K46" s="1465"/>
    </row>
    <row r="47" spans="10:36" x14ac:dyDescent="0.25">
      <c r="J47" s="1465"/>
      <c r="K47" s="1465"/>
    </row>
    <row r="48" spans="10:36" x14ac:dyDescent="0.25">
      <c r="J48" s="1465"/>
      <c r="K48" s="1465"/>
    </row>
    <row r="49" spans="10:11" x14ac:dyDescent="0.25">
      <c r="J49" s="1465"/>
      <c r="K49" s="1465"/>
    </row>
    <row r="50" spans="10:11" x14ac:dyDescent="0.25">
      <c r="J50" s="1465"/>
      <c r="K50" s="1465"/>
    </row>
  </sheetData>
  <mergeCells count="7">
    <mergeCell ref="AD2:AU2"/>
    <mergeCell ref="J2:AA2"/>
    <mergeCell ref="J4:P4"/>
    <mergeCell ref="T4:AA4"/>
    <mergeCell ref="J41:K50"/>
    <mergeCell ref="AD4:AJ4"/>
    <mergeCell ref="AN4:AU4"/>
  </mergeCells>
  <hyperlinks>
    <hyperlink ref="J41" r:id="rId1" display="https://www.youtube.com/watch?v=450MWq3RBWs" xr:uid="{A4F96F96-EF92-4D69-9BEF-88AD387F1286}"/>
  </hyperlinks>
  <pageMargins left="0.7" right="0.7" top="0.75" bottom="0.75" header="0.3" footer="0.3"/>
  <pageSetup paperSize="0"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A2B0-3788-46F4-949C-BDD92C375568}">
  <dimension ref="A1:Z29"/>
  <sheetViews>
    <sheetView zoomScale="70" zoomScaleNormal="70" workbookViewId="0"/>
  </sheetViews>
  <sheetFormatPr baseColWidth="10" defaultRowHeight="15.75" x14ac:dyDescent="0.25"/>
  <cols>
    <col min="1" max="1" width="11.42578125" style="29"/>
    <col min="2" max="2" width="17.28515625" style="1" bestFit="1" customWidth="1"/>
    <col min="3" max="23" width="11.42578125" style="1"/>
    <col min="24" max="26" width="11.42578125" style="29"/>
    <col min="27" max="16384" width="11.42578125" style="1"/>
  </cols>
  <sheetData>
    <row r="1" spans="2:23" s="29" customFormat="1" ht="16.5" thickBot="1" x14ac:dyDescent="0.3"/>
    <row r="2" spans="2:23" ht="16.5" thickBot="1" x14ac:dyDescent="0.3">
      <c r="B2" s="877" t="s">
        <v>1352</v>
      </c>
      <c r="C2" s="878"/>
      <c r="D2" s="878"/>
      <c r="E2" s="878"/>
      <c r="F2" s="878"/>
      <c r="G2" s="878"/>
      <c r="H2" s="878"/>
      <c r="I2" s="878"/>
      <c r="J2" s="878"/>
      <c r="K2" s="878"/>
      <c r="L2" s="878"/>
      <c r="M2" s="878"/>
      <c r="N2" s="878"/>
      <c r="O2" s="878"/>
      <c r="P2" s="878"/>
      <c r="Q2" s="878"/>
      <c r="R2" s="878"/>
      <c r="S2" s="878"/>
      <c r="T2" s="878"/>
      <c r="U2" s="878"/>
      <c r="V2" s="878"/>
      <c r="W2" s="879"/>
    </row>
    <row r="3" spans="2:23" ht="16.5" thickBot="1" x14ac:dyDescent="0.3">
      <c r="B3" s="883" t="s">
        <v>958</v>
      </c>
      <c r="C3" s="880" t="s">
        <v>978</v>
      </c>
      <c r="D3" s="881"/>
      <c r="E3" s="882"/>
      <c r="F3" s="880" t="s">
        <v>979</v>
      </c>
      <c r="G3" s="881"/>
      <c r="H3" s="882"/>
      <c r="I3" s="880" t="s">
        <v>980</v>
      </c>
      <c r="J3" s="881"/>
      <c r="K3" s="882"/>
      <c r="L3" s="880" t="s">
        <v>981</v>
      </c>
      <c r="M3" s="881"/>
      <c r="N3" s="882"/>
      <c r="O3" s="880" t="s">
        <v>982</v>
      </c>
      <c r="P3" s="881"/>
      <c r="Q3" s="882"/>
      <c r="R3" s="880" t="s">
        <v>983</v>
      </c>
      <c r="S3" s="881"/>
      <c r="T3" s="882"/>
      <c r="U3" s="880" t="s">
        <v>984</v>
      </c>
      <c r="V3" s="881"/>
      <c r="W3" s="882"/>
    </row>
    <row r="4" spans="2:23" ht="16.5" thickBot="1" x14ac:dyDescent="0.3">
      <c r="B4" s="884"/>
      <c r="C4" s="21" t="s">
        <v>959</v>
      </c>
      <c r="D4" s="22" t="s">
        <v>706</v>
      </c>
      <c r="E4" s="23" t="s">
        <v>377</v>
      </c>
      <c r="F4" s="21" t="s">
        <v>385</v>
      </c>
      <c r="G4" s="22" t="s">
        <v>379</v>
      </c>
      <c r="H4" s="23" t="s">
        <v>381</v>
      </c>
      <c r="I4" s="21" t="s">
        <v>366</v>
      </c>
      <c r="J4" s="22" t="s">
        <v>369</v>
      </c>
      <c r="K4" s="23" t="s">
        <v>960</v>
      </c>
      <c r="L4" s="21" t="s">
        <v>378</v>
      </c>
      <c r="M4" s="22" t="s">
        <v>961</v>
      </c>
      <c r="N4" s="23" t="s">
        <v>372</v>
      </c>
      <c r="O4" s="21" t="s">
        <v>705</v>
      </c>
      <c r="P4" s="22" t="s">
        <v>962</v>
      </c>
      <c r="Q4" s="23" t="s">
        <v>708</v>
      </c>
      <c r="R4" s="21" t="s">
        <v>384</v>
      </c>
      <c r="S4" s="22" t="s">
        <v>374</v>
      </c>
      <c r="T4" s="23" t="s">
        <v>380</v>
      </c>
      <c r="U4" s="21" t="s">
        <v>707</v>
      </c>
      <c r="V4" s="22" t="s">
        <v>375</v>
      </c>
      <c r="W4" s="23" t="s">
        <v>376</v>
      </c>
    </row>
    <row r="5" spans="2:23" x14ac:dyDescent="0.25">
      <c r="B5" s="93" t="s">
        <v>963</v>
      </c>
      <c r="C5" s="24"/>
      <c r="D5" s="26"/>
      <c r="E5" s="25"/>
      <c r="F5" s="24"/>
      <c r="G5" s="26"/>
      <c r="H5" s="25"/>
      <c r="I5" s="94">
        <v>2</v>
      </c>
      <c r="J5" s="95">
        <v>2</v>
      </c>
      <c r="K5" s="96"/>
      <c r="L5" s="24"/>
      <c r="M5" s="26"/>
      <c r="N5" s="25"/>
      <c r="O5" s="94">
        <v>2</v>
      </c>
      <c r="P5" s="95">
        <v>2</v>
      </c>
      <c r="Q5" s="96"/>
      <c r="R5" s="24"/>
      <c r="S5" s="26"/>
      <c r="T5" s="25"/>
      <c r="U5" s="94">
        <v>3</v>
      </c>
      <c r="V5" s="95">
        <v>2</v>
      </c>
      <c r="W5" s="96"/>
    </row>
    <row r="6" spans="2:23" x14ac:dyDescent="0.25">
      <c r="B6" s="90" t="s">
        <v>964</v>
      </c>
      <c r="C6" s="27"/>
      <c r="D6" s="20"/>
      <c r="E6" s="14"/>
      <c r="F6" s="27"/>
      <c r="G6" s="20"/>
      <c r="H6" s="14"/>
      <c r="I6" s="27"/>
      <c r="J6" s="20"/>
      <c r="K6" s="14"/>
      <c r="L6" s="85"/>
      <c r="M6" s="80">
        <v>1</v>
      </c>
      <c r="N6" s="86"/>
      <c r="O6" s="27"/>
      <c r="P6" s="20"/>
      <c r="Q6" s="14"/>
      <c r="R6" s="27"/>
      <c r="S6" s="20"/>
      <c r="T6" s="14"/>
      <c r="U6" s="85"/>
      <c r="V6" s="80">
        <v>1</v>
      </c>
      <c r="W6" s="86"/>
    </row>
    <row r="7" spans="2:23" x14ac:dyDescent="0.25">
      <c r="B7" s="90" t="s">
        <v>965</v>
      </c>
      <c r="C7" s="27"/>
      <c r="D7" s="20"/>
      <c r="E7" s="14"/>
      <c r="F7" s="27"/>
      <c r="G7" s="20"/>
      <c r="H7" s="14"/>
      <c r="I7" s="87"/>
      <c r="J7" s="12">
        <v>1</v>
      </c>
      <c r="K7" s="16"/>
      <c r="L7" s="27"/>
      <c r="M7" s="20"/>
      <c r="N7" s="14"/>
      <c r="O7" s="27"/>
      <c r="P7" s="20"/>
      <c r="Q7" s="14"/>
      <c r="R7" s="27"/>
      <c r="S7" s="20"/>
      <c r="T7" s="14"/>
      <c r="U7" s="27"/>
      <c r="V7" s="20"/>
      <c r="W7" s="14"/>
    </row>
    <row r="8" spans="2:23" x14ac:dyDescent="0.25">
      <c r="B8" s="90" t="s">
        <v>966</v>
      </c>
      <c r="C8" s="81"/>
      <c r="D8" s="10">
        <v>1</v>
      </c>
      <c r="E8" s="82"/>
      <c r="F8" s="27"/>
      <c r="G8" s="20"/>
      <c r="H8" s="14"/>
      <c r="I8" s="27"/>
      <c r="J8" s="20"/>
      <c r="K8" s="14"/>
      <c r="L8" s="27"/>
      <c r="M8" s="20"/>
      <c r="N8" s="14"/>
      <c r="O8" s="27"/>
      <c r="P8" s="20"/>
      <c r="Q8" s="14"/>
      <c r="R8" s="27"/>
      <c r="S8" s="20"/>
      <c r="T8" s="14"/>
      <c r="U8" s="27"/>
      <c r="V8" s="20"/>
      <c r="W8" s="14"/>
    </row>
    <row r="9" spans="2:23" x14ac:dyDescent="0.25">
      <c r="B9" s="90" t="s">
        <v>967</v>
      </c>
      <c r="C9" s="27"/>
      <c r="D9" s="20"/>
      <c r="E9" s="14"/>
      <c r="F9" s="83">
        <v>3</v>
      </c>
      <c r="G9" s="79">
        <v>2</v>
      </c>
      <c r="H9" s="84"/>
      <c r="I9" s="27"/>
      <c r="J9" s="20"/>
      <c r="K9" s="14"/>
      <c r="L9" s="83">
        <v>3</v>
      </c>
      <c r="M9" s="79">
        <v>2</v>
      </c>
      <c r="N9" s="84"/>
      <c r="O9" s="27"/>
      <c r="P9" s="20"/>
      <c r="Q9" s="14"/>
      <c r="R9" s="83">
        <v>3</v>
      </c>
      <c r="S9" s="79">
        <v>2</v>
      </c>
      <c r="T9" s="84"/>
      <c r="U9" s="27"/>
      <c r="V9" s="20"/>
      <c r="W9" s="14"/>
    </row>
    <row r="10" spans="2:23" x14ac:dyDescent="0.25">
      <c r="B10" s="90" t="s">
        <v>968</v>
      </c>
      <c r="C10" s="27"/>
      <c r="D10" s="20"/>
      <c r="E10" s="14"/>
      <c r="F10" s="27"/>
      <c r="G10" s="20"/>
      <c r="H10" s="14"/>
      <c r="I10" s="85">
        <v>2</v>
      </c>
      <c r="J10" s="80">
        <v>2</v>
      </c>
      <c r="K10" s="86"/>
      <c r="L10" s="27"/>
      <c r="M10" s="20"/>
      <c r="N10" s="14"/>
      <c r="O10" s="85">
        <v>2</v>
      </c>
      <c r="P10" s="80">
        <v>2</v>
      </c>
      <c r="Q10" s="86"/>
      <c r="R10" s="27"/>
      <c r="S10" s="20"/>
      <c r="T10" s="14"/>
      <c r="U10" s="85">
        <v>1</v>
      </c>
      <c r="V10" s="80">
        <v>2</v>
      </c>
      <c r="W10" s="86"/>
    </row>
    <row r="11" spans="2:23" x14ac:dyDescent="0.25">
      <c r="B11" s="90" t="s">
        <v>969</v>
      </c>
      <c r="C11" s="81"/>
      <c r="D11" s="10">
        <v>1</v>
      </c>
      <c r="E11" s="82">
        <v>1</v>
      </c>
      <c r="F11" s="27"/>
      <c r="G11" s="20"/>
      <c r="H11" s="14"/>
      <c r="I11" s="27"/>
      <c r="J11" s="20"/>
      <c r="K11" s="14"/>
      <c r="L11" s="27"/>
      <c r="M11" s="20"/>
      <c r="N11" s="14"/>
      <c r="O11" s="27"/>
      <c r="P11" s="20"/>
      <c r="Q11" s="14"/>
      <c r="R11" s="81"/>
      <c r="S11" s="10">
        <v>1</v>
      </c>
      <c r="T11" s="82">
        <v>1</v>
      </c>
      <c r="U11" s="27"/>
      <c r="V11" s="20"/>
      <c r="W11" s="14"/>
    </row>
    <row r="12" spans="2:23" x14ac:dyDescent="0.25">
      <c r="B12" s="90" t="s">
        <v>970</v>
      </c>
      <c r="C12" s="27"/>
      <c r="D12" s="20"/>
      <c r="E12" s="14"/>
      <c r="F12" s="27"/>
      <c r="G12" s="20"/>
      <c r="H12" s="14"/>
      <c r="I12" s="27"/>
      <c r="J12" s="20"/>
      <c r="K12" s="14"/>
      <c r="L12" s="85"/>
      <c r="M12" s="80">
        <v>1</v>
      </c>
      <c r="N12" s="86"/>
      <c r="O12" s="27"/>
      <c r="P12" s="20"/>
      <c r="Q12" s="14"/>
      <c r="R12" s="27"/>
      <c r="S12" s="20"/>
      <c r="T12" s="14"/>
      <c r="U12" s="27"/>
      <c r="V12" s="20"/>
      <c r="W12" s="14"/>
    </row>
    <row r="13" spans="2:23" x14ac:dyDescent="0.25">
      <c r="B13" s="90" t="s">
        <v>971</v>
      </c>
      <c r="C13" s="27"/>
      <c r="D13" s="20"/>
      <c r="E13" s="14"/>
      <c r="F13" s="87"/>
      <c r="G13" s="12">
        <v>4</v>
      </c>
      <c r="H13" s="16">
        <v>1</v>
      </c>
      <c r="I13" s="27"/>
      <c r="J13" s="20"/>
      <c r="K13" s="14"/>
      <c r="L13" s="27"/>
      <c r="M13" s="20"/>
      <c r="N13" s="14"/>
      <c r="O13" s="87"/>
      <c r="P13" s="12">
        <v>4</v>
      </c>
      <c r="Q13" s="16">
        <v>1</v>
      </c>
      <c r="R13" s="27"/>
      <c r="S13" s="20"/>
      <c r="T13" s="14"/>
      <c r="U13" s="27"/>
      <c r="V13" s="20"/>
      <c r="W13" s="14"/>
    </row>
    <row r="14" spans="2:23" x14ac:dyDescent="0.25">
      <c r="B14" s="90" t="s">
        <v>972</v>
      </c>
      <c r="C14" s="83"/>
      <c r="D14" s="79">
        <v>3</v>
      </c>
      <c r="E14" s="84"/>
      <c r="F14" s="27"/>
      <c r="G14" s="20"/>
      <c r="H14" s="14"/>
      <c r="I14" s="27"/>
      <c r="J14" s="20"/>
      <c r="K14" s="14"/>
      <c r="L14" s="27"/>
      <c r="M14" s="20"/>
      <c r="N14" s="14"/>
      <c r="O14" s="27"/>
      <c r="P14" s="20"/>
      <c r="Q14" s="14"/>
      <c r="R14" s="83"/>
      <c r="S14" s="79">
        <v>3</v>
      </c>
      <c r="T14" s="84"/>
      <c r="U14" s="27"/>
      <c r="V14" s="20"/>
      <c r="W14" s="14"/>
    </row>
    <row r="15" spans="2:23" x14ac:dyDescent="0.25">
      <c r="B15" s="90" t="s">
        <v>973</v>
      </c>
      <c r="C15" s="85"/>
      <c r="D15" s="80">
        <v>6</v>
      </c>
      <c r="E15" s="86">
        <v>1</v>
      </c>
      <c r="F15" s="85"/>
      <c r="G15" s="80">
        <v>6</v>
      </c>
      <c r="H15" s="86">
        <v>1</v>
      </c>
      <c r="I15" s="85"/>
      <c r="J15" s="80">
        <v>6</v>
      </c>
      <c r="K15" s="86"/>
      <c r="L15" s="85"/>
      <c r="M15" s="80">
        <v>6</v>
      </c>
      <c r="N15" s="86">
        <v>1</v>
      </c>
      <c r="O15" s="85"/>
      <c r="P15" s="80">
        <v>6</v>
      </c>
      <c r="Q15" s="86">
        <v>1</v>
      </c>
      <c r="R15" s="85"/>
      <c r="S15" s="80">
        <v>6</v>
      </c>
      <c r="T15" s="86">
        <v>1</v>
      </c>
      <c r="U15" s="85">
        <v>1</v>
      </c>
      <c r="V15" s="80">
        <v>6</v>
      </c>
      <c r="W15" s="86">
        <v>1</v>
      </c>
    </row>
    <row r="16" spans="2:23" x14ac:dyDescent="0.25">
      <c r="B16" s="90" t="s">
        <v>974</v>
      </c>
      <c r="C16" s="87"/>
      <c r="D16" s="12">
        <v>1</v>
      </c>
      <c r="E16" s="16">
        <v>1</v>
      </c>
      <c r="F16" s="27"/>
      <c r="G16" s="20"/>
      <c r="H16" s="14"/>
      <c r="I16" s="27"/>
      <c r="J16" s="20"/>
      <c r="K16" s="14"/>
      <c r="L16" s="27"/>
      <c r="M16" s="20"/>
      <c r="N16" s="14"/>
      <c r="O16" s="27"/>
      <c r="P16" s="20"/>
      <c r="Q16" s="14"/>
      <c r="R16" s="27"/>
      <c r="S16" s="20"/>
      <c r="T16" s="14"/>
      <c r="U16" s="27"/>
      <c r="V16" s="20"/>
      <c r="W16" s="14"/>
    </row>
    <row r="17" spans="2:23" x14ac:dyDescent="0.25">
      <c r="B17" s="90" t="s">
        <v>975</v>
      </c>
      <c r="C17" s="27"/>
      <c r="D17" s="20"/>
      <c r="E17" s="14"/>
      <c r="F17" s="27"/>
      <c r="G17" s="20"/>
      <c r="H17" s="14"/>
      <c r="I17" s="27"/>
      <c r="J17" s="20"/>
      <c r="K17" s="14"/>
      <c r="L17" s="27"/>
      <c r="M17" s="20"/>
      <c r="N17" s="14"/>
      <c r="O17" s="27"/>
      <c r="P17" s="20"/>
      <c r="Q17" s="14"/>
      <c r="R17" s="27"/>
      <c r="S17" s="20"/>
      <c r="T17" s="14"/>
      <c r="U17" s="81"/>
      <c r="V17" s="10">
        <v>1</v>
      </c>
      <c r="W17" s="82">
        <v>2</v>
      </c>
    </row>
    <row r="18" spans="2:23" x14ac:dyDescent="0.25">
      <c r="B18" s="90" t="s">
        <v>976</v>
      </c>
      <c r="C18" s="83">
        <v>1</v>
      </c>
      <c r="D18" s="79"/>
      <c r="E18" s="84"/>
      <c r="F18" s="83">
        <v>1</v>
      </c>
      <c r="G18" s="79"/>
      <c r="H18" s="84"/>
      <c r="I18" s="83">
        <v>1</v>
      </c>
      <c r="J18" s="79"/>
      <c r="K18" s="84"/>
      <c r="L18" s="83">
        <v>1</v>
      </c>
      <c r="M18" s="79"/>
      <c r="N18" s="84"/>
      <c r="O18" s="83">
        <v>1</v>
      </c>
      <c r="P18" s="79"/>
      <c r="Q18" s="84"/>
      <c r="R18" s="83">
        <v>1</v>
      </c>
      <c r="S18" s="79"/>
      <c r="T18" s="84"/>
      <c r="U18" s="83">
        <v>1</v>
      </c>
      <c r="V18" s="79"/>
      <c r="W18" s="84"/>
    </row>
    <row r="19" spans="2:23" x14ac:dyDescent="0.25">
      <c r="B19" s="91" t="s">
        <v>1348</v>
      </c>
      <c r="C19" s="88">
        <f>SUM(C5:C18)</f>
        <v>1</v>
      </c>
      <c r="D19" s="19">
        <f t="shared" ref="D19:W19" si="0">SUM(D5:D18)</f>
        <v>12</v>
      </c>
      <c r="E19" s="89">
        <f t="shared" si="0"/>
        <v>3</v>
      </c>
      <c r="F19" s="88">
        <f t="shared" si="0"/>
        <v>4</v>
      </c>
      <c r="G19" s="19">
        <f t="shared" si="0"/>
        <v>12</v>
      </c>
      <c r="H19" s="89">
        <f t="shared" si="0"/>
        <v>2</v>
      </c>
      <c r="I19" s="88">
        <f t="shared" si="0"/>
        <v>5</v>
      </c>
      <c r="J19" s="19">
        <f t="shared" si="0"/>
        <v>11</v>
      </c>
      <c r="K19" s="89">
        <f t="shared" si="0"/>
        <v>0</v>
      </c>
      <c r="L19" s="88">
        <f t="shared" si="0"/>
        <v>4</v>
      </c>
      <c r="M19" s="19">
        <f t="shared" si="0"/>
        <v>10</v>
      </c>
      <c r="N19" s="89">
        <f t="shared" si="0"/>
        <v>1</v>
      </c>
      <c r="O19" s="88">
        <f t="shared" si="0"/>
        <v>5</v>
      </c>
      <c r="P19" s="19">
        <f t="shared" si="0"/>
        <v>14</v>
      </c>
      <c r="Q19" s="89">
        <f t="shared" si="0"/>
        <v>2</v>
      </c>
      <c r="R19" s="88">
        <f t="shared" si="0"/>
        <v>4</v>
      </c>
      <c r="S19" s="19">
        <f t="shared" si="0"/>
        <v>12</v>
      </c>
      <c r="T19" s="89">
        <f t="shared" si="0"/>
        <v>2</v>
      </c>
      <c r="U19" s="88">
        <f t="shared" si="0"/>
        <v>6</v>
      </c>
      <c r="V19" s="19">
        <f t="shared" si="0"/>
        <v>12</v>
      </c>
      <c r="W19" s="89">
        <f t="shared" si="0"/>
        <v>3</v>
      </c>
    </row>
    <row r="20" spans="2:23" ht="16.5" thickBot="1" x14ac:dyDescent="0.3">
      <c r="B20" s="97" t="s">
        <v>1350</v>
      </c>
      <c r="C20" s="868">
        <f>SUM(C19:E19)</f>
        <v>16</v>
      </c>
      <c r="D20" s="869"/>
      <c r="E20" s="870"/>
      <c r="F20" s="868">
        <f>SUM(F19:H19)</f>
        <v>18</v>
      </c>
      <c r="G20" s="869"/>
      <c r="H20" s="870"/>
      <c r="I20" s="868">
        <f>SUM(I19:K19)</f>
        <v>16</v>
      </c>
      <c r="J20" s="869"/>
      <c r="K20" s="870"/>
      <c r="L20" s="868">
        <f>SUM(L19:N19)</f>
        <v>15</v>
      </c>
      <c r="M20" s="869"/>
      <c r="N20" s="870"/>
      <c r="O20" s="868">
        <f>SUM(O19:Q19)</f>
        <v>21</v>
      </c>
      <c r="P20" s="869"/>
      <c r="Q20" s="870"/>
      <c r="R20" s="868">
        <f>SUM(R19:T19)</f>
        <v>18</v>
      </c>
      <c r="S20" s="869"/>
      <c r="T20" s="870"/>
      <c r="U20" s="868">
        <f>SUM(U19:W19)</f>
        <v>21</v>
      </c>
      <c r="V20" s="869"/>
      <c r="W20" s="870"/>
    </row>
    <row r="21" spans="2:23" x14ac:dyDescent="0.25">
      <c r="B21" s="92" t="s">
        <v>985</v>
      </c>
      <c r="C21" s="871">
        <v>3</v>
      </c>
      <c r="D21" s="872"/>
      <c r="E21" s="873"/>
      <c r="F21" s="871">
        <v>1</v>
      </c>
      <c r="G21" s="872"/>
      <c r="H21" s="873"/>
      <c r="I21" s="871">
        <v>4</v>
      </c>
      <c r="J21" s="872"/>
      <c r="K21" s="873"/>
      <c r="L21" s="871">
        <v>3</v>
      </c>
      <c r="M21" s="872"/>
      <c r="N21" s="873"/>
      <c r="O21" s="871">
        <v>7</v>
      </c>
      <c r="P21" s="872"/>
      <c r="Q21" s="873"/>
      <c r="R21" s="871">
        <v>11</v>
      </c>
      <c r="S21" s="872"/>
      <c r="T21" s="873"/>
      <c r="U21" s="871">
        <v>7</v>
      </c>
      <c r="V21" s="872"/>
      <c r="W21" s="873"/>
    </row>
    <row r="22" spans="2:23" ht="16.5" thickBot="1" x14ac:dyDescent="0.3">
      <c r="B22" s="98" t="s">
        <v>1351</v>
      </c>
      <c r="C22" s="874">
        <v>3</v>
      </c>
      <c r="D22" s="875"/>
      <c r="E22" s="876"/>
      <c r="F22" s="874">
        <v>5</v>
      </c>
      <c r="G22" s="875"/>
      <c r="H22" s="876"/>
      <c r="I22" s="874">
        <v>4</v>
      </c>
      <c r="J22" s="875"/>
      <c r="K22" s="876"/>
      <c r="L22" s="874">
        <v>4</v>
      </c>
      <c r="M22" s="875"/>
      <c r="N22" s="876"/>
      <c r="O22" s="874">
        <v>7</v>
      </c>
      <c r="P22" s="875"/>
      <c r="Q22" s="876"/>
      <c r="R22" s="874">
        <v>8</v>
      </c>
      <c r="S22" s="875"/>
      <c r="T22" s="876"/>
      <c r="U22" s="874">
        <v>9</v>
      </c>
      <c r="V22" s="875"/>
      <c r="W22" s="876"/>
    </row>
    <row r="23" spans="2:23" ht="16.5" thickBot="1" x14ac:dyDescent="0.3">
      <c r="B23" s="99" t="s">
        <v>295</v>
      </c>
      <c r="C23" s="865">
        <f>SUM(C20:E22)</f>
        <v>22</v>
      </c>
      <c r="D23" s="866"/>
      <c r="E23" s="867"/>
      <c r="F23" s="865">
        <f>SUM(F20:H22)</f>
        <v>24</v>
      </c>
      <c r="G23" s="866"/>
      <c r="H23" s="867"/>
      <c r="I23" s="865">
        <f>SUM(I20:K22)</f>
        <v>24</v>
      </c>
      <c r="J23" s="866"/>
      <c r="K23" s="867"/>
      <c r="L23" s="865">
        <f>SUM(L20:N22)</f>
        <v>22</v>
      </c>
      <c r="M23" s="866"/>
      <c r="N23" s="867"/>
      <c r="O23" s="865">
        <f>SUM(O20:Q22)</f>
        <v>35</v>
      </c>
      <c r="P23" s="866"/>
      <c r="Q23" s="867"/>
      <c r="R23" s="865">
        <f>SUM(R20:T22)</f>
        <v>37</v>
      </c>
      <c r="S23" s="866"/>
      <c r="T23" s="867"/>
      <c r="U23" s="865">
        <f>SUM(U20:W22)</f>
        <v>37</v>
      </c>
      <c r="V23" s="866"/>
      <c r="W23" s="867"/>
    </row>
    <row r="24" spans="2:23" s="29" customFormat="1" x14ac:dyDescent="0.25"/>
    <row r="25" spans="2:23" s="29" customFormat="1" x14ac:dyDescent="0.25"/>
    <row r="26" spans="2:23" s="29" customFormat="1" x14ac:dyDescent="0.25"/>
    <row r="27" spans="2:23" s="29" customFormat="1" x14ac:dyDescent="0.25"/>
    <row r="28" spans="2:23" s="29" customFormat="1" x14ac:dyDescent="0.25"/>
    <row r="29" spans="2:23" s="29" customFormat="1" x14ac:dyDescent="0.25"/>
  </sheetData>
  <mergeCells count="37">
    <mergeCell ref="U22:W22"/>
    <mergeCell ref="B2:W2"/>
    <mergeCell ref="C21:E21"/>
    <mergeCell ref="C22:E22"/>
    <mergeCell ref="F21:H21"/>
    <mergeCell ref="F22:H22"/>
    <mergeCell ref="F20:H20"/>
    <mergeCell ref="C20:E20"/>
    <mergeCell ref="U3:W3"/>
    <mergeCell ref="B3:B4"/>
    <mergeCell ref="C3:E3"/>
    <mergeCell ref="F3:H3"/>
    <mergeCell ref="I3:K3"/>
    <mergeCell ref="L3:N3"/>
    <mergeCell ref="O3:Q3"/>
    <mergeCell ref="R3:T3"/>
    <mergeCell ref="R23:T23"/>
    <mergeCell ref="U23:W23"/>
    <mergeCell ref="I20:K20"/>
    <mergeCell ref="L20:N20"/>
    <mergeCell ref="O20:Q20"/>
    <mergeCell ref="R20:T20"/>
    <mergeCell ref="U20:W20"/>
    <mergeCell ref="I21:K21"/>
    <mergeCell ref="I22:K22"/>
    <mergeCell ref="L21:N21"/>
    <mergeCell ref="L22:N22"/>
    <mergeCell ref="O21:Q21"/>
    <mergeCell ref="O22:Q22"/>
    <mergeCell ref="R21:T21"/>
    <mergeCell ref="R22:T22"/>
    <mergeCell ref="U21:W21"/>
    <mergeCell ref="C23:E23"/>
    <mergeCell ref="F23:H23"/>
    <mergeCell ref="I23:K23"/>
    <mergeCell ref="L23:N23"/>
    <mergeCell ref="O23:Q23"/>
  </mergeCells>
  <pageMargins left="0.7" right="0.7" top="0.75" bottom="0.75" header="0.3" footer="0.3"/>
  <pageSetup paperSize="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B3A91-CF2C-4E86-A78F-CE57ADB7B4D2}">
  <dimension ref="B3:HW517"/>
  <sheetViews>
    <sheetView zoomScale="70" zoomScaleNormal="70" workbookViewId="0"/>
  </sheetViews>
  <sheetFormatPr baseColWidth="10" defaultRowHeight="15.75" x14ac:dyDescent="0.25"/>
  <cols>
    <col min="1" max="16384" width="11.42578125" style="29"/>
  </cols>
  <sheetData>
    <row r="3" spans="2:231" ht="16.5" thickBot="1" x14ac:dyDescent="0.3"/>
    <row r="4" spans="2:231" x14ac:dyDescent="0.25">
      <c r="B4" s="938" t="s">
        <v>1347</v>
      </c>
      <c r="C4" s="37"/>
      <c r="D4" s="37"/>
      <c r="E4" s="37"/>
      <c r="F4" s="37"/>
      <c r="G4" s="37" t="s">
        <v>17</v>
      </c>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8"/>
    </row>
    <row r="5" spans="2:231" ht="16.5" thickBot="1" x14ac:dyDescent="0.3">
      <c r="B5" s="9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t="s">
        <v>48</v>
      </c>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40"/>
    </row>
    <row r="6" spans="2:231" ht="15.75" customHeight="1" x14ac:dyDescent="0.25">
      <c r="B6" s="939"/>
      <c r="C6" s="39"/>
      <c r="D6" s="935" t="s">
        <v>952</v>
      </c>
      <c r="E6" s="39"/>
      <c r="F6" s="906" t="s">
        <v>8</v>
      </c>
      <c r="G6" s="906"/>
      <c r="H6" s="906"/>
      <c r="I6" s="906"/>
      <c r="J6" s="906"/>
      <c r="K6" s="906"/>
      <c r="L6" s="906"/>
      <c r="M6" s="906"/>
      <c r="N6" s="39"/>
      <c r="O6" s="906" t="s">
        <v>8</v>
      </c>
      <c r="P6" s="906"/>
      <c r="Q6" s="906"/>
      <c r="R6" s="906"/>
      <c r="S6" s="906"/>
      <c r="T6" s="906"/>
      <c r="U6" s="906"/>
      <c r="V6" s="906"/>
      <c r="W6" s="39"/>
      <c r="X6" s="906" t="s">
        <v>8</v>
      </c>
      <c r="Y6" s="906"/>
      <c r="Z6" s="906"/>
      <c r="AA6" s="906"/>
      <c r="AB6" s="906"/>
      <c r="AC6" s="906"/>
      <c r="AD6" s="906"/>
      <c r="AE6" s="906"/>
      <c r="AF6" s="39"/>
      <c r="AG6" s="906" t="s">
        <v>8</v>
      </c>
      <c r="AH6" s="906"/>
      <c r="AI6" s="906"/>
      <c r="AJ6" s="906"/>
      <c r="AK6" s="906"/>
      <c r="AL6" s="906"/>
      <c r="AM6" s="906"/>
      <c r="AN6" s="906"/>
      <c r="AO6" s="39"/>
      <c r="AP6" s="906" t="s">
        <v>8</v>
      </c>
      <c r="AQ6" s="906"/>
      <c r="AR6" s="906"/>
      <c r="AS6" s="906"/>
      <c r="AT6" s="906"/>
      <c r="AU6" s="906"/>
      <c r="AV6" s="906"/>
      <c r="AW6" s="906"/>
      <c r="AX6" s="39"/>
      <c r="AY6" s="906" t="s">
        <v>8</v>
      </c>
      <c r="AZ6" s="906"/>
      <c r="BA6" s="906"/>
      <c r="BB6" s="906"/>
      <c r="BC6" s="906"/>
      <c r="BD6" s="906"/>
      <c r="BE6" s="906"/>
      <c r="BF6" s="906"/>
      <c r="BG6" s="39"/>
      <c r="BH6" s="906" t="s">
        <v>8</v>
      </c>
      <c r="BI6" s="906"/>
      <c r="BJ6" s="906"/>
      <c r="BK6" s="906"/>
      <c r="BL6" s="906"/>
      <c r="BM6" s="906"/>
      <c r="BN6" s="906"/>
      <c r="BO6" s="906"/>
      <c r="BP6" s="39"/>
      <c r="BQ6" s="906" t="s">
        <v>8</v>
      </c>
      <c r="BR6" s="906"/>
      <c r="BS6" s="906"/>
      <c r="BT6" s="906"/>
      <c r="BU6" s="906"/>
      <c r="BV6" s="906"/>
      <c r="BW6" s="906"/>
      <c r="BX6" s="906"/>
      <c r="BY6" s="39"/>
      <c r="BZ6" s="906" t="s">
        <v>8</v>
      </c>
      <c r="CA6" s="906"/>
      <c r="CB6" s="906"/>
      <c r="CC6" s="906"/>
      <c r="CD6" s="906"/>
      <c r="CE6" s="906"/>
      <c r="CF6" s="906"/>
      <c r="CG6" s="906"/>
      <c r="CH6" s="39"/>
      <c r="CI6" s="906" t="s">
        <v>8</v>
      </c>
      <c r="CJ6" s="906"/>
      <c r="CK6" s="906"/>
      <c r="CL6" s="906"/>
      <c r="CM6" s="906"/>
      <c r="CN6" s="906"/>
      <c r="CO6" s="906"/>
      <c r="CP6" s="906"/>
      <c r="CQ6" s="39"/>
      <c r="CR6" s="906" t="s">
        <v>8</v>
      </c>
      <c r="CS6" s="906"/>
      <c r="CT6" s="906"/>
      <c r="CU6" s="906"/>
      <c r="CV6" s="906"/>
      <c r="CW6" s="906"/>
      <c r="CX6" s="906"/>
      <c r="CY6" s="906"/>
      <c r="CZ6" s="39"/>
      <c r="DA6" s="906" t="s">
        <v>8</v>
      </c>
      <c r="DB6" s="906"/>
      <c r="DC6" s="906"/>
      <c r="DD6" s="906"/>
      <c r="DE6" s="906"/>
      <c r="DF6" s="906"/>
      <c r="DG6" s="906"/>
      <c r="DH6" s="906"/>
      <c r="DI6" s="39"/>
      <c r="DJ6" s="906" t="s">
        <v>8</v>
      </c>
      <c r="DK6" s="906"/>
      <c r="DL6" s="906"/>
      <c r="DM6" s="906"/>
      <c r="DN6" s="906"/>
      <c r="DO6" s="906"/>
      <c r="DP6" s="906"/>
      <c r="DQ6" s="906"/>
      <c r="DR6" s="39"/>
      <c r="DS6" s="906" t="s">
        <v>8</v>
      </c>
      <c r="DT6" s="906"/>
      <c r="DU6" s="906"/>
      <c r="DV6" s="906"/>
      <c r="DW6" s="906"/>
      <c r="DX6" s="906"/>
      <c r="DY6" s="906"/>
      <c r="DZ6" s="906"/>
      <c r="EA6" s="39"/>
      <c r="EB6" s="906" t="s">
        <v>8</v>
      </c>
      <c r="EC6" s="906"/>
      <c r="ED6" s="906"/>
      <c r="EE6" s="906"/>
      <c r="EF6" s="906"/>
      <c r="EG6" s="906"/>
      <c r="EH6" s="906"/>
      <c r="EI6" s="906"/>
      <c r="EJ6" s="39"/>
      <c r="EK6" s="906" t="s">
        <v>8</v>
      </c>
      <c r="EL6" s="906"/>
      <c r="EM6" s="906"/>
      <c r="EN6" s="906"/>
      <c r="EO6" s="906"/>
      <c r="EP6" s="906"/>
      <c r="EQ6" s="906"/>
      <c r="ER6" s="906"/>
      <c r="ES6" s="39"/>
      <c r="ET6" s="906" t="s">
        <v>8</v>
      </c>
      <c r="EU6" s="906"/>
      <c r="EV6" s="906"/>
      <c r="EW6" s="906"/>
      <c r="EX6" s="906"/>
      <c r="EY6" s="906"/>
      <c r="EZ6" s="906"/>
      <c r="FA6" s="906"/>
      <c r="FB6" s="39"/>
      <c r="FC6" s="906" t="s">
        <v>8</v>
      </c>
      <c r="FD6" s="906"/>
      <c r="FE6" s="906"/>
      <c r="FF6" s="906"/>
      <c r="FG6" s="906"/>
      <c r="FH6" s="906"/>
      <c r="FI6" s="906"/>
      <c r="FJ6" s="906"/>
      <c r="FK6" s="39"/>
      <c r="FL6" s="39"/>
      <c r="FM6" s="911" t="s">
        <v>8</v>
      </c>
      <c r="FN6" s="912"/>
      <c r="FO6" s="912"/>
      <c r="FP6" s="912"/>
      <c r="FQ6" s="912"/>
      <c r="FR6" s="912"/>
      <c r="FS6" s="912"/>
      <c r="FT6" s="913"/>
      <c r="FU6" s="39"/>
      <c r="FV6" s="911" t="s">
        <v>8</v>
      </c>
      <c r="FW6" s="912"/>
      <c r="FX6" s="912"/>
      <c r="FY6" s="912"/>
      <c r="FZ6" s="912"/>
      <c r="GA6" s="912"/>
      <c r="GB6" s="912"/>
      <c r="GC6" s="913"/>
      <c r="GD6" s="39"/>
      <c r="GE6" s="911" t="s">
        <v>8</v>
      </c>
      <c r="GF6" s="912"/>
      <c r="GG6" s="912"/>
      <c r="GH6" s="912"/>
      <c r="GI6" s="912"/>
      <c r="GJ6" s="912"/>
      <c r="GK6" s="912"/>
      <c r="GL6" s="913"/>
      <c r="GM6" s="39"/>
      <c r="GN6" s="906" t="s">
        <v>8</v>
      </c>
      <c r="GO6" s="906"/>
      <c r="GP6" s="906"/>
      <c r="GQ6" s="906"/>
      <c r="GR6" s="906"/>
      <c r="GS6" s="906"/>
      <c r="GT6" s="906"/>
      <c r="GU6" s="906"/>
      <c r="GV6" s="39"/>
      <c r="GW6" s="906" t="s">
        <v>8</v>
      </c>
      <c r="GX6" s="906"/>
      <c r="GY6" s="906"/>
      <c r="GZ6" s="906"/>
      <c r="HA6" s="906"/>
      <c r="HB6" s="906"/>
      <c r="HC6" s="906"/>
      <c r="HD6" s="906"/>
      <c r="HE6" s="39"/>
      <c r="HF6" s="906" t="s">
        <v>8</v>
      </c>
      <c r="HG6" s="906"/>
      <c r="HH6" s="906"/>
      <c r="HI6" s="906"/>
      <c r="HJ6" s="906"/>
      <c r="HK6" s="906"/>
      <c r="HL6" s="906"/>
      <c r="HM6" s="906"/>
      <c r="HN6" s="39"/>
      <c r="HO6" s="906" t="s">
        <v>8</v>
      </c>
      <c r="HP6" s="906"/>
      <c r="HQ6" s="906"/>
      <c r="HR6" s="906"/>
      <c r="HS6" s="906"/>
      <c r="HT6" s="906"/>
      <c r="HU6" s="906"/>
      <c r="HV6" s="906"/>
      <c r="HW6" s="40"/>
    </row>
    <row r="7" spans="2:231" x14ac:dyDescent="0.25">
      <c r="B7" s="939"/>
      <c r="C7" s="39"/>
      <c r="D7" s="936"/>
      <c r="E7" s="39"/>
      <c r="F7" s="905" t="s">
        <v>0</v>
      </c>
      <c r="G7" s="905"/>
      <c r="H7" s="905"/>
      <c r="I7" s="905" t="s">
        <v>1</v>
      </c>
      <c r="J7" s="905"/>
      <c r="K7" s="905"/>
      <c r="L7" s="905"/>
      <c r="M7" s="905"/>
      <c r="N7" s="39"/>
      <c r="O7" s="905" t="s">
        <v>0</v>
      </c>
      <c r="P7" s="905"/>
      <c r="Q7" s="905"/>
      <c r="R7" s="905" t="s">
        <v>1</v>
      </c>
      <c r="S7" s="905"/>
      <c r="T7" s="905"/>
      <c r="U7" s="905"/>
      <c r="V7" s="905"/>
      <c r="W7" s="39"/>
      <c r="X7" s="905" t="s">
        <v>0</v>
      </c>
      <c r="Y7" s="905"/>
      <c r="Z7" s="905"/>
      <c r="AA7" s="905" t="s">
        <v>1</v>
      </c>
      <c r="AB7" s="905"/>
      <c r="AC7" s="905"/>
      <c r="AD7" s="905"/>
      <c r="AE7" s="905"/>
      <c r="AF7" s="39"/>
      <c r="AG7" s="905" t="s">
        <v>0</v>
      </c>
      <c r="AH7" s="905"/>
      <c r="AI7" s="905"/>
      <c r="AJ7" s="905" t="s">
        <v>1</v>
      </c>
      <c r="AK7" s="905"/>
      <c r="AL7" s="905"/>
      <c r="AM7" s="905"/>
      <c r="AN7" s="905"/>
      <c r="AO7" s="39"/>
      <c r="AP7" s="905" t="s">
        <v>0</v>
      </c>
      <c r="AQ7" s="905"/>
      <c r="AR7" s="905"/>
      <c r="AS7" s="905" t="s">
        <v>1</v>
      </c>
      <c r="AT7" s="905"/>
      <c r="AU7" s="905"/>
      <c r="AV7" s="905"/>
      <c r="AW7" s="905"/>
      <c r="AX7" s="39"/>
      <c r="AY7" s="905" t="s">
        <v>0</v>
      </c>
      <c r="AZ7" s="905"/>
      <c r="BA7" s="905"/>
      <c r="BB7" s="905" t="s">
        <v>1</v>
      </c>
      <c r="BC7" s="905"/>
      <c r="BD7" s="905"/>
      <c r="BE7" s="905"/>
      <c r="BF7" s="905"/>
      <c r="BG7" s="39"/>
      <c r="BH7" s="905" t="s">
        <v>0</v>
      </c>
      <c r="BI7" s="905"/>
      <c r="BJ7" s="905"/>
      <c r="BK7" s="905" t="s">
        <v>1</v>
      </c>
      <c r="BL7" s="905"/>
      <c r="BM7" s="905"/>
      <c r="BN7" s="905"/>
      <c r="BO7" s="905"/>
      <c r="BP7" s="39"/>
      <c r="BQ7" s="905" t="s">
        <v>0</v>
      </c>
      <c r="BR7" s="905"/>
      <c r="BS7" s="905"/>
      <c r="BT7" s="905" t="s">
        <v>1</v>
      </c>
      <c r="BU7" s="905"/>
      <c r="BV7" s="905"/>
      <c r="BW7" s="905"/>
      <c r="BX7" s="905"/>
      <c r="BY7" s="39"/>
      <c r="BZ7" s="905" t="s">
        <v>0</v>
      </c>
      <c r="CA7" s="905"/>
      <c r="CB7" s="905"/>
      <c r="CC7" s="905" t="s">
        <v>1</v>
      </c>
      <c r="CD7" s="905"/>
      <c r="CE7" s="905"/>
      <c r="CF7" s="905"/>
      <c r="CG7" s="905"/>
      <c r="CH7" s="39"/>
      <c r="CI7" s="905" t="s">
        <v>0</v>
      </c>
      <c r="CJ7" s="905"/>
      <c r="CK7" s="905"/>
      <c r="CL7" s="905" t="s">
        <v>1</v>
      </c>
      <c r="CM7" s="905"/>
      <c r="CN7" s="905"/>
      <c r="CO7" s="905"/>
      <c r="CP7" s="905"/>
      <c r="CQ7" s="39"/>
      <c r="CR7" s="905" t="s">
        <v>0</v>
      </c>
      <c r="CS7" s="905"/>
      <c r="CT7" s="905"/>
      <c r="CU7" s="905" t="s">
        <v>1</v>
      </c>
      <c r="CV7" s="905"/>
      <c r="CW7" s="905"/>
      <c r="CX7" s="905"/>
      <c r="CY7" s="905"/>
      <c r="CZ7" s="39"/>
      <c r="DA7" s="905" t="s">
        <v>0</v>
      </c>
      <c r="DB7" s="905"/>
      <c r="DC7" s="905"/>
      <c r="DD7" s="905" t="s">
        <v>1</v>
      </c>
      <c r="DE7" s="905"/>
      <c r="DF7" s="905"/>
      <c r="DG7" s="905"/>
      <c r="DH7" s="905"/>
      <c r="DI7" s="39"/>
      <c r="DJ7" s="905" t="s">
        <v>0</v>
      </c>
      <c r="DK7" s="905"/>
      <c r="DL7" s="905"/>
      <c r="DM7" s="905" t="s">
        <v>1</v>
      </c>
      <c r="DN7" s="905"/>
      <c r="DO7" s="905"/>
      <c r="DP7" s="905"/>
      <c r="DQ7" s="905"/>
      <c r="DR7" s="39"/>
      <c r="DS7" s="905" t="s">
        <v>0</v>
      </c>
      <c r="DT7" s="905"/>
      <c r="DU7" s="905"/>
      <c r="DV7" s="905" t="s">
        <v>1</v>
      </c>
      <c r="DW7" s="905"/>
      <c r="DX7" s="905"/>
      <c r="DY7" s="905"/>
      <c r="DZ7" s="905"/>
      <c r="EA7" s="39"/>
      <c r="EB7" s="905" t="s">
        <v>0</v>
      </c>
      <c r="EC7" s="905"/>
      <c r="ED7" s="905"/>
      <c r="EE7" s="905" t="s">
        <v>1</v>
      </c>
      <c r="EF7" s="905"/>
      <c r="EG7" s="905"/>
      <c r="EH7" s="905"/>
      <c r="EI7" s="905"/>
      <c r="EJ7" s="39"/>
      <c r="EK7" s="905" t="s">
        <v>0</v>
      </c>
      <c r="EL7" s="905"/>
      <c r="EM7" s="905"/>
      <c r="EN7" s="905" t="s">
        <v>1</v>
      </c>
      <c r="EO7" s="905"/>
      <c r="EP7" s="905"/>
      <c r="EQ7" s="905"/>
      <c r="ER7" s="905"/>
      <c r="ES7" s="39"/>
      <c r="ET7" s="905" t="s">
        <v>0</v>
      </c>
      <c r="EU7" s="905"/>
      <c r="EV7" s="905"/>
      <c r="EW7" s="905" t="s">
        <v>1</v>
      </c>
      <c r="EX7" s="905"/>
      <c r="EY7" s="905"/>
      <c r="EZ7" s="905"/>
      <c r="FA7" s="905"/>
      <c r="FB7" s="39"/>
      <c r="FC7" s="905" t="s">
        <v>0</v>
      </c>
      <c r="FD7" s="905"/>
      <c r="FE7" s="905"/>
      <c r="FF7" s="905" t="s">
        <v>1</v>
      </c>
      <c r="FG7" s="905"/>
      <c r="FH7" s="905"/>
      <c r="FI7" s="905"/>
      <c r="FJ7" s="905"/>
      <c r="FK7" s="39"/>
      <c r="FL7" s="39"/>
      <c r="FM7" s="914" t="s">
        <v>0</v>
      </c>
      <c r="FN7" s="915"/>
      <c r="FO7" s="916"/>
      <c r="FP7" s="914" t="s">
        <v>1</v>
      </c>
      <c r="FQ7" s="915"/>
      <c r="FR7" s="915"/>
      <c r="FS7" s="915"/>
      <c r="FT7" s="916"/>
      <c r="FU7" s="39"/>
      <c r="FV7" s="914" t="s">
        <v>0</v>
      </c>
      <c r="FW7" s="915"/>
      <c r="FX7" s="916"/>
      <c r="FY7" s="914" t="s">
        <v>1</v>
      </c>
      <c r="FZ7" s="915"/>
      <c r="GA7" s="915"/>
      <c r="GB7" s="915"/>
      <c r="GC7" s="916"/>
      <c r="GD7" s="39"/>
      <c r="GE7" s="914" t="s">
        <v>0</v>
      </c>
      <c r="GF7" s="915"/>
      <c r="GG7" s="916"/>
      <c r="GH7" s="914" t="s">
        <v>1</v>
      </c>
      <c r="GI7" s="915"/>
      <c r="GJ7" s="915"/>
      <c r="GK7" s="915"/>
      <c r="GL7" s="916"/>
      <c r="GM7" s="39"/>
      <c r="GN7" s="905" t="s">
        <v>0</v>
      </c>
      <c r="GO7" s="905"/>
      <c r="GP7" s="905"/>
      <c r="GQ7" s="905" t="s">
        <v>1</v>
      </c>
      <c r="GR7" s="905"/>
      <c r="GS7" s="905"/>
      <c r="GT7" s="905"/>
      <c r="GU7" s="905"/>
      <c r="GV7" s="39"/>
      <c r="GW7" s="905" t="s">
        <v>0</v>
      </c>
      <c r="GX7" s="905"/>
      <c r="GY7" s="905"/>
      <c r="GZ7" s="905" t="s">
        <v>1</v>
      </c>
      <c r="HA7" s="905"/>
      <c r="HB7" s="905"/>
      <c r="HC7" s="905"/>
      <c r="HD7" s="905"/>
      <c r="HE7" s="39"/>
      <c r="HF7" s="905" t="s">
        <v>0</v>
      </c>
      <c r="HG7" s="905"/>
      <c r="HH7" s="905"/>
      <c r="HI7" s="905" t="s">
        <v>1</v>
      </c>
      <c r="HJ7" s="905"/>
      <c r="HK7" s="905"/>
      <c r="HL7" s="905"/>
      <c r="HM7" s="905"/>
      <c r="HN7" s="39"/>
      <c r="HO7" s="905" t="s">
        <v>0</v>
      </c>
      <c r="HP7" s="905"/>
      <c r="HQ7" s="905"/>
      <c r="HR7" s="905" t="s">
        <v>1</v>
      </c>
      <c r="HS7" s="905"/>
      <c r="HT7" s="905"/>
      <c r="HU7" s="905"/>
      <c r="HV7" s="905"/>
      <c r="HW7" s="40"/>
    </row>
    <row r="8" spans="2:231" x14ac:dyDescent="0.25">
      <c r="B8" s="939"/>
      <c r="C8" s="39"/>
      <c r="D8" s="936"/>
      <c r="E8" s="39"/>
      <c r="F8" s="902" t="s">
        <v>2</v>
      </c>
      <c r="G8" s="902"/>
      <c r="H8" s="902"/>
      <c r="I8" s="903" t="s">
        <v>12</v>
      </c>
      <c r="J8" s="903"/>
      <c r="K8" s="903"/>
      <c r="L8" s="903"/>
      <c r="M8" s="903"/>
      <c r="N8" s="39"/>
      <c r="O8" s="902" t="s">
        <v>2</v>
      </c>
      <c r="P8" s="902"/>
      <c r="Q8" s="902"/>
      <c r="R8" s="903" t="s">
        <v>11</v>
      </c>
      <c r="S8" s="903"/>
      <c r="T8" s="903"/>
      <c r="U8" s="903"/>
      <c r="V8" s="903"/>
      <c r="W8" s="39"/>
      <c r="X8" s="902" t="s">
        <v>2</v>
      </c>
      <c r="Y8" s="902"/>
      <c r="Z8" s="902"/>
      <c r="AA8" s="903" t="s">
        <v>14</v>
      </c>
      <c r="AB8" s="903"/>
      <c r="AC8" s="903"/>
      <c r="AD8" s="903"/>
      <c r="AE8" s="903"/>
      <c r="AF8" s="39"/>
      <c r="AG8" s="902" t="s">
        <v>2</v>
      </c>
      <c r="AH8" s="902"/>
      <c r="AI8" s="902"/>
      <c r="AJ8" s="903" t="s">
        <v>20</v>
      </c>
      <c r="AK8" s="903"/>
      <c r="AL8" s="903"/>
      <c r="AM8" s="903"/>
      <c r="AN8" s="903"/>
      <c r="AO8" s="39"/>
      <c r="AP8" s="902" t="s">
        <v>2</v>
      </c>
      <c r="AQ8" s="902"/>
      <c r="AR8" s="902"/>
      <c r="AS8" s="903" t="s">
        <v>21</v>
      </c>
      <c r="AT8" s="903"/>
      <c r="AU8" s="903"/>
      <c r="AV8" s="903"/>
      <c r="AW8" s="903"/>
      <c r="AX8" s="39"/>
      <c r="AY8" s="902" t="s">
        <v>2</v>
      </c>
      <c r="AZ8" s="902"/>
      <c r="BA8" s="902"/>
      <c r="BB8" s="903" t="s">
        <v>25</v>
      </c>
      <c r="BC8" s="903"/>
      <c r="BD8" s="903"/>
      <c r="BE8" s="903"/>
      <c r="BF8" s="903"/>
      <c r="BG8" s="39"/>
      <c r="BH8" s="902" t="s">
        <v>2</v>
      </c>
      <c r="BI8" s="902"/>
      <c r="BJ8" s="902"/>
      <c r="BK8" s="903" t="s">
        <v>28</v>
      </c>
      <c r="BL8" s="903"/>
      <c r="BM8" s="903"/>
      <c r="BN8" s="903"/>
      <c r="BO8" s="903"/>
      <c r="BP8" s="39"/>
      <c r="BQ8" s="902" t="s">
        <v>2</v>
      </c>
      <c r="BR8" s="902"/>
      <c r="BS8" s="902"/>
      <c r="BT8" s="903" t="s">
        <v>31</v>
      </c>
      <c r="BU8" s="903"/>
      <c r="BV8" s="903"/>
      <c r="BW8" s="903"/>
      <c r="BX8" s="903"/>
      <c r="BY8" s="39"/>
      <c r="BZ8" s="902" t="s">
        <v>2</v>
      </c>
      <c r="CA8" s="902"/>
      <c r="CB8" s="902"/>
      <c r="CC8" s="903" t="s">
        <v>304</v>
      </c>
      <c r="CD8" s="903"/>
      <c r="CE8" s="903"/>
      <c r="CF8" s="903"/>
      <c r="CG8" s="903"/>
      <c r="CH8" s="39"/>
      <c r="CI8" s="902" t="s">
        <v>2</v>
      </c>
      <c r="CJ8" s="902"/>
      <c r="CK8" s="902"/>
      <c r="CL8" s="903" t="s">
        <v>35</v>
      </c>
      <c r="CM8" s="903"/>
      <c r="CN8" s="903"/>
      <c r="CO8" s="903"/>
      <c r="CP8" s="903"/>
      <c r="CQ8" s="39"/>
      <c r="CR8" s="902" t="s">
        <v>2</v>
      </c>
      <c r="CS8" s="902"/>
      <c r="CT8" s="902"/>
      <c r="CU8" s="903" t="s">
        <v>38</v>
      </c>
      <c r="CV8" s="903"/>
      <c r="CW8" s="903"/>
      <c r="CX8" s="903"/>
      <c r="CY8" s="903"/>
      <c r="CZ8" s="39"/>
      <c r="DA8" s="902" t="s">
        <v>2</v>
      </c>
      <c r="DB8" s="902"/>
      <c r="DC8" s="902"/>
      <c r="DD8" s="903" t="s">
        <v>41</v>
      </c>
      <c r="DE8" s="903"/>
      <c r="DF8" s="903"/>
      <c r="DG8" s="903"/>
      <c r="DH8" s="903"/>
      <c r="DI8" s="39"/>
      <c r="DJ8" s="902" t="s">
        <v>2</v>
      </c>
      <c r="DK8" s="902"/>
      <c r="DL8" s="902"/>
      <c r="DM8" s="903" t="s">
        <v>44</v>
      </c>
      <c r="DN8" s="903"/>
      <c r="DO8" s="903"/>
      <c r="DP8" s="903"/>
      <c r="DQ8" s="903"/>
      <c r="DR8" s="39"/>
      <c r="DS8" s="902" t="s">
        <v>2</v>
      </c>
      <c r="DT8" s="902"/>
      <c r="DU8" s="902"/>
      <c r="DV8" s="903" t="s">
        <v>305</v>
      </c>
      <c r="DW8" s="903"/>
      <c r="DX8" s="903"/>
      <c r="DY8" s="903"/>
      <c r="DZ8" s="903"/>
      <c r="EA8" s="39"/>
      <c r="EB8" s="902" t="s">
        <v>2</v>
      </c>
      <c r="EC8" s="902"/>
      <c r="ED8" s="902"/>
      <c r="EE8" s="903" t="s">
        <v>306</v>
      </c>
      <c r="EF8" s="903"/>
      <c r="EG8" s="903"/>
      <c r="EH8" s="903"/>
      <c r="EI8" s="903"/>
      <c r="EJ8" s="39"/>
      <c r="EK8" s="902" t="s">
        <v>2</v>
      </c>
      <c r="EL8" s="902"/>
      <c r="EM8" s="902"/>
      <c r="EN8" s="903" t="s">
        <v>51</v>
      </c>
      <c r="EO8" s="903"/>
      <c r="EP8" s="903"/>
      <c r="EQ8" s="903"/>
      <c r="ER8" s="903"/>
      <c r="ES8" s="39"/>
      <c r="ET8" s="902" t="s">
        <v>2</v>
      </c>
      <c r="EU8" s="902"/>
      <c r="EV8" s="902"/>
      <c r="EW8" s="903" t="s">
        <v>100</v>
      </c>
      <c r="EX8" s="903"/>
      <c r="EY8" s="903"/>
      <c r="EZ8" s="903"/>
      <c r="FA8" s="903"/>
      <c r="FB8" s="39"/>
      <c r="FC8" s="902" t="s">
        <v>2</v>
      </c>
      <c r="FD8" s="902"/>
      <c r="FE8" s="902"/>
      <c r="FF8" s="903" t="s">
        <v>1675</v>
      </c>
      <c r="FG8" s="903"/>
      <c r="FH8" s="903"/>
      <c r="FI8" s="903"/>
      <c r="FJ8" s="903"/>
      <c r="FK8" s="39"/>
      <c r="FL8" s="39"/>
      <c r="FM8" s="917" t="s">
        <v>2</v>
      </c>
      <c r="FN8" s="918"/>
      <c r="FO8" s="919"/>
      <c r="FP8" s="926" t="s">
        <v>95</v>
      </c>
      <c r="FQ8" s="927"/>
      <c r="FR8" s="927"/>
      <c r="FS8" s="927"/>
      <c r="FT8" s="928"/>
      <c r="FU8" s="39"/>
      <c r="FV8" s="917" t="s">
        <v>2</v>
      </c>
      <c r="FW8" s="918"/>
      <c r="FX8" s="919"/>
      <c r="FY8" s="926" t="s">
        <v>98</v>
      </c>
      <c r="FZ8" s="927"/>
      <c r="GA8" s="927"/>
      <c r="GB8" s="927"/>
      <c r="GC8" s="928"/>
      <c r="GD8" s="39"/>
      <c r="GE8" s="917" t="s">
        <v>2</v>
      </c>
      <c r="GF8" s="918"/>
      <c r="GG8" s="919"/>
      <c r="GH8" s="926" t="s">
        <v>307</v>
      </c>
      <c r="GI8" s="927"/>
      <c r="GJ8" s="927"/>
      <c r="GK8" s="927"/>
      <c r="GL8" s="928"/>
      <c r="GM8" s="39"/>
      <c r="GN8" s="902" t="s">
        <v>2</v>
      </c>
      <c r="GO8" s="902"/>
      <c r="GP8" s="902"/>
      <c r="GQ8" s="903" t="s">
        <v>171</v>
      </c>
      <c r="GR8" s="903"/>
      <c r="GS8" s="903"/>
      <c r="GT8" s="903"/>
      <c r="GU8" s="903"/>
      <c r="GV8" s="39"/>
      <c r="GW8" s="902" t="s">
        <v>2</v>
      </c>
      <c r="GX8" s="902"/>
      <c r="GY8" s="902"/>
      <c r="GZ8" s="903" t="s">
        <v>163</v>
      </c>
      <c r="HA8" s="903"/>
      <c r="HB8" s="903"/>
      <c r="HC8" s="903"/>
      <c r="HD8" s="903"/>
      <c r="HE8" s="39"/>
      <c r="HF8" s="902" t="s">
        <v>2</v>
      </c>
      <c r="HG8" s="902"/>
      <c r="HH8" s="902"/>
      <c r="HI8" s="903" t="s">
        <v>224</v>
      </c>
      <c r="HJ8" s="903"/>
      <c r="HK8" s="903"/>
      <c r="HL8" s="903"/>
      <c r="HM8" s="903"/>
      <c r="HN8" s="39"/>
      <c r="HO8" s="902" t="s">
        <v>2</v>
      </c>
      <c r="HP8" s="902"/>
      <c r="HQ8" s="902"/>
      <c r="HR8" s="903" t="s">
        <v>938</v>
      </c>
      <c r="HS8" s="903"/>
      <c r="HT8" s="903"/>
      <c r="HU8" s="903"/>
      <c r="HV8" s="903"/>
      <c r="HW8" s="40"/>
    </row>
    <row r="9" spans="2:231" x14ac:dyDescent="0.25">
      <c r="B9" s="939"/>
      <c r="C9" s="39"/>
      <c r="D9" s="936"/>
      <c r="E9" s="39"/>
      <c r="F9" s="902"/>
      <c r="G9" s="902"/>
      <c r="H9" s="902"/>
      <c r="I9" s="903"/>
      <c r="J9" s="903"/>
      <c r="K9" s="903"/>
      <c r="L9" s="903"/>
      <c r="M9" s="903"/>
      <c r="N9" s="39"/>
      <c r="O9" s="902"/>
      <c r="P9" s="902"/>
      <c r="Q9" s="902"/>
      <c r="R9" s="903"/>
      <c r="S9" s="903"/>
      <c r="T9" s="903"/>
      <c r="U9" s="903"/>
      <c r="V9" s="903"/>
      <c r="W9" s="39"/>
      <c r="X9" s="902"/>
      <c r="Y9" s="902"/>
      <c r="Z9" s="902"/>
      <c r="AA9" s="903"/>
      <c r="AB9" s="903"/>
      <c r="AC9" s="903"/>
      <c r="AD9" s="903"/>
      <c r="AE9" s="903"/>
      <c r="AF9" s="39"/>
      <c r="AG9" s="902"/>
      <c r="AH9" s="902"/>
      <c r="AI9" s="902"/>
      <c r="AJ9" s="903"/>
      <c r="AK9" s="903"/>
      <c r="AL9" s="903"/>
      <c r="AM9" s="903"/>
      <c r="AN9" s="903"/>
      <c r="AO9" s="39"/>
      <c r="AP9" s="902"/>
      <c r="AQ9" s="902"/>
      <c r="AR9" s="902"/>
      <c r="AS9" s="903"/>
      <c r="AT9" s="903"/>
      <c r="AU9" s="903"/>
      <c r="AV9" s="903"/>
      <c r="AW9" s="903"/>
      <c r="AX9" s="39"/>
      <c r="AY9" s="902"/>
      <c r="AZ9" s="902"/>
      <c r="BA9" s="902"/>
      <c r="BB9" s="903"/>
      <c r="BC9" s="903"/>
      <c r="BD9" s="903"/>
      <c r="BE9" s="903"/>
      <c r="BF9" s="903"/>
      <c r="BG9" s="39"/>
      <c r="BH9" s="902"/>
      <c r="BI9" s="902"/>
      <c r="BJ9" s="902"/>
      <c r="BK9" s="903"/>
      <c r="BL9" s="903"/>
      <c r="BM9" s="903"/>
      <c r="BN9" s="903"/>
      <c r="BO9" s="903"/>
      <c r="BP9" s="39"/>
      <c r="BQ9" s="902"/>
      <c r="BR9" s="902"/>
      <c r="BS9" s="902"/>
      <c r="BT9" s="903"/>
      <c r="BU9" s="903"/>
      <c r="BV9" s="903"/>
      <c r="BW9" s="903"/>
      <c r="BX9" s="903"/>
      <c r="BY9" s="39"/>
      <c r="BZ9" s="902"/>
      <c r="CA9" s="902"/>
      <c r="CB9" s="902"/>
      <c r="CC9" s="903"/>
      <c r="CD9" s="903"/>
      <c r="CE9" s="903"/>
      <c r="CF9" s="903"/>
      <c r="CG9" s="903"/>
      <c r="CH9" s="39"/>
      <c r="CI9" s="902"/>
      <c r="CJ9" s="902"/>
      <c r="CK9" s="902"/>
      <c r="CL9" s="903"/>
      <c r="CM9" s="903"/>
      <c r="CN9" s="903"/>
      <c r="CO9" s="903"/>
      <c r="CP9" s="903"/>
      <c r="CQ9" s="39"/>
      <c r="CR9" s="902"/>
      <c r="CS9" s="902"/>
      <c r="CT9" s="902"/>
      <c r="CU9" s="903"/>
      <c r="CV9" s="903"/>
      <c r="CW9" s="903"/>
      <c r="CX9" s="903"/>
      <c r="CY9" s="903"/>
      <c r="CZ9" s="39"/>
      <c r="DA9" s="902"/>
      <c r="DB9" s="902"/>
      <c r="DC9" s="902"/>
      <c r="DD9" s="903"/>
      <c r="DE9" s="903"/>
      <c r="DF9" s="903"/>
      <c r="DG9" s="903"/>
      <c r="DH9" s="903"/>
      <c r="DI9" s="39"/>
      <c r="DJ9" s="902"/>
      <c r="DK9" s="902"/>
      <c r="DL9" s="902"/>
      <c r="DM9" s="903"/>
      <c r="DN9" s="903"/>
      <c r="DO9" s="903"/>
      <c r="DP9" s="903"/>
      <c r="DQ9" s="903"/>
      <c r="DR9" s="39"/>
      <c r="DS9" s="902"/>
      <c r="DT9" s="902"/>
      <c r="DU9" s="902"/>
      <c r="DV9" s="903"/>
      <c r="DW9" s="903"/>
      <c r="DX9" s="903"/>
      <c r="DY9" s="903"/>
      <c r="DZ9" s="903"/>
      <c r="EA9" s="39"/>
      <c r="EB9" s="902"/>
      <c r="EC9" s="902"/>
      <c r="ED9" s="902"/>
      <c r="EE9" s="903"/>
      <c r="EF9" s="903"/>
      <c r="EG9" s="903"/>
      <c r="EH9" s="903"/>
      <c r="EI9" s="903"/>
      <c r="EJ9" s="39"/>
      <c r="EK9" s="902"/>
      <c r="EL9" s="902"/>
      <c r="EM9" s="902"/>
      <c r="EN9" s="903"/>
      <c r="EO9" s="903"/>
      <c r="EP9" s="903"/>
      <c r="EQ9" s="903"/>
      <c r="ER9" s="903"/>
      <c r="ES9" s="39"/>
      <c r="ET9" s="902"/>
      <c r="EU9" s="902"/>
      <c r="EV9" s="902"/>
      <c r="EW9" s="903"/>
      <c r="EX9" s="903"/>
      <c r="EY9" s="903"/>
      <c r="EZ9" s="903"/>
      <c r="FA9" s="903"/>
      <c r="FB9" s="39"/>
      <c r="FC9" s="902"/>
      <c r="FD9" s="902"/>
      <c r="FE9" s="902"/>
      <c r="FF9" s="903"/>
      <c r="FG9" s="903"/>
      <c r="FH9" s="903"/>
      <c r="FI9" s="903"/>
      <c r="FJ9" s="903"/>
      <c r="FK9" s="39"/>
      <c r="FL9" s="39"/>
      <c r="FM9" s="920"/>
      <c r="FN9" s="921"/>
      <c r="FO9" s="922"/>
      <c r="FP9" s="929"/>
      <c r="FQ9" s="930"/>
      <c r="FR9" s="930"/>
      <c r="FS9" s="930"/>
      <c r="FT9" s="931"/>
      <c r="FU9" s="39"/>
      <c r="FV9" s="920"/>
      <c r="FW9" s="921"/>
      <c r="FX9" s="922"/>
      <c r="FY9" s="929"/>
      <c r="FZ9" s="930"/>
      <c r="GA9" s="930"/>
      <c r="GB9" s="930"/>
      <c r="GC9" s="931"/>
      <c r="GD9" s="39"/>
      <c r="GE9" s="920"/>
      <c r="GF9" s="921"/>
      <c r="GG9" s="922"/>
      <c r="GH9" s="929"/>
      <c r="GI9" s="930"/>
      <c r="GJ9" s="930"/>
      <c r="GK9" s="930"/>
      <c r="GL9" s="931"/>
      <c r="GM9" s="39"/>
      <c r="GN9" s="902"/>
      <c r="GO9" s="902"/>
      <c r="GP9" s="902"/>
      <c r="GQ9" s="903"/>
      <c r="GR9" s="903"/>
      <c r="GS9" s="903"/>
      <c r="GT9" s="903"/>
      <c r="GU9" s="903"/>
      <c r="GV9" s="39"/>
      <c r="GW9" s="902"/>
      <c r="GX9" s="902"/>
      <c r="GY9" s="902"/>
      <c r="GZ9" s="903"/>
      <c r="HA9" s="903"/>
      <c r="HB9" s="903"/>
      <c r="HC9" s="903"/>
      <c r="HD9" s="903"/>
      <c r="HE9" s="39"/>
      <c r="HF9" s="902"/>
      <c r="HG9" s="902"/>
      <c r="HH9" s="902"/>
      <c r="HI9" s="903"/>
      <c r="HJ9" s="903"/>
      <c r="HK9" s="903"/>
      <c r="HL9" s="903"/>
      <c r="HM9" s="903"/>
      <c r="HN9" s="39"/>
      <c r="HO9" s="902"/>
      <c r="HP9" s="902"/>
      <c r="HQ9" s="902"/>
      <c r="HR9" s="903"/>
      <c r="HS9" s="903"/>
      <c r="HT9" s="903"/>
      <c r="HU9" s="903"/>
      <c r="HV9" s="903"/>
      <c r="HW9" s="40"/>
    </row>
    <row r="10" spans="2:231" x14ac:dyDescent="0.25">
      <c r="B10" s="939"/>
      <c r="C10" s="39"/>
      <c r="D10" s="936"/>
      <c r="E10" s="39"/>
      <c r="F10" s="902"/>
      <c r="G10" s="902"/>
      <c r="H10" s="902"/>
      <c r="I10" s="903"/>
      <c r="J10" s="903"/>
      <c r="K10" s="903"/>
      <c r="L10" s="903"/>
      <c r="M10" s="903"/>
      <c r="N10" s="39"/>
      <c r="O10" s="902"/>
      <c r="P10" s="902"/>
      <c r="Q10" s="902"/>
      <c r="R10" s="903"/>
      <c r="S10" s="903"/>
      <c r="T10" s="903"/>
      <c r="U10" s="903"/>
      <c r="V10" s="903"/>
      <c r="W10" s="39"/>
      <c r="X10" s="902"/>
      <c r="Y10" s="902"/>
      <c r="Z10" s="902"/>
      <c r="AA10" s="903"/>
      <c r="AB10" s="903"/>
      <c r="AC10" s="903"/>
      <c r="AD10" s="903"/>
      <c r="AE10" s="903"/>
      <c r="AF10" s="39"/>
      <c r="AG10" s="902"/>
      <c r="AH10" s="902"/>
      <c r="AI10" s="902"/>
      <c r="AJ10" s="903"/>
      <c r="AK10" s="903"/>
      <c r="AL10" s="903"/>
      <c r="AM10" s="903"/>
      <c r="AN10" s="903"/>
      <c r="AO10" s="39"/>
      <c r="AP10" s="902"/>
      <c r="AQ10" s="902"/>
      <c r="AR10" s="902"/>
      <c r="AS10" s="903"/>
      <c r="AT10" s="903"/>
      <c r="AU10" s="903"/>
      <c r="AV10" s="903"/>
      <c r="AW10" s="903"/>
      <c r="AX10" s="39"/>
      <c r="AY10" s="902"/>
      <c r="AZ10" s="902"/>
      <c r="BA10" s="902"/>
      <c r="BB10" s="903"/>
      <c r="BC10" s="903"/>
      <c r="BD10" s="903"/>
      <c r="BE10" s="903"/>
      <c r="BF10" s="903"/>
      <c r="BG10" s="39"/>
      <c r="BH10" s="902"/>
      <c r="BI10" s="902"/>
      <c r="BJ10" s="902"/>
      <c r="BK10" s="903"/>
      <c r="BL10" s="903"/>
      <c r="BM10" s="903"/>
      <c r="BN10" s="903"/>
      <c r="BO10" s="903"/>
      <c r="BP10" s="39"/>
      <c r="BQ10" s="902"/>
      <c r="BR10" s="902"/>
      <c r="BS10" s="902"/>
      <c r="BT10" s="903"/>
      <c r="BU10" s="903"/>
      <c r="BV10" s="903"/>
      <c r="BW10" s="903"/>
      <c r="BX10" s="903"/>
      <c r="BY10" s="39"/>
      <c r="BZ10" s="902"/>
      <c r="CA10" s="902"/>
      <c r="CB10" s="902"/>
      <c r="CC10" s="903"/>
      <c r="CD10" s="903"/>
      <c r="CE10" s="903"/>
      <c r="CF10" s="903"/>
      <c r="CG10" s="903"/>
      <c r="CH10" s="39"/>
      <c r="CI10" s="902"/>
      <c r="CJ10" s="902"/>
      <c r="CK10" s="902"/>
      <c r="CL10" s="903"/>
      <c r="CM10" s="903"/>
      <c r="CN10" s="903"/>
      <c r="CO10" s="903"/>
      <c r="CP10" s="903"/>
      <c r="CQ10" s="39"/>
      <c r="CR10" s="902"/>
      <c r="CS10" s="902"/>
      <c r="CT10" s="902"/>
      <c r="CU10" s="903"/>
      <c r="CV10" s="903"/>
      <c r="CW10" s="903"/>
      <c r="CX10" s="903"/>
      <c r="CY10" s="903"/>
      <c r="CZ10" s="39"/>
      <c r="DA10" s="902"/>
      <c r="DB10" s="902"/>
      <c r="DC10" s="902"/>
      <c r="DD10" s="903"/>
      <c r="DE10" s="903"/>
      <c r="DF10" s="903"/>
      <c r="DG10" s="903"/>
      <c r="DH10" s="903"/>
      <c r="DI10" s="39"/>
      <c r="DJ10" s="902"/>
      <c r="DK10" s="902"/>
      <c r="DL10" s="902"/>
      <c r="DM10" s="903"/>
      <c r="DN10" s="903"/>
      <c r="DO10" s="903"/>
      <c r="DP10" s="903"/>
      <c r="DQ10" s="903"/>
      <c r="DR10" s="39"/>
      <c r="DS10" s="902"/>
      <c r="DT10" s="902"/>
      <c r="DU10" s="902"/>
      <c r="DV10" s="903"/>
      <c r="DW10" s="903"/>
      <c r="DX10" s="903"/>
      <c r="DY10" s="903"/>
      <c r="DZ10" s="903"/>
      <c r="EA10" s="39"/>
      <c r="EB10" s="902"/>
      <c r="EC10" s="902"/>
      <c r="ED10" s="902"/>
      <c r="EE10" s="903"/>
      <c r="EF10" s="903"/>
      <c r="EG10" s="903"/>
      <c r="EH10" s="903"/>
      <c r="EI10" s="903"/>
      <c r="EJ10" s="39"/>
      <c r="EK10" s="902"/>
      <c r="EL10" s="902"/>
      <c r="EM10" s="902"/>
      <c r="EN10" s="903"/>
      <c r="EO10" s="903"/>
      <c r="EP10" s="903"/>
      <c r="EQ10" s="903"/>
      <c r="ER10" s="903"/>
      <c r="ES10" s="39"/>
      <c r="ET10" s="902"/>
      <c r="EU10" s="902"/>
      <c r="EV10" s="902"/>
      <c r="EW10" s="903"/>
      <c r="EX10" s="903"/>
      <c r="EY10" s="903"/>
      <c r="EZ10" s="903"/>
      <c r="FA10" s="903"/>
      <c r="FB10" s="39"/>
      <c r="FC10" s="902"/>
      <c r="FD10" s="902"/>
      <c r="FE10" s="902"/>
      <c r="FF10" s="903"/>
      <c r="FG10" s="903"/>
      <c r="FH10" s="903"/>
      <c r="FI10" s="903"/>
      <c r="FJ10" s="903"/>
      <c r="FK10" s="39"/>
      <c r="FL10" s="39"/>
      <c r="FM10" s="923"/>
      <c r="FN10" s="924"/>
      <c r="FO10" s="925"/>
      <c r="FP10" s="932"/>
      <c r="FQ10" s="933"/>
      <c r="FR10" s="933"/>
      <c r="FS10" s="933"/>
      <c r="FT10" s="934"/>
      <c r="FU10" s="39"/>
      <c r="FV10" s="923"/>
      <c r="FW10" s="924"/>
      <c r="FX10" s="925"/>
      <c r="FY10" s="932"/>
      <c r="FZ10" s="933"/>
      <c r="GA10" s="933"/>
      <c r="GB10" s="933"/>
      <c r="GC10" s="934"/>
      <c r="GD10" s="39"/>
      <c r="GE10" s="923"/>
      <c r="GF10" s="924"/>
      <c r="GG10" s="925"/>
      <c r="GH10" s="932"/>
      <c r="GI10" s="933"/>
      <c r="GJ10" s="933"/>
      <c r="GK10" s="933"/>
      <c r="GL10" s="934"/>
      <c r="GM10" s="39"/>
      <c r="GN10" s="902"/>
      <c r="GO10" s="902"/>
      <c r="GP10" s="902"/>
      <c r="GQ10" s="903"/>
      <c r="GR10" s="903"/>
      <c r="GS10" s="903"/>
      <c r="GT10" s="903"/>
      <c r="GU10" s="903"/>
      <c r="GV10" s="39"/>
      <c r="GW10" s="902"/>
      <c r="GX10" s="902"/>
      <c r="GY10" s="902"/>
      <c r="GZ10" s="903"/>
      <c r="HA10" s="903"/>
      <c r="HB10" s="903"/>
      <c r="HC10" s="903"/>
      <c r="HD10" s="903"/>
      <c r="HE10" s="39"/>
      <c r="HF10" s="902"/>
      <c r="HG10" s="902"/>
      <c r="HH10" s="902"/>
      <c r="HI10" s="903"/>
      <c r="HJ10" s="903"/>
      <c r="HK10" s="903"/>
      <c r="HL10" s="903"/>
      <c r="HM10" s="903"/>
      <c r="HN10" s="39"/>
      <c r="HO10" s="902"/>
      <c r="HP10" s="902"/>
      <c r="HQ10" s="902"/>
      <c r="HR10" s="903"/>
      <c r="HS10" s="903"/>
      <c r="HT10" s="903"/>
      <c r="HU10" s="903"/>
      <c r="HV10" s="903"/>
      <c r="HW10" s="40"/>
    </row>
    <row r="11" spans="2:231" x14ac:dyDescent="0.25">
      <c r="B11" s="939"/>
      <c r="C11" s="39"/>
      <c r="D11" s="936"/>
      <c r="E11" s="39"/>
      <c r="F11" s="905" t="s">
        <v>0</v>
      </c>
      <c r="G11" s="905"/>
      <c r="H11" s="905"/>
      <c r="I11" s="905" t="s">
        <v>1</v>
      </c>
      <c r="J11" s="905"/>
      <c r="K11" s="905"/>
      <c r="L11" s="905"/>
      <c r="M11" s="905"/>
      <c r="N11" s="39"/>
      <c r="O11" s="905" t="s">
        <v>0</v>
      </c>
      <c r="P11" s="905"/>
      <c r="Q11" s="905"/>
      <c r="R11" s="905" t="s">
        <v>1</v>
      </c>
      <c r="S11" s="905"/>
      <c r="T11" s="905"/>
      <c r="U11" s="905"/>
      <c r="V11" s="905"/>
      <c r="W11" s="39"/>
      <c r="X11" s="905" t="s">
        <v>0</v>
      </c>
      <c r="Y11" s="905"/>
      <c r="Z11" s="905"/>
      <c r="AA11" s="905" t="s">
        <v>1</v>
      </c>
      <c r="AB11" s="905"/>
      <c r="AC11" s="905"/>
      <c r="AD11" s="905"/>
      <c r="AE11" s="905"/>
      <c r="AF11" s="39"/>
      <c r="AG11" s="905" t="s">
        <v>0</v>
      </c>
      <c r="AH11" s="905"/>
      <c r="AI11" s="905"/>
      <c r="AJ11" s="905" t="s">
        <v>1</v>
      </c>
      <c r="AK11" s="905"/>
      <c r="AL11" s="905"/>
      <c r="AM11" s="905"/>
      <c r="AN11" s="905"/>
      <c r="AO11" s="39"/>
      <c r="AP11" s="905" t="s">
        <v>0</v>
      </c>
      <c r="AQ11" s="905"/>
      <c r="AR11" s="905"/>
      <c r="AS11" s="905" t="s">
        <v>1</v>
      </c>
      <c r="AT11" s="905"/>
      <c r="AU11" s="905"/>
      <c r="AV11" s="905"/>
      <c r="AW11" s="905"/>
      <c r="AX11" s="39"/>
      <c r="AY11" s="905" t="s">
        <v>0</v>
      </c>
      <c r="AZ11" s="905"/>
      <c r="BA11" s="905"/>
      <c r="BB11" s="905" t="s">
        <v>1</v>
      </c>
      <c r="BC11" s="905"/>
      <c r="BD11" s="905"/>
      <c r="BE11" s="905"/>
      <c r="BF11" s="905"/>
      <c r="BG11" s="39"/>
      <c r="BH11" s="905" t="s">
        <v>0</v>
      </c>
      <c r="BI11" s="905"/>
      <c r="BJ11" s="905"/>
      <c r="BK11" s="905" t="s">
        <v>1</v>
      </c>
      <c r="BL11" s="905"/>
      <c r="BM11" s="905"/>
      <c r="BN11" s="905"/>
      <c r="BO11" s="905"/>
      <c r="BP11" s="39"/>
      <c r="BQ11" s="905" t="s">
        <v>0</v>
      </c>
      <c r="BR11" s="905"/>
      <c r="BS11" s="905"/>
      <c r="BT11" s="905" t="s">
        <v>1</v>
      </c>
      <c r="BU11" s="905"/>
      <c r="BV11" s="905"/>
      <c r="BW11" s="905"/>
      <c r="BX11" s="905"/>
      <c r="BY11" s="39"/>
      <c r="BZ11" s="905" t="s">
        <v>0</v>
      </c>
      <c r="CA11" s="905"/>
      <c r="CB11" s="905"/>
      <c r="CC11" s="905" t="s">
        <v>1</v>
      </c>
      <c r="CD11" s="905"/>
      <c r="CE11" s="905"/>
      <c r="CF11" s="905"/>
      <c r="CG11" s="905"/>
      <c r="CH11" s="39"/>
      <c r="CI11" s="905" t="s">
        <v>0</v>
      </c>
      <c r="CJ11" s="905"/>
      <c r="CK11" s="905"/>
      <c r="CL11" s="905" t="s">
        <v>1</v>
      </c>
      <c r="CM11" s="905"/>
      <c r="CN11" s="905"/>
      <c r="CO11" s="905"/>
      <c r="CP11" s="905"/>
      <c r="CQ11" s="39"/>
      <c r="CR11" s="905" t="s">
        <v>0</v>
      </c>
      <c r="CS11" s="905"/>
      <c r="CT11" s="905"/>
      <c r="CU11" s="905" t="s">
        <v>1</v>
      </c>
      <c r="CV11" s="905"/>
      <c r="CW11" s="905"/>
      <c r="CX11" s="905"/>
      <c r="CY11" s="905"/>
      <c r="CZ11" s="39"/>
      <c r="DA11" s="905" t="s">
        <v>0</v>
      </c>
      <c r="DB11" s="905"/>
      <c r="DC11" s="905"/>
      <c r="DD11" s="905" t="s">
        <v>1</v>
      </c>
      <c r="DE11" s="905"/>
      <c r="DF11" s="905"/>
      <c r="DG11" s="905"/>
      <c r="DH11" s="905"/>
      <c r="DI11" s="39"/>
      <c r="DJ11" s="905" t="s">
        <v>0</v>
      </c>
      <c r="DK11" s="905"/>
      <c r="DL11" s="905"/>
      <c r="DM11" s="905" t="s">
        <v>1</v>
      </c>
      <c r="DN11" s="905"/>
      <c r="DO11" s="905"/>
      <c r="DP11" s="905"/>
      <c r="DQ11" s="905"/>
      <c r="DR11" s="39"/>
      <c r="DS11" s="905" t="s">
        <v>0</v>
      </c>
      <c r="DT11" s="905"/>
      <c r="DU11" s="905"/>
      <c r="DV11" s="905" t="s">
        <v>1</v>
      </c>
      <c r="DW11" s="905"/>
      <c r="DX11" s="905"/>
      <c r="DY11" s="905"/>
      <c r="DZ11" s="905"/>
      <c r="EA11" s="39"/>
      <c r="EB11" s="905" t="s">
        <v>0</v>
      </c>
      <c r="EC11" s="905"/>
      <c r="ED11" s="905"/>
      <c r="EE11" s="905" t="s">
        <v>1</v>
      </c>
      <c r="EF11" s="905"/>
      <c r="EG11" s="905"/>
      <c r="EH11" s="905"/>
      <c r="EI11" s="905"/>
      <c r="EJ11" s="39"/>
      <c r="EK11" s="905" t="s">
        <v>0</v>
      </c>
      <c r="EL11" s="905"/>
      <c r="EM11" s="905"/>
      <c r="EN11" s="905" t="s">
        <v>1</v>
      </c>
      <c r="EO11" s="905"/>
      <c r="EP11" s="905"/>
      <c r="EQ11" s="905"/>
      <c r="ER11" s="905"/>
      <c r="ES11" s="39"/>
      <c r="ET11" s="905" t="s">
        <v>0</v>
      </c>
      <c r="EU11" s="905"/>
      <c r="EV11" s="905"/>
      <c r="EW11" s="905" t="s">
        <v>1</v>
      </c>
      <c r="EX11" s="905"/>
      <c r="EY11" s="905"/>
      <c r="EZ11" s="905"/>
      <c r="FA11" s="905"/>
      <c r="FB11" s="39"/>
      <c r="FC11" s="905" t="s">
        <v>0</v>
      </c>
      <c r="FD11" s="905"/>
      <c r="FE11" s="905"/>
      <c r="FF11" s="905" t="s">
        <v>1</v>
      </c>
      <c r="FG11" s="905"/>
      <c r="FH11" s="905"/>
      <c r="FI11" s="905"/>
      <c r="FJ11" s="905"/>
      <c r="FK11" s="39"/>
      <c r="FL11" s="39"/>
      <c r="FM11" s="914" t="s">
        <v>0</v>
      </c>
      <c r="FN11" s="915"/>
      <c r="FO11" s="916"/>
      <c r="FP11" s="914" t="s">
        <v>1</v>
      </c>
      <c r="FQ11" s="915"/>
      <c r="FR11" s="915"/>
      <c r="FS11" s="915"/>
      <c r="FT11" s="916"/>
      <c r="FU11" s="39"/>
      <c r="FV11" s="914" t="s">
        <v>0</v>
      </c>
      <c r="FW11" s="915"/>
      <c r="FX11" s="916"/>
      <c r="FY11" s="914" t="s">
        <v>1</v>
      </c>
      <c r="FZ11" s="915"/>
      <c r="GA11" s="915"/>
      <c r="GB11" s="915"/>
      <c r="GC11" s="916"/>
      <c r="GD11" s="39"/>
      <c r="GE11" s="914" t="s">
        <v>0</v>
      </c>
      <c r="GF11" s="915"/>
      <c r="GG11" s="916"/>
      <c r="GH11" s="914" t="s">
        <v>1</v>
      </c>
      <c r="GI11" s="915"/>
      <c r="GJ11" s="915"/>
      <c r="GK11" s="915"/>
      <c r="GL11" s="916"/>
      <c r="GM11" s="39"/>
      <c r="GN11" s="905" t="s">
        <v>0</v>
      </c>
      <c r="GO11" s="905"/>
      <c r="GP11" s="905"/>
      <c r="GQ11" s="905" t="s">
        <v>1</v>
      </c>
      <c r="GR11" s="905"/>
      <c r="GS11" s="905"/>
      <c r="GT11" s="905"/>
      <c r="GU11" s="905"/>
      <c r="GV11" s="39"/>
      <c r="GW11" s="905" t="s">
        <v>0</v>
      </c>
      <c r="GX11" s="905"/>
      <c r="GY11" s="905"/>
      <c r="GZ11" s="905" t="s">
        <v>1</v>
      </c>
      <c r="HA11" s="905"/>
      <c r="HB11" s="905"/>
      <c r="HC11" s="905"/>
      <c r="HD11" s="905"/>
      <c r="HE11" s="39"/>
      <c r="HF11" s="905" t="s">
        <v>0</v>
      </c>
      <c r="HG11" s="905"/>
      <c r="HH11" s="905"/>
      <c r="HI11" s="905" t="s">
        <v>1</v>
      </c>
      <c r="HJ11" s="905"/>
      <c r="HK11" s="905"/>
      <c r="HL11" s="905"/>
      <c r="HM11" s="905"/>
      <c r="HN11" s="39"/>
      <c r="HO11" s="905" t="s">
        <v>0</v>
      </c>
      <c r="HP11" s="905"/>
      <c r="HQ11" s="905"/>
      <c r="HR11" s="905" t="s">
        <v>1</v>
      </c>
      <c r="HS11" s="905"/>
      <c r="HT11" s="905"/>
      <c r="HU11" s="905"/>
      <c r="HV11" s="905"/>
      <c r="HW11" s="40"/>
    </row>
    <row r="12" spans="2:231" ht="15.75" customHeight="1" x14ac:dyDescent="0.25">
      <c r="B12" s="939"/>
      <c r="C12" s="39"/>
      <c r="D12" s="936"/>
      <c r="E12" s="39"/>
      <c r="F12" s="902" t="s">
        <v>3</v>
      </c>
      <c r="G12" s="902"/>
      <c r="H12" s="902"/>
      <c r="I12" s="904" t="s">
        <v>290</v>
      </c>
      <c r="J12" s="903"/>
      <c r="K12" s="903"/>
      <c r="L12" s="903"/>
      <c r="M12" s="903"/>
      <c r="N12" s="39"/>
      <c r="O12" s="902" t="s">
        <v>3</v>
      </c>
      <c r="P12" s="902"/>
      <c r="Q12" s="902"/>
      <c r="R12" s="904" t="s">
        <v>289</v>
      </c>
      <c r="S12" s="903"/>
      <c r="T12" s="903"/>
      <c r="U12" s="903"/>
      <c r="V12" s="903"/>
      <c r="W12" s="39"/>
      <c r="X12" s="902" t="s">
        <v>3</v>
      </c>
      <c r="Y12" s="902"/>
      <c r="Z12" s="902"/>
      <c r="AA12" s="904" t="s">
        <v>24</v>
      </c>
      <c r="AB12" s="903"/>
      <c r="AC12" s="903"/>
      <c r="AD12" s="903"/>
      <c r="AE12" s="903"/>
      <c r="AF12" s="39"/>
      <c r="AG12" s="902" t="s">
        <v>3</v>
      </c>
      <c r="AH12" s="902"/>
      <c r="AI12" s="902"/>
      <c r="AJ12" s="904" t="s">
        <v>18</v>
      </c>
      <c r="AK12" s="903"/>
      <c r="AL12" s="903"/>
      <c r="AM12" s="903"/>
      <c r="AN12" s="903"/>
      <c r="AO12" s="39"/>
      <c r="AP12" s="902" t="s">
        <v>3</v>
      </c>
      <c r="AQ12" s="902"/>
      <c r="AR12" s="902"/>
      <c r="AS12" s="904" t="s">
        <v>22</v>
      </c>
      <c r="AT12" s="903"/>
      <c r="AU12" s="903"/>
      <c r="AV12" s="903"/>
      <c r="AW12" s="903"/>
      <c r="AX12" s="39"/>
      <c r="AY12" s="902" t="s">
        <v>3</v>
      </c>
      <c r="AZ12" s="902"/>
      <c r="BA12" s="902"/>
      <c r="BB12" s="904" t="s">
        <v>26</v>
      </c>
      <c r="BC12" s="903"/>
      <c r="BD12" s="903"/>
      <c r="BE12" s="903"/>
      <c r="BF12" s="903"/>
      <c r="BG12" s="39"/>
      <c r="BH12" s="902" t="s">
        <v>3</v>
      </c>
      <c r="BI12" s="902"/>
      <c r="BJ12" s="902"/>
      <c r="BK12" s="904" t="s">
        <v>29</v>
      </c>
      <c r="BL12" s="903"/>
      <c r="BM12" s="903"/>
      <c r="BN12" s="903"/>
      <c r="BO12" s="903"/>
      <c r="BP12" s="39"/>
      <c r="BQ12" s="902" t="s">
        <v>3</v>
      </c>
      <c r="BR12" s="902"/>
      <c r="BS12" s="902"/>
      <c r="BT12" s="904" t="s">
        <v>32</v>
      </c>
      <c r="BU12" s="903"/>
      <c r="BV12" s="903"/>
      <c r="BW12" s="903"/>
      <c r="BX12" s="903"/>
      <c r="BY12" s="39"/>
      <c r="BZ12" s="902" t="s">
        <v>3</v>
      </c>
      <c r="CA12" s="902"/>
      <c r="CB12" s="902"/>
      <c r="CC12" s="904" t="s">
        <v>308</v>
      </c>
      <c r="CD12" s="903"/>
      <c r="CE12" s="903"/>
      <c r="CF12" s="903"/>
      <c r="CG12" s="903"/>
      <c r="CH12" s="39"/>
      <c r="CI12" s="902" t="s">
        <v>3</v>
      </c>
      <c r="CJ12" s="902"/>
      <c r="CK12" s="902"/>
      <c r="CL12" s="904" t="s">
        <v>36</v>
      </c>
      <c r="CM12" s="903"/>
      <c r="CN12" s="903"/>
      <c r="CO12" s="903"/>
      <c r="CP12" s="903"/>
      <c r="CQ12" s="39"/>
      <c r="CR12" s="902" t="s">
        <v>3</v>
      </c>
      <c r="CS12" s="902"/>
      <c r="CT12" s="902"/>
      <c r="CU12" s="904" t="s">
        <v>39</v>
      </c>
      <c r="CV12" s="903"/>
      <c r="CW12" s="903"/>
      <c r="CX12" s="903"/>
      <c r="CY12" s="903"/>
      <c r="CZ12" s="39"/>
      <c r="DA12" s="902" t="s">
        <v>3</v>
      </c>
      <c r="DB12" s="902"/>
      <c r="DC12" s="902"/>
      <c r="DD12" s="903" t="s">
        <v>42</v>
      </c>
      <c r="DE12" s="903"/>
      <c r="DF12" s="903"/>
      <c r="DG12" s="903"/>
      <c r="DH12" s="903"/>
      <c r="DI12" s="39"/>
      <c r="DJ12" s="902" t="s">
        <v>3</v>
      </c>
      <c r="DK12" s="902"/>
      <c r="DL12" s="902"/>
      <c r="DM12" s="903" t="s">
        <v>45</v>
      </c>
      <c r="DN12" s="903"/>
      <c r="DO12" s="903"/>
      <c r="DP12" s="903"/>
      <c r="DQ12" s="903"/>
      <c r="DR12" s="39"/>
      <c r="DS12" s="902" t="s">
        <v>3</v>
      </c>
      <c r="DT12" s="902"/>
      <c r="DU12" s="902"/>
      <c r="DV12" s="904" t="s">
        <v>309</v>
      </c>
      <c r="DW12" s="903"/>
      <c r="DX12" s="903"/>
      <c r="DY12" s="903"/>
      <c r="DZ12" s="903"/>
      <c r="EA12" s="39"/>
      <c r="EB12" s="902" t="s">
        <v>3</v>
      </c>
      <c r="EC12" s="902"/>
      <c r="ED12" s="902"/>
      <c r="EE12" s="904" t="s">
        <v>49</v>
      </c>
      <c r="EF12" s="903"/>
      <c r="EG12" s="903"/>
      <c r="EH12" s="903"/>
      <c r="EI12" s="903"/>
      <c r="EJ12" s="39"/>
      <c r="EK12" s="902" t="s">
        <v>3</v>
      </c>
      <c r="EL12" s="902"/>
      <c r="EM12" s="902"/>
      <c r="EN12" s="903" t="s">
        <v>52</v>
      </c>
      <c r="EO12" s="903"/>
      <c r="EP12" s="903"/>
      <c r="EQ12" s="903"/>
      <c r="ER12" s="903"/>
      <c r="ES12" s="39"/>
      <c r="ET12" s="902" t="s">
        <v>3</v>
      </c>
      <c r="EU12" s="902"/>
      <c r="EV12" s="902"/>
      <c r="EW12" s="904" t="s">
        <v>101</v>
      </c>
      <c r="EX12" s="903"/>
      <c r="EY12" s="903"/>
      <c r="EZ12" s="903"/>
      <c r="FA12" s="903"/>
      <c r="FB12" s="39"/>
      <c r="FC12" s="902" t="s">
        <v>3</v>
      </c>
      <c r="FD12" s="902"/>
      <c r="FE12" s="902"/>
      <c r="FF12" s="904" t="s">
        <v>1676</v>
      </c>
      <c r="FG12" s="903"/>
      <c r="FH12" s="903"/>
      <c r="FI12" s="903"/>
      <c r="FJ12" s="903"/>
      <c r="FK12" s="39"/>
      <c r="FL12" s="39"/>
      <c r="FM12" s="917" t="s">
        <v>3</v>
      </c>
      <c r="FN12" s="918"/>
      <c r="FO12" s="919"/>
      <c r="FP12" s="941" t="s">
        <v>96</v>
      </c>
      <c r="FQ12" s="942"/>
      <c r="FR12" s="942"/>
      <c r="FS12" s="942"/>
      <c r="FT12" s="943"/>
      <c r="FU12" s="39"/>
      <c r="FV12" s="917" t="s">
        <v>3</v>
      </c>
      <c r="FW12" s="918"/>
      <c r="FX12" s="919"/>
      <c r="FY12" s="926" t="s">
        <v>99</v>
      </c>
      <c r="FZ12" s="927"/>
      <c r="GA12" s="927"/>
      <c r="GB12" s="927"/>
      <c r="GC12" s="928"/>
      <c r="GD12" s="39"/>
      <c r="GE12" s="917" t="s">
        <v>3</v>
      </c>
      <c r="GF12" s="918"/>
      <c r="GG12" s="919"/>
      <c r="GH12" s="941" t="s">
        <v>103</v>
      </c>
      <c r="GI12" s="942"/>
      <c r="GJ12" s="942"/>
      <c r="GK12" s="942"/>
      <c r="GL12" s="943"/>
      <c r="GM12" s="39"/>
      <c r="GN12" s="902" t="s">
        <v>3</v>
      </c>
      <c r="GO12" s="902"/>
      <c r="GP12" s="902"/>
      <c r="GQ12" s="904" t="s">
        <v>172</v>
      </c>
      <c r="GR12" s="903"/>
      <c r="GS12" s="903"/>
      <c r="GT12" s="903"/>
      <c r="GU12" s="903"/>
      <c r="GV12" s="39"/>
      <c r="GW12" s="902" t="s">
        <v>3</v>
      </c>
      <c r="GX12" s="902"/>
      <c r="GY12" s="902"/>
      <c r="GZ12" s="904" t="s">
        <v>164</v>
      </c>
      <c r="HA12" s="903"/>
      <c r="HB12" s="903"/>
      <c r="HC12" s="903"/>
      <c r="HD12" s="903"/>
      <c r="HE12" s="39"/>
      <c r="HF12" s="902" t="s">
        <v>3</v>
      </c>
      <c r="HG12" s="902"/>
      <c r="HH12" s="902"/>
      <c r="HI12" s="904" t="s">
        <v>224</v>
      </c>
      <c r="HJ12" s="903"/>
      <c r="HK12" s="903"/>
      <c r="HL12" s="903"/>
      <c r="HM12" s="903"/>
      <c r="HN12" s="39"/>
      <c r="HO12" s="902" t="s">
        <v>3</v>
      </c>
      <c r="HP12" s="902"/>
      <c r="HQ12" s="902"/>
      <c r="HR12" s="904" t="s">
        <v>939</v>
      </c>
      <c r="HS12" s="903"/>
      <c r="HT12" s="903"/>
      <c r="HU12" s="903"/>
      <c r="HV12" s="903"/>
      <c r="HW12" s="40"/>
    </row>
    <row r="13" spans="2:231" x14ac:dyDescent="0.25">
      <c r="B13" s="939"/>
      <c r="C13" s="39"/>
      <c r="D13" s="936"/>
      <c r="E13" s="39"/>
      <c r="F13" s="902"/>
      <c r="G13" s="902"/>
      <c r="H13" s="902"/>
      <c r="I13" s="903"/>
      <c r="J13" s="903"/>
      <c r="K13" s="903"/>
      <c r="L13" s="903"/>
      <c r="M13" s="903"/>
      <c r="N13" s="39"/>
      <c r="O13" s="902"/>
      <c r="P13" s="902"/>
      <c r="Q13" s="902"/>
      <c r="R13" s="903"/>
      <c r="S13" s="903"/>
      <c r="T13" s="903"/>
      <c r="U13" s="903"/>
      <c r="V13" s="903"/>
      <c r="W13" s="39"/>
      <c r="X13" s="902"/>
      <c r="Y13" s="902"/>
      <c r="Z13" s="902"/>
      <c r="AA13" s="903"/>
      <c r="AB13" s="903"/>
      <c r="AC13" s="903"/>
      <c r="AD13" s="903"/>
      <c r="AE13" s="903"/>
      <c r="AF13" s="39"/>
      <c r="AG13" s="902"/>
      <c r="AH13" s="902"/>
      <c r="AI13" s="902"/>
      <c r="AJ13" s="903"/>
      <c r="AK13" s="903"/>
      <c r="AL13" s="903"/>
      <c r="AM13" s="903"/>
      <c r="AN13" s="903"/>
      <c r="AO13" s="39"/>
      <c r="AP13" s="902"/>
      <c r="AQ13" s="902"/>
      <c r="AR13" s="902"/>
      <c r="AS13" s="903"/>
      <c r="AT13" s="903"/>
      <c r="AU13" s="903"/>
      <c r="AV13" s="903"/>
      <c r="AW13" s="903"/>
      <c r="AX13" s="39"/>
      <c r="AY13" s="902"/>
      <c r="AZ13" s="902"/>
      <c r="BA13" s="902"/>
      <c r="BB13" s="903"/>
      <c r="BC13" s="903"/>
      <c r="BD13" s="903"/>
      <c r="BE13" s="903"/>
      <c r="BF13" s="903"/>
      <c r="BG13" s="39"/>
      <c r="BH13" s="902"/>
      <c r="BI13" s="902"/>
      <c r="BJ13" s="902"/>
      <c r="BK13" s="903"/>
      <c r="BL13" s="903"/>
      <c r="BM13" s="903"/>
      <c r="BN13" s="903"/>
      <c r="BO13" s="903"/>
      <c r="BP13" s="39"/>
      <c r="BQ13" s="902"/>
      <c r="BR13" s="902"/>
      <c r="BS13" s="902"/>
      <c r="BT13" s="903"/>
      <c r="BU13" s="903"/>
      <c r="BV13" s="903"/>
      <c r="BW13" s="903"/>
      <c r="BX13" s="903"/>
      <c r="BY13" s="39"/>
      <c r="BZ13" s="902"/>
      <c r="CA13" s="902"/>
      <c r="CB13" s="902"/>
      <c r="CC13" s="903"/>
      <c r="CD13" s="903"/>
      <c r="CE13" s="903"/>
      <c r="CF13" s="903"/>
      <c r="CG13" s="903"/>
      <c r="CH13" s="39"/>
      <c r="CI13" s="902"/>
      <c r="CJ13" s="902"/>
      <c r="CK13" s="902"/>
      <c r="CL13" s="903"/>
      <c r="CM13" s="903"/>
      <c r="CN13" s="903"/>
      <c r="CO13" s="903"/>
      <c r="CP13" s="903"/>
      <c r="CQ13" s="39"/>
      <c r="CR13" s="902"/>
      <c r="CS13" s="902"/>
      <c r="CT13" s="902"/>
      <c r="CU13" s="903"/>
      <c r="CV13" s="903"/>
      <c r="CW13" s="903"/>
      <c r="CX13" s="903"/>
      <c r="CY13" s="903"/>
      <c r="CZ13" s="39"/>
      <c r="DA13" s="902"/>
      <c r="DB13" s="902"/>
      <c r="DC13" s="902"/>
      <c r="DD13" s="903"/>
      <c r="DE13" s="903"/>
      <c r="DF13" s="903"/>
      <c r="DG13" s="903"/>
      <c r="DH13" s="903"/>
      <c r="DI13" s="39"/>
      <c r="DJ13" s="902"/>
      <c r="DK13" s="902"/>
      <c r="DL13" s="902"/>
      <c r="DM13" s="903"/>
      <c r="DN13" s="903"/>
      <c r="DO13" s="903"/>
      <c r="DP13" s="903"/>
      <c r="DQ13" s="903"/>
      <c r="DR13" s="39"/>
      <c r="DS13" s="902"/>
      <c r="DT13" s="902"/>
      <c r="DU13" s="902"/>
      <c r="DV13" s="903"/>
      <c r="DW13" s="903"/>
      <c r="DX13" s="903"/>
      <c r="DY13" s="903"/>
      <c r="DZ13" s="903"/>
      <c r="EA13" s="39"/>
      <c r="EB13" s="902"/>
      <c r="EC13" s="902"/>
      <c r="ED13" s="902"/>
      <c r="EE13" s="903"/>
      <c r="EF13" s="903"/>
      <c r="EG13" s="903"/>
      <c r="EH13" s="903"/>
      <c r="EI13" s="903"/>
      <c r="EJ13" s="39"/>
      <c r="EK13" s="902"/>
      <c r="EL13" s="902"/>
      <c r="EM13" s="902"/>
      <c r="EN13" s="903"/>
      <c r="EO13" s="903"/>
      <c r="EP13" s="903"/>
      <c r="EQ13" s="903"/>
      <c r="ER13" s="903"/>
      <c r="ES13" s="39"/>
      <c r="ET13" s="902"/>
      <c r="EU13" s="902"/>
      <c r="EV13" s="902"/>
      <c r="EW13" s="903"/>
      <c r="EX13" s="903"/>
      <c r="EY13" s="903"/>
      <c r="EZ13" s="903"/>
      <c r="FA13" s="903"/>
      <c r="FB13" s="39"/>
      <c r="FC13" s="902"/>
      <c r="FD13" s="902"/>
      <c r="FE13" s="902"/>
      <c r="FF13" s="903"/>
      <c r="FG13" s="903"/>
      <c r="FH13" s="903"/>
      <c r="FI13" s="903"/>
      <c r="FJ13" s="903"/>
      <c r="FK13" s="39"/>
      <c r="FL13" s="39"/>
      <c r="FM13" s="920"/>
      <c r="FN13" s="921"/>
      <c r="FO13" s="922"/>
      <c r="FP13" s="944"/>
      <c r="FQ13" s="945"/>
      <c r="FR13" s="945"/>
      <c r="FS13" s="945"/>
      <c r="FT13" s="946"/>
      <c r="FU13" s="39"/>
      <c r="FV13" s="920"/>
      <c r="FW13" s="921"/>
      <c r="FX13" s="922"/>
      <c r="FY13" s="929"/>
      <c r="FZ13" s="930"/>
      <c r="GA13" s="930"/>
      <c r="GB13" s="930"/>
      <c r="GC13" s="931"/>
      <c r="GD13" s="39"/>
      <c r="GE13" s="920"/>
      <c r="GF13" s="921"/>
      <c r="GG13" s="922"/>
      <c r="GH13" s="944"/>
      <c r="GI13" s="945"/>
      <c r="GJ13" s="945"/>
      <c r="GK13" s="945"/>
      <c r="GL13" s="946"/>
      <c r="GM13" s="39"/>
      <c r="GN13" s="902"/>
      <c r="GO13" s="902"/>
      <c r="GP13" s="902"/>
      <c r="GQ13" s="903"/>
      <c r="GR13" s="903"/>
      <c r="GS13" s="903"/>
      <c r="GT13" s="903"/>
      <c r="GU13" s="903"/>
      <c r="GV13" s="39"/>
      <c r="GW13" s="902"/>
      <c r="GX13" s="902"/>
      <c r="GY13" s="902"/>
      <c r="GZ13" s="903"/>
      <c r="HA13" s="903"/>
      <c r="HB13" s="903"/>
      <c r="HC13" s="903"/>
      <c r="HD13" s="903"/>
      <c r="HE13" s="39"/>
      <c r="HF13" s="902"/>
      <c r="HG13" s="902"/>
      <c r="HH13" s="902"/>
      <c r="HI13" s="903"/>
      <c r="HJ13" s="903"/>
      <c r="HK13" s="903"/>
      <c r="HL13" s="903"/>
      <c r="HM13" s="903"/>
      <c r="HN13" s="39"/>
      <c r="HO13" s="902"/>
      <c r="HP13" s="902"/>
      <c r="HQ13" s="902"/>
      <c r="HR13" s="903"/>
      <c r="HS13" s="903"/>
      <c r="HT13" s="903"/>
      <c r="HU13" s="903"/>
      <c r="HV13" s="903"/>
      <c r="HW13" s="40"/>
    </row>
    <row r="14" spans="2:231" x14ac:dyDescent="0.25">
      <c r="B14" s="939"/>
      <c r="C14" s="39"/>
      <c r="D14" s="936"/>
      <c r="E14" s="39"/>
      <c r="F14" s="902"/>
      <c r="G14" s="902"/>
      <c r="H14" s="902"/>
      <c r="I14" s="903"/>
      <c r="J14" s="903"/>
      <c r="K14" s="903"/>
      <c r="L14" s="903"/>
      <c r="M14" s="903"/>
      <c r="N14" s="39"/>
      <c r="O14" s="902"/>
      <c r="P14" s="902"/>
      <c r="Q14" s="902"/>
      <c r="R14" s="903"/>
      <c r="S14" s="903"/>
      <c r="T14" s="903"/>
      <c r="U14" s="903"/>
      <c r="V14" s="903"/>
      <c r="W14" s="39"/>
      <c r="X14" s="902"/>
      <c r="Y14" s="902"/>
      <c r="Z14" s="902"/>
      <c r="AA14" s="903"/>
      <c r="AB14" s="903"/>
      <c r="AC14" s="903"/>
      <c r="AD14" s="903"/>
      <c r="AE14" s="903"/>
      <c r="AF14" s="39"/>
      <c r="AG14" s="902"/>
      <c r="AH14" s="902"/>
      <c r="AI14" s="902"/>
      <c r="AJ14" s="903"/>
      <c r="AK14" s="903"/>
      <c r="AL14" s="903"/>
      <c r="AM14" s="903"/>
      <c r="AN14" s="903"/>
      <c r="AO14" s="39"/>
      <c r="AP14" s="902"/>
      <c r="AQ14" s="902"/>
      <c r="AR14" s="902"/>
      <c r="AS14" s="903"/>
      <c r="AT14" s="903"/>
      <c r="AU14" s="903"/>
      <c r="AV14" s="903"/>
      <c r="AW14" s="903"/>
      <c r="AX14" s="39"/>
      <c r="AY14" s="902"/>
      <c r="AZ14" s="902"/>
      <c r="BA14" s="902"/>
      <c r="BB14" s="903"/>
      <c r="BC14" s="903"/>
      <c r="BD14" s="903"/>
      <c r="BE14" s="903"/>
      <c r="BF14" s="903"/>
      <c r="BG14" s="39"/>
      <c r="BH14" s="902"/>
      <c r="BI14" s="902"/>
      <c r="BJ14" s="902"/>
      <c r="BK14" s="903"/>
      <c r="BL14" s="903"/>
      <c r="BM14" s="903"/>
      <c r="BN14" s="903"/>
      <c r="BO14" s="903"/>
      <c r="BP14" s="39"/>
      <c r="BQ14" s="902"/>
      <c r="BR14" s="902"/>
      <c r="BS14" s="902"/>
      <c r="BT14" s="903"/>
      <c r="BU14" s="903"/>
      <c r="BV14" s="903"/>
      <c r="BW14" s="903"/>
      <c r="BX14" s="903"/>
      <c r="BY14" s="39"/>
      <c r="BZ14" s="902"/>
      <c r="CA14" s="902"/>
      <c r="CB14" s="902"/>
      <c r="CC14" s="903"/>
      <c r="CD14" s="903"/>
      <c r="CE14" s="903"/>
      <c r="CF14" s="903"/>
      <c r="CG14" s="903"/>
      <c r="CH14" s="39"/>
      <c r="CI14" s="902"/>
      <c r="CJ14" s="902"/>
      <c r="CK14" s="902"/>
      <c r="CL14" s="903"/>
      <c r="CM14" s="903"/>
      <c r="CN14" s="903"/>
      <c r="CO14" s="903"/>
      <c r="CP14" s="903"/>
      <c r="CQ14" s="39"/>
      <c r="CR14" s="902"/>
      <c r="CS14" s="902"/>
      <c r="CT14" s="902"/>
      <c r="CU14" s="903"/>
      <c r="CV14" s="903"/>
      <c r="CW14" s="903"/>
      <c r="CX14" s="903"/>
      <c r="CY14" s="903"/>
      <c r="CZ14" s="39"/>
      <c r="DA14" s="902"/>
      <c r="DB14" s="902"/>
      <c r="DC14" s="902"/>
      <c r="DD14" s="903"/>
      <c r="DE14" s="903"/>
      <c r="DF14" s="903"/>
      <c r="DG14" s="903"/>
      <c r="DH14" s="903"/>
      <c r="DI14" s="39"/>
      <c r="DJ14" s="902"/>
      <c r="DK14" s="902"/>
      <c r="DL14" s="902"/>
      <c r="DM14" s="903"/>
      <c r="DN14" s="903"/>
      <c r="DO14" s="903"/>
      <c r="DP14" s="903"/>
      <c r="DQ14" s="903"/>
      <c r="DR14" s="39"/>
      <c r="DS14" s="902"/>
      <c r="DT14" s="902"/>
      <c r="DU14" s="902"/>
      <c r="DV14" s="903"/>
      <c r="DW14" s="903"/>
      <c r="DX14" s="903"/>
      <c r="DY14" s="903"/>
      <c r="DZ14" s="903"/>
      <c r="EA14" s="39"/>
      <c r="EB14" s="902"/>
      <c r="EC14" s="902"/>
      <c r="ED14" s="902"/>
      <c r="EE14" s="903"/>
      <c r="EF14" s="903"/>
      <c r="EG14" s="903"/>
      <c r="EH14" s="903"/>
      <c r="EI14" s="903"/>
      <c r="EJ14" s="39"/>
      <c r="EK14" s="902"/>
      <c r="EL14" s="902"/>
      <c r="EM14" s="902"/>
      <c r="EN14" s="903"/>
      <c r="EO14" s="903"/>
      <c r="EP14" s="903"/>
      <c r="EQ14" s="903"/>
      <c r="ER14" s="903"/>
      <c r="ES14" s="39"/>
      <c r="ET14" s="902"/>
      <c r="EU14" s="902"/>
      <c r="EV14" s="902"/>
      <c r="EW14" s="903"/>
      <c r="EX14" s="903"/>
      <c r="EY14" s="903"/>
      <c r="EZ14" s="903"/>
      <c r="FA14" s="903"/>
      <c r="FB14" s="39"/>
      <c r="FC14" s="902"/>
      <c r="FD14" s="902"/>
      <c r="FE14" s="902"/>
      <c r="FF14" s="903"/>
      <c r="FG14" s="903"/>
      <c r="FH14" s="903"/>
      <c r="FI14" s="903"/>
      <c r="FJ14" s="903"/>
      <c r="FK14" s="39"/>
      <c r="FL14" s="39"/>
      <c r="FM14" s="923"/>
      <c r="FN14" s="924"/>
      <c r="FO14" s="925"/>
      <c r="FP14" s="947"/>
      <c r="FQ14" s="948"/>
      <c r="FR14" s="948"/>
      <c r="FS14" s="948"/>
      <c r="FT14" s="949"/>
      <c r="FU14" s="39"/>
      <c r="FV14" s="923"/>
      <c r="FW14" s="924"/>
      <c r="FX14" s="925"/>
      <c r="FY14" s="932"/>
      <c r="FZ14" s="933"/>
      <c r="GA14" s="933"/>
      <c r="GB14" s="933"/>
      <c r="GC14" s="934"/>
      <c r="GD14" s="39"/>
      <c r="GE14" s="923"/>
      <c r="GF14" s="924"/>
      <c r="GG14" s="925"/>
      <c r="GH14" s="947"/>
      <c r="GI14" s="948"/>
      <c r="GJ14" s="948"/>
      <c r="GK14" s="948"/>
      <c r="GL14" s="949"/>
      <c r="GM14" s="39"/>
      <c r="GN14" s="902"/>
      <c r="GO14" s="902"/>
      <c r="GP14" s="902"/>
      <c r="GQ14" s="903"/>
      <c r="GR14" s="903"/>
      <c r="GS14" s="903"/>
      <c r="GT14" s="903"/>
      <c r="GU14" s="903"/>
      <c r="GV14" s="39"/>
      <c r="GW14" s="902"/>
      <c r="GX14" s="902"/>
      <c r="GY14" s="902"/>
      <c r="GZ14" s="903"/>
      <c r="HA14" s="903"/>
      <c r="HB14" s="903"/>
      <c r="HC14" s="903"/>
      <c r="HD14" s="903"/>
      <c r="HE14" s="39"/>
      <c r="HF14" s="902"/>
      <c r="HG14" s="902"/>
      <c r="HH14" s="902"/>
      <c r="HI14" s="903"/>
      <c r="HJ14" s="903"/>
      <c r="HK14" s="903"/>
      <c r="HL14" s="903"/>
      <c r="HM14" s="903"/>
      <c r="HN14" s="39"/>
      <c r="HO14" s="902"/>
      <c r="HP14" s="902"/>
      <c r="HQ14" s="902"/>
      <c r="HR14" s="903"/>
      <c r="HS14" s="903"/>
      <c r="HT14" s="903"/>
      <c r="HU14" s="903"/>
      <c r="HV14" s="903"/>
      <c r="HW14" s="40"/>
    </row>
    <row r="15" spans="2:231" x14ac:dyDescent="0.25">
      <c r="B15" s="939"/>
      <c r="C15" s="39"/>
      <c r="D15" s="936"/>
      <c r="E15" s="39"/>
      <c r="F15" s="902" t="s">
        <v>4</v>
      </c>
      <c r="G15" s="902"/>
      <c r="H15" s="902"/>
      <c r="I15" s="903" t="s">
        <v>15</v>
      </c>
      <c r="J15" s="903"/>
      <c r="K15" s="903"/>
      <c r="L15" s="903"/>
      <c r="M15" s="903"/>
      <c r="N15" s="39"/>
      <c r="O15" s="902" t="s">
        <v>4</v>
      </c>
      <c r="P15" s="902"/>
      <c r="Q15" s="902"/>
      <c r="R15" s="903" t="s">
        <v>15</v>
      </c>
      <c r="S15" s="903"/>
      <c r="T15" s="903"/>
      <c r="U15" s="903"/>
      <c r="V15" s="903"/>
      <c r="W15" s="39"/>
      <c r="X15" s="902" t="s">
        <v>4</v>
      </c>
      <c r="Y15" s="902"/>
      <c r="Z15" s="902"/>
      <c r="AA15" s="903" t="s">
        <v>15</v>
      </c>
      <c r="AB15" s="903"/>
      <c r="AC15" s="903"/>
      <c r="AD15" s="903"/>
      <c r="AE15" s="903"/>
      <c r="AF15" s="39"/>
      <c r="AG15" s="902" t="s">
        <v>4</v>
      </c>
      <c r="AH15" s="902"/>
      <c r="AI15" s="902"/>
      <c r="AJ15" s="903" t="s">
        <v>15</v>
      </c>
      <c r="AK15" s="903"/>
      <c r="AL15" s="903"/>
      <c r="AM15" s="903"/>
      <c r="AN15" s="903"/>
      <c r="AO15" s="39"/>
      <c r="AP15" s="902" t="s">
        <v>4</v>
      </c>
      <c r="AQ15" s="902"/>
      <c r="AR15" s="902"/>
      <c r="AS15" s="903" t="s">
        <v>15</v>
      </c>
      <c r="AT15" s="903"/>
      <c r="AU15" s="903"/>
      <c r="AV15" s="903"/>
      <c r="AW15" s="903"/>
      <c r="AX15" s="39"/>
      <c r="AY15" s="902" t="s">
        <v>4</v>
      </c>
      <c r="AZ15" s="902"/>
      <c r="BA15" s="902"/>
      <c r="BB15" s="903" t="s">
        <v>15</v>
      </c>
      <c r="BC15" s="903"/>
      <c r="BD15" s="903"/>
      <c r="BE15" s="903"/>
      <c r="BF15" s="903"/>
      <c r="BG15" s="39"/>
      <c r="BH15" s="902" t="s">
        <v>4</v>
      </c>
      <c r="BI15" s="902"/>
      <c r="BJ15" s="902"/>
      <c r="BK15" s="903" t="s">
        <v>15</v>
      </c>
      <c r="BL15" s="903"/>
      <c r="BM15" s="903"/>
      <c r="BN15" s="903"/>
      <c r="BO15" s="903"/>
      <c r="BP15" s="39"/>
      <c r="BQ15" s="902" t="s">
        <v>4</v>
      </c>
      <c r="BR15" s="902"/>
      <c r="BS15" s="902"/>
      <c r="BT15" s="903" t="s">
        <v>15</v>
      </c>
      <c r="BU15" s="903"/>
      <c r="BV15" s="903"/>
      <c r="BW15" s="903"/>
      <c r="BX15" s="903"/>
      <c r="BY15" s="39"/>
      <c r="BZ15" s="902" t="s">
        <v>4</v>
      </c>
      <c r="CA15" s="902"/>
      <c r="CB15" s="902"/>
      <c r="CC15" s="903" t="s">
        <v>15</v>
      </c>
      <c r="CD15" s="903"/>
      <c r="CE15" s="903"/>
      <c r="CF15" s="903"/>
      <c r="CG15" s="903"/>
      <c r="CH15" s="39"/>
      <c r="CI15" s="902" t="s">
        <v>4</v>
      </c>
      <c r="CJ15" s="902"/>
      <c r="CK15" s="902"/>
      <c r="CL15" s="903" t="s">
        <v>15</v>
      </c>
      <c r="CM15" s="903"/>
      <c r="CN15" s="903"/>
      <c r="CO15" s="903"/>
      <c r="CP15" s="903"/>
      <c r="CQ15" s="39"/>
      <c r="CR15" s="902" t="s">
        <v>4</v>
      </c>
      <c r="CS15" s="902"/>
      <c r="CT15" s="902"/>
      <c r="CU15" s="903" t="s">
        <v>15</v>
      </c>
      <c r="CV15" s="903"/>
      <c r="CW15" s="903"/>
      <c r="CX15" s="903"/>
      <c r="CY15" s="903"/>
      <c r="CZ15" s="39"/>
      <c r="DA15" s="902" t="s">
        <v>4</v>
      </c>
      <c r="DB15" s="902"/>
      <c r="DC15" s="902"/>
      <c r="DD15" s="903" t="s">
        <v>15</v>
      </c>
      <c r="DE15" s="903"/>
      <c r="DF15" s="903"/>
      <c r="DG15" s="903"/>
      <c r="DH15" s="903"/>
      <c r="DI15" s="39"/>
      <c r="DJ15" s="902" t="s">
        <v>4</v>
      </c>
      <c r="DK15" s="902"/>
      <c r="DL15" s="902"/>
      <c r="DM15" s="903" t="s">
        <v>15</v>
      </c>
      <c r="DN15" s="903"/>
      <c r="DO15" s="903"/>
      <c r="DP15" s="903"/>
      <c r="DQ15" s="903"/>
      <c r="DR15" s="39"/>
      <c r="DS15" s="902" t="s">
        <v>4</v>
      </c>
      <c r="DT15" s="902"/>
      <c r="DU15" s="902"/>
      <c r="DV15" s="903" t="s">
        <v>15</v>
      </c>
      <c r="DW15" s="903"/>
      <c r="DX15" s="903"/>
      <c r="DY15" s="903"/>
      <c r="DZ15" s="903"/>
      <c r="EA15" s="39"/>
      <c r="EB15" s="902" t="s">
        <v>4</v>
      </c>
      <c r="EC15" s="902"/>
      <c r="ED15" s="902"/>
      <c r="EE15" s="903" t="s">
        <v>15</v>
      </c>
      <c r="EF15" s="903"/>
      <c r="EG15" s="903"/>
      <c r="EH15" s="903"/>
      <c r="EI15" s="903"/>
      <c r="EJ15" s="39"/>
      <c r="EK15" s="902" t="s">
        <v>4</v>
      </c>
      <c r="EL15" s="902"/>
      <c r="EM15" s="902"/>
      <c r="EN15" s="903" t="s">
        <v>15</v>
      </c>
      <c r="EO15" s="903"/>
      <c r="EP15" s="903"/>
      <c r="EQ15" s="903"/>
      <c r="ER15" s="903"/>
      <c r="ES15" s="39"/>
      <c r="ET15" s="902" t="s">
        <v>4</v>
      </c>
      <c r="EU15" s="902"/>
      <c r="EV15" s="902"/>
      <c r="EW15" s="903" t="s">
        <v>15</v>
      </c>
      <c r="EX15" s="903"/>
      <c r="EY15" s="903"/>
      <c r="EZ15" s="903"/>
      <c r="FA15" s="903"/>
      <c r="FB15" s="39"/>
      <c r="FC15" s="902" t="s">
        <v>4</v>
      </c>
      <c r="FD15" s="902"/>
      <c r="FE15" s="902"/>
      <c r="FF15" s="903" t="s">
        <v>15</v>
      </c>
      <c r="FG15" s="903"/>
      <c r="FH15" s="903"/>
      <c r="FI15" s="903"/>
      <c r="FJ15" s="903"/>
      <c r="FK15" s="39"/>
      <c r="FL15" s="39"/>
      <c r="FM15" s="917" t="s">
        <v>4</v>
      </c>
      <c r="FN15" s="918"/>
      <c r="FO15" s="919"/>
      <c r="FP15" s="926" t="s">
        <v>15</v>
      </c>
      <c r="FQ15" s="927"/>
      <c r="FR15" s="927"/>
      <c r="FS15" s="927"/>
      <c r="FT15" s="928"/>
      <c r="FU15" s="39"/>
      <c r="FV15" s="917" t="s">
        <v>4</v>
      </c>
      <c r="FW15" s="918"/>
      <c r="FX15" s="919"/>
      <c r="FY15" s="926" t="s">
        <v>15</v>
      </c>
      <c r="FZ15" s="927"/>
      <c r="GA15" s="927"/>
      <c r="GB15" s="927"/>
      <c r="GC15" s="928"/>
      <c r="GD15" s="39"/>
      <c r="GE15" s="917" t="s">
        <v>4</v>
      </c>
      <c r="GF15" s="918"/>
      <c r="GG15" s="919"/>
      <c r="GH15" s="926" t="s">
        <v>15</v>
      </c>
      <c r="GI15" s="927"/>
      <c r="GJ15" s="927"/>
      <c r="GK15" s="927"/>
      <c r="GL15" s="928"/>
      <c r="GM15" s="39"/>
      <c r="GN15" s="902" t="s">
        <v>4</v>
      </c>
      <c r="GO15" s="902"/>
      <c r="GP15" s="902"/>
      <c r="GQ15" s="903" t="s">
        <v>15</v>
      </c>
      <c r="GR15" s="903"/>
      <c r="GS15" s="903"/>
      <c r="GT15" s="903"/>
      <c r="GU15" s="903"/>
      <c r="GV15" s="39"/>
      <c r="GW15" s="902" t="s">
        <v>4</v>
      </c>
      <c r="GX15" s="902"/>
      <c r="GY15" s="902"/>
      <c r="GZ15" s="903" t="s">
        <v>15</v>
      </c>
      <c r="HA15" s="903"/>
      <c r="HB15" s="903"/>
      <c r="HC15" s="903"/>
      <c r="HD15" s="903"/>
      <c r="HE15" s="39"/>
      <c r="HF15" s="902" t="s">
        <v>4</v>
      </c>
      <c r="HG15" s="902"/>
      <c r="HH15" s="902"/>
      <c r="HI15" s="903" t="s">
        <v>15</v>
      </c>
      <c r="HJ15" s="903"/>
      <c r="HK15" s="903"/>
      <c r="HL15" s="903"/>
      <c r="HM15" s="903"/>
      <c r="HN15" s="39"/>
      <c r="HO15" s="902" t="s">
        <v>4</v>
      </c>
      <c r="HP15" s="902"/>
      <c r="HQ15" s="902"/>
      <c r="HR15" s="903" t="s">
        <v>15</v>
      </c>
      <c r="HS15" s="903"/>
      <c r="HT15" s="903"/>
      <c r="HU15" s="903"/>
      <c r="HV15" s="903"/>
      <c r="HW15" s="40"/>
    </row>
    <row r="16" spans="2:231" x14ac:dyDescent="0.25">
      <c r="B16" s="939"/>
      <c r="C16" s="39"/>
      <c r="D16" s="936"/>
      <c r="E16" s="39"/>
      <c r="F16" s="902"/>
      <c r="G16" s="902"/>
      <c r="H16" s="902"/>
      <c r="I16" s="903"/>
      <c r="J16" s="903"/>
      <c r="K16" s="903"/>
      <c r="L16" s="903"/>
      <c r="M16" s="903"/>
      <c r="N16" s="39"/>
      <c r="O16" s="902"/>
      <c r="P16" s="902"/>
      <c r="Q16" s="902"/>
      <c r="R16" s="903"/>
      <c r="S16" s="903"/>
      <c r="T16" s="903"/>
      <c r="U16" s="903"/>
      <c r="V16" s="903"/>
      <c r="W16" s="39"/>
      <c r="X16" s="902"/>
      <c r="Y16" s="902"/>
      <c r="Z16" s="902"/>
      <c r="AA16" s="903"/>
      <c r="AB16" s="903"/>
      <c r="AC16" s="903"/>
      <c r="AD16" s="903"/>
      <c r="AE16" s="903"/>
      <c r="AF16" s="39"/>
      <c r="AG16" s="902"/>
      <c r="AH16" s="902"/>
      <c r="AI16" s="902"/>
      <c r="AJ16" s="903"/>
      <c r="AK16" s="903"/>
      <c r="AL16" s="903"/>
      <c r="AM16" s="903"/>
      <c r="AN16" s="903"/>
      <c r="AO16" s="39"/>
      <c r="AP16" s="902"/>
      <c r="AQ16" s="902"/>
      <c r="AR16" s="902"/>
      <c r="AS16" s="903"/>
      <c r="AT16" s="903"/>
      <c r="AU16" s="903"/>
      <c r="AV16" s="903"/>
      <c r="AW16" s="903"/>
      <c r="AX16" s="39"/>
      <c r="AY16" s="902"/>
      <c r="AZ16" s="902"/>
      <c r="BA16" s="902"/>
      <c r="BB16" s="903"/>
      <c r="BC16" s="903"/>
      <c r="BD16" s="903"/>
      <c r="BE16" s="903"/>
      <c r="BF16" s="903"/>
      <c r="BG16" s="39"/>
      <c r="BH16" s="902"/>
      <c r="BI16" s="902"/>
      <c r="BJ16" s="902"/>
      <c r="BK16" s="903"/>
      <c r="BL16" s="903"/>
      <c r="BM16" s="903"/>
      <c r="BN16" s="903"/>
      <c r="BO16" s="903"/>
      <c r="BP16" s="39"/>
      <c r="BQ16" s="902"/>
      <c r="BR16" s="902"/>
      <c r="BS16" s="902"/>
      <c r="BT16" s="903"/>
      <c r="BU16" s="903"/>
      <c r="BV16" s="903"/>
      <c r="BW16" s="903"/>
      <c r="BX16" s="903"/>
      <c r="BY16" s="39"/>
      <c r="BZ16" s="902"/>
      <c r="CA16" s="902"/>
      <c r="CB16" s="902"/>
      <c r="CC16" s="903"/>
      <c r="CD16" s="903"/>
      <c r="CE16" s="903"/>
      <c r="CF16" s="903"/>
      <c r="CG16" s="903"/>
      <c r="CH16" s="39"/>
      <c r="CI16" s="902"/>
      <c r="CJ16" s="902"/>
      <c r="CK16" s="902"/>
      <c r="CL16" s="903"/>
      <c r="CM16" s="903"/>
      <c r="CN16" s="903"/>
      <c r="CO16" s="903"/>
      <c r="CP16" s="903"/>
      <c r="CQ16" s="39"/>
      <c r="CR16" s="902"/>
      <c r="CS16" s="902"/>
      <c r="CT16" s="902"/>
      <c r="CU16" s="903"/>
      <c r="CV16" s="903"/>
      <c r="CW16" s="903"/>
      <c r="CX16" s="903"/>
      <c r="CY16" s="903"/>
      <c r="CZ16" s="39"/>
      <c r="DA16" s="902"/>
      <c r="DB16" s="902"/>
      <c r="DC16" s="902"/>
      <c r="DD16" s="903"/>
      <c r="DE16" s="903"/>
      <c r="DF16" s="903"/>
      <c r="DG16" s="903"/>
      <c r="DH16" s="903"/>
      <c r="DI16" s="39"/>
      <c r="DJ16" s="902"/>
      <c r="DK16" s="902"/>
      <c r="DL16" s="902"/>
      <c r="DM16" s="903"/>
      <c r="DN16" s="903"/>
      <c r="DO16" s="903"/>
      <c r="DP16" s="903"/>
      <c r="DQ16" s="903"/>
      <c r="DR16" s="39"/>
      <c r="DS16" s="902"/>
      <c r="DT16" s="902"/>
      <c r="DU16" s="902"/>
      <c r="DV16" s="903"/>
      <c r="DW16" s="903"/>
      <c r="DX16" s="903"/>
      <c r="DY16" s="903"/>
      <c r="DZ16" s="903"/>
      <c r="EA16" s="39"/>
      <c r="EB16" s="902"/>
      <c r="EC16" s="902"/>
      <c r="ED16" s="902"/>
      <c r="EE16" s="903"/>
      <c r="EF16" s="903"/>
      <c r="EG16" s="903"/>
      <c r="EH16" s="903"/>
      <c r="EI16" s="903"/>
      <c r="EJ16" s="39"/>
      <c r="EK16" s="902"/>
      <c r="EL16" s="902"/>
      <c r="EM16" s="902"/>
      <c r="EN16" s="903"/>
      <c r="EO16" s="903"/>
      <c r="EP16" s="903"/>
      <c r="EQ16" s="903"/>
      <c r="ER16" s="903"/>
      <c r="ES16" s="39"/>
      <c r="ET16" s="902"/>
      <c r="EU16" s="902"/>
      <c r="EV16" s="902"/>
      <c r="EW16" s="903"/>
      <c r="EX16" s="903"/>
      <c r="EY16" s="903"/>
      <c r="EZ16" s="903"/>
      <c r="FA16" s="903"/>
      <c r="FB16" s="39"/>
      <c r="FC16" s="902"/>
      <c r="FD16" s="902"/>
      <c r="FE16" s="902"/>
      <c r="FF16" s="903"/>
      <c r="FG16" s="903"/>
      <c r="FH16" s="903"/>
      <c r="FI16" s="903"/>
      <c r="FJ16" s="903"/>
      <c r="FK16" s="39"/>
      <c r="FL16" s="39"/>
      <c r="FM16" s="920"/>
      <c r="FN16" s="921"/>
      <c r="FO16" s="922"/>
      <c r="FP16" s="929"/>
      <c r="FQ16" s="930"/>
      <c r="FR16" s="930"/>
      <c r="FS16" s="930"/>
      <c r="FT16" s="931"/>
      <c r="FU16" s="39"/>
      <c r="FV16" s="920"/>
      <c r="FW16" s="921"/>
      <c r="FX16" s="922"/>
      <c r="FY16" s="929"/>
      <c r="FZ16" s="930"/>
      <c r="GA16" s="930"/>
      <c r="GB16" s="930"/>
      <c r="GC16" s="931"/>
      <c r="GD16" s="39"/>
      <c r="GE16" s="920"/>
      <c r="GF16" s="921"/>
      <c r="GG16" s="922"/>
      <c r="GH16" s="929"/>
      <c r="GI16" s="930"/>
      <c r="GJ16" s="930"/>
      <c r="GK16" s="930"/>
      <c r="GL16" s="931"/>
      <c r="GM16" s="39"/>
      <c r="GN16" s="902"/>
      <c r="GO16" s="902"/>
      <c r="GP16" s="902"/>
      <c r="GQ16" s="903"/>
      <c r="GR16" s="903"/>
      <c r="GS16" s="903"/>
      <c r="GT16" s="903"/>
      <c r="GU16" s="903"/>
      <c r="GV16" s="39"/>
      <c r="GW16" s="902"/>
      <c r="GX16" s="902"/>
      <c r="GY16" s="902"/>
      <c r="GZ16" s="903"/>
      <c r="HA16" s="903"/>
      <c r="HB16" s="903"/>
      <c r="HC16" s="903"/>
      <c r="HD16" s="903"/>
      <c r="HE16" s="39"/>
      <c r="HF16" s="902"/>
      <c r="HG16" s="902"/>
      <c r="HH16" s="902"/>
      <c r="HI16" s="903"/>
      <c r="HJ16" s="903"/>
      <c r="HK16" s="903"/>
      <c r="HL16" s="903"/>
      <c r="HM16" s="903"/>
      <c r="HN16" s="39"/>
      <c r="HO16" s="902"/>
      <c r="HP16" s="902"/>
      <c r="HQ16" s="902"/>
      <c r="HR16" s="903"/>
      <c r="HS16" s="903"/>
      <c r="HT16" s="903"/>
      <c r="HU16" s="903"/>
      <c r="HV16" s="903"/>
      <c r="HW16" s="40"/>
    </row>
    <row r="17" spans="2:231" x14ac:dyDescent="0.25">
      <c r="B17" s="939"/>
      <c r="C17" s="39"/>
      <c r="D17" s="936"/>
      <c r="E17" s="39"/>
      <c r="F17" s="902"/>
      <c r="G17" s="902"/>
      <c r="H17" s="902"/>
      <c r="I17" s="903"/>
      <c r="J17" s="903"/>
      <c r="K17" s="903"/>
      <c r="L17" s="903"/>
      <c r="M17" s="903"/>
      <c r="N17" s="39"/>
      <c r="O17" s="902"/>
      <c r="P17" s="902"/>
      <c r="Q17" s="902"/>
      <c r="R17" s="903"/>
      <c r="S17" s="903"/>
      <c r="T17" s="903"/>
      <c r="U17" s="903"/>
      <c r="V17" s="903"/>
      <c r="W17" s="39"/>
      <c r="X17" s="902"/>
      <c r="Y17" s="902"/>
      <c r="Z17" s="902"/>
      <c r="AA17" s="903"/>
      <c r="AB17" s="903"/>
      <c r="AC17" s="903"/>
      <c r="AD17" s="903"/>
      <c r="AE17" s="903"/>
      <c r="AF17" s="39"/>
      <c r="AG17" s="902"/>
      <c r="AH17" s="902"/>
      <c r="AI17" s="902"/>
      <c r="AJ17" s="903"/>
      <c r="AK17" s="903"/>
      <c r="AL17" s="903"/>
      <c r="AM17" s="903"/>
      <c r="AN17" s="903"/>
      <c r="AO17" s="39"/>
      <c r="AP17" s="902"/>
      <c r="AQ17" s="902"/>
      <c r="AR17" s="902"/>
      <c r="AS17" s="903"/>
      <c r="AT17" s="903"/>
      <c r="AU17" s="903"/>
      <c r="AV17" s="903"/>
      <c r="AW17" s="903"/>
      <c r="AX17" s="39"/>
      <c r="AY17" s="902"/>
      <c r="AZ17" s="902"/>
      <c r="BA17" s="902"/>
      <c r="BB17" s="903"/>
      <c r="BC17" s="903"/>
      <c r="BD17" s="903"/>
      <c r="BE17" s="903"/>
      <c r="BF17" s="903"/>
      <c r="BG17" s="39"/>
      <c r="BH17" s="902"/>
      <c r="BI17" s="902"/>
      <c r="BJ17" s="902"/>
      <c r="BK17" s="903"/>
      <c r="BL17" s="903"/>
      <c r="BM17" s="903"/>
      <c r="BN17" s="903"/>
      <c r="BO17" s="903"/>
      <c r="BP17" s="39"/>
      <c r="BQ17" s="902"/>
      <c r="BR17" s="902"/>
      <c r="BS17" s="902"/>
      <c r="BT17" s="903"/>
      <c r="BU17" s="903"/>
      <c r="BV17" s="903"/>
      <c r="BW17" s="903"/>
      <c r="BX17" s="903"/>
      <c r="BY17" s="39"/>
      <c r="BZ17" s="902"/>
      <c r="CA17" s="902"/>
      <c r="CB17" s="902"/>
      <c r="CC17" s="903"/>
      <c r="CD17" s="903"/>
      <c r="CE17" s="903"/>
      <c r="CF17" s="903"/>
      <c r="CG17" s="903"/>
      <c r="CH17" s="39"/>
      <c r="CI17" s="902"/>
      <c r="CJ17" s="902"/>
      <c r="CK17" s="902"/>
      <c r="CL17" s="903"/>
      <c r="CM17" s="903"/>
      <c r="CN17" s="903"/>
      <c r="CO17" s="903"/>
      <c r="CP17" s="903"/>
      <c r="CQ17" s="39"/>
      <c r="CR17" s="902"/>
      <c r="CS17" s="902"/>
      <c r="CT17" s="902"/>
      <c r="CU17" s="903"/>
      <c r="CV17" s="903"/>
      <c r="CW17" s="903"/>
      <c r="CX17" s="903"/>
      <c r="CY17" s="903"/>
      <c r="CZ17" s="39"/>
      <c r="DA17" s="902"/>
      <c r="DB17" s="902"/>
      <c r="DC17" s="902"/>
      <c r="DD17" s="903"/>
      <c r="DE17" s="903"/>
      <c r="DF17" s="903"/>
      <c r="DG17" s="903"/>
      <c r="DH17" s="903"/>
      <c r="DI17" s="39"/>
      <c r="DJ17" s="902"/>
      <c r="DK17" s="902"/>
      <c r="DL17" s="902"/>
      <c r="DM17" s="903"/>
      <c r="DN17" s="903"/>
      <c r="DO17" s="903"/>
      <c r="DP17" s="903"/>
      <c r="DQ17" s="903"/>
      <c r="DR17" s="39"/>
      <c r="DS17" s="902"/>
      <c r="DT17" s="902"/>
      <c r="DU17" s="902"/>
      <c r="DV17" s="903"/>
      <c r="DW17" s="903"/>
      <c r="DX17" s="903"/>
      <c r="DY17" s="903"/>
      <c r="DZ17" s="903"/>
      <c r="EA17" s="39"/>
      <c r="EB17" s="902"/>
      <c r="EC17" s="902"/>
      <c r="ED17" s="902"/>
      <c r="EE17" s="903"/>
      <c r="EF17" s="903"/>
      <c r="EG17" s="903"/>
      <c r="EH17" s="903"/>
      <c r="EI17" s="903"/>
      <c r="EJ17" s="39"/>
      <c r="EK17" s="902"/>
      <c r="EL17" s="902"/>
      <c r="EM17" s="902"/>
      <c r="EN17" s="903"/>
      <c r="EO17" s="903"/>
      <c r="EP17" s="903"/>
      <c r="EQ17" s="903"/>
      <c r="ER17" s="903"/>
      <c r="ES17" s="39"/>
      <c r="ET17" s="902"/>
      <c r="EU17" s="902"/>
      <c r="EV17" s="902"/>
      <c r="EW17" s="903"/>
      <c r="EX17" s="903"/>
      <c r="EY17" s="903"/>
      <c r="EZ17" s="903"/>
      <c r="FA17" s="903"/>
      <c r="FB17" s="39"/>
      <c r="FC17" s="902"/>
      <c r="FD17" s="902"/>
      <c r="FE17" s="902"/>
      <c r="FF17" s="903"/>
      <c r="FG17" s="903"/>
      <c r="FH17" s="903"/>
      <c r="FI17" s="903"/>
      <c r="FJ17" s="903"/>
      <c r="FK17" s="39"/>
      <c r="FL17" s="39"/>
      <c r="FM17" s="923"/>
      <c r="FN17" s="924"/>
      <c r="FO17" s="925"/>
      <c r="FP17" s="932"/>
      <c r="FQ17" s="933"/>
      <c r="FR17" s="933"/>
      <c r="FS17" s="933"/>
      <c r="FT17" s="934"/>
      <c r="FU17" s="39"/>
      <c r="FV17" s="923"/>
      <c r="FW17" s="924"/>
      <c r="FX17" s="925"/>
      <c r="FY17" s="932"/>
      <c r="FZ17" s="933"/>
      <c r="GA17" s="933"/>
      <c r="GB17" s="933"/>
      <c r="GC17" s="934"/>
      <c r="GD17" s="39"/>
      <c r="GE17" s="923"/>
      <c r="GF17" s="924"/>
      <c r="GG17" s="925"/>
      <c r="GH17" s="932"/>
      <c r="GI17" s="933"/>
      <c r="GJ17" s="933"/>
      <c r="GK17" s="933"/>
      <c r="GL17" s="934"/>
      <c r="GM17" s="39"/>
      <c r="GN17" s="902"/>
      <c r="GO17" s="902"/>
      <c r="GP17" s="902"/>
      <c r="GQ17" s="903"/>
      <c r="GR17" s="903"/>
      <c r="GS17" s="903"/>
      <c r="GT17" s="903"/>
      <c r="GU17" s="903"/>
      <c r="GV17" s="39"/>
      <c r="GW17" s="902"/>
      <c r="GX17" s="902"/>
      <c r="GY17" s="902"/>
      <c r="GZ17" s="903"/>
      <c r="HA17" s="903"/>
      <c r="HB17" s="903"/>
      <c r="HC17" s="903"/>
      <c r="HD17" s="903"/>
      <c r="HE17" s="39"/>
      <c r="HF17" s="902"/>
      <c r="HG17" s="902"/>
      <c r="HH17" s="902"/>
      <c r="HI17" s="903"/>
      <c r="HJ17" s="903"/>
      <c r="HK17" s="903"/>
      <c r="HL17" s="903"/>
      <c r="HM17" s="903"/>
      <c r="HN17" s="39"/>
      <c r="HO17" s="902"/>
      <c r="HP17" s="902"/>
      <c r="HQ17" s="902"/>
      <c r="HR17" s="903"/>
      <c r="HS17" s="903"/>
      <c r="HT17" s="903"/>
      <c r="HU17" s="903"/>
      <c r="HV17" s="903"/>
      <c r="HW17" s="40"/>
    </row>
    <row r="18" spans="2:231" ht="15.75" customHeight="1" x14ac:dyDescent="0.25">
      <c r="B18" s="939"/>
      <c r="C18" s="39"/>
      <c r="D18" s="936"/>
      <c r="E18" s="39"/>
      <c r="F18" s="902" t="s">
        <v>5</v>
      </c>
      <c r="G18" s="902"/>
      <c r="H18" s="902"/>
      <c r="I18" s="904" t="s">
        <v>10</v>
      </c>
      <c r="J18" s="903"/>
      <c r="K18" s="903"/>
      <c r="L18" s="903"/>
      <c r="M18" s="903"/>
      <c r="N18" s="39"/>
      <c r="O18" s="902" t="s">
        <v>5</v>
      </c>
      <c r="P18" s="902"/>
      <c r="Q18" s="902"/>
      <c r="R18" s="904" t="s">
        <v>13</v>
      </c>
      <c r="S18" s="903"/>
      <c r="T18" s="903"/>
      <c r="U18" s="903"/>
      <c r="V18" s="903"/>
      <c r="W18" s="39"/>
      <c r="X18" s="902" t="s">
        <v>5</v>
      </c>
      <c r="Y18" s="902"/>
      <c r="Z18" s="902"/>
      <c r="AA18" s="904" t="s">
        <v>16</v>
      </c>
      <c r="AB18" s="903"/>
      <c r="AC18" s="903"/>
      <c r="AD18" s="903"/>
      <c r="AE18" s="903"/>
      <c r="AF18" s="39"/>
      <c r="AG18" s="902" t="s">
        <v>5</v>
      </c>
      <c r="AH18" s="902"/>
      <c r="AI18" s="902"/>
      <c r="AJ18" s="904" t="s">
        <v>19</v>
      </c>
      <c r="AK18" s="903"/>
      <c r="AL18" s="903"/>
      <c r="AM18" s="903"/>
      <c r="AN18" s="903"/>
      <c r="AO18" s="39"/>
      <c r="AP18" s="902" t="s">
        <v>5</v>
      </c>
      <c r="AQ18" s="902"/>
      <c r="AR18" s="902"/>
      <c r="AS18" s="904" t="s">
        <v>23</v>
      </c>
      <c r="AT18" s="903"/>
      <c r="AU18" s="903"/>
      <c r="AV18" s="903"/>
      <c r="AW18" s="903"/>
      <c r="AX18" s="39"/>
      <c r="AY18" s="902" t="s">
        <v>5</v>
      </c>
      <c r="AZ18" s="902"/>
      <c r="BA18" s="902"/>
      <c r="BB18" s="904" t="s">
        <v>27</v>
      </c>
      <c r="BC18" s="903"/>
      <c r="BD18" s="903"/>
      <c r="BE18" s="903"/>
      <c r="BF18" s="903"/>
      <c r="BG18" s="39"/>
      <c r="BH18" s="902" t="s">
        <v>5</v>
      </c>
      <c r="BI18" s="902"/>
      <c r="BJ18" s="902"/>
      <c r="BK18" s="904" t="s">
        <v>30</v>
      </c>
      <c r="BL18" s="903"/>
      <c r="BM18" s="903"/>
      <c r="BN18" s="903"/>
      <c r="BO18" s="903"/>
      <c r="BP18" s="39"/>
      <c r="BQ18" s="902" t="s">
        <v>5</v>
      </c>
      <c r="BR18" s="902"/>
      <c r="BS18" s="902"/>
      <c r="BT18" s="904" t="s">
        <v>33</v>
      </c>
      <c r="BU18" s="903"/>
      <c r="BV18" s="903"/>
      <c r="BW18" s="903"/>
      <c r="BX18" s="903"/>
      <c r="BY18" s="39"/>
      <c r="BZ18" s="902" t="s">
        <v>5</v>
      </c>
      <c r="CA18" s="902"/>
      <c r="CB18" s="902"/>
      <c r="CC18" s="904" t="s">
        <v>34</v>
      </c>
      <c r="CD18" s="903"/>
      <c r="CE18" s="903"/>
      <c r="CF18" s="903"/>
      <c r="CG18" s="903"/>
      <c r="CH18" s="39"/>
      <c r="CI18" s="902" t="s">
        <v>5</v>
      </c>
      <c r="CJ18" s="902"/>
      <c r="CK18" s="902"/>
      <c r="CL18" s="904" t="s">
        <v>37</v>
      </c>
      <c r="CM18" s="903"/>
      <c r="CN18" s="903"/>
      <c r="CO18" s="903"/>
      <c r="CP18" s="903"/>
      <c r="CQ18" s="39"/>
      <c r="CR18" s="902" t="s">
        <v>5</v>
      </c>
      <c r="CS18" s="902"/>
      <c r="CT18" s="902"/>
      <c r="CU18" s="904" t="s">
        <v>40</v>
      </c>
      <c r="CV18" s="903"/>
      <c r="CW18" s="903"/>
      <c r="CX18" s="903"/>
      <c r="CY18" s="903"/>
      <c r="CZ18" s="39"/>
      <c r="DA18" s="902" t="s">
        <v>5</v>
      </c>
      <c r="DB18" s="902"/>
      <c r="DC18" s="902"/>
      <c r="DD18" s="903" t="s">
        <v>43</v>
      </c>
      <c r="DE18" s="903"/>
      <c r="DF18" s="903"/>
      <c r="DG18" s="903"/>
      <c r="DH18" s="903"/>
      <c r="DI18" s="39"/>
      <c r="DJ18" s="902" t="s">
        <v>5</v>
      </c>
      <c r="DK18" s="902"/>
      <c r="DL18" s="902"/>
      <c r="DM18" s="903" t="s">
        <v>46</v>
      </c>
      <c r="DN18" s="903"/>
      <c r="DO18" s="903"/>
      <c r="DP18" s="903"/>
      <c r="DQ18" s="903"/>
      <c r="DR18" s="39"/>
      <c r="DS18" s="902" t="s">
        <v>5</v>
      </c>
      <c r="DT18" s="902"/>
      <c r="DU18" s="902"/>
      <c r="DV18" s="903" t="s">
        <v>47</v>
      </c>
      <c r="DW18" s="903"/>
      <c r="DX18" s="903"/>
      <c r="DY18" s="903"/>
      <c r="DZ18" s="903"/>
      <c r="EA18" s="39"/>
      <c r="EB18" s="902" t="s">
        <v>5</v>
      </c>
      <c r="EC18" s="902"/>
      <c r="ED18" s="902"/>
      <c r="EE18" s="903" t="s">
        <v>50</v>
      </c>
      <c r="EF18" s="903"/>
      <c r="EG18" s="903"/>
      <c r="EH18" s="903"/>
      <c r="EI18" s="903"/>
      <c r="EJ18" s="39"/>
      <c r="EK18" s="902" t="s">
        <v>5</v>
      </c>
      <c r="EL18" s="902"/>
      <c r="EM18" s="902"/>
      <c r="EN18" s="903" t="s">
        <v>53</v>
      </c>
      <c r="EO18" s="903"/>
      <c r="EP18" s="903"/>
      <c r="EQ18" s="903"/>
      <c r="ER18" s="903"/>
      <c r="ES18" s="39"/>
      <c r="ET18" s="902" t="s">
        <v>5</v>
      </c>
      <c r="EU18" s="902"/>
      <c r="EV18" s="902"/>
      <c r="EW18" s="903" t="s">
        <v>102</v>
      </c>
      <c r="EX18" s="903"/>
      <c r="EY18" s="903"/>
      <c r="EZ18" s="903"/>
      <c r="FA18" s="903"/>
      <c r="FB18" s="39"/>
      <c r="FC18" s="902" t="s">
        <v>5</v>
      </c>
      <c r="FD18" s="902"/>
      <c r="FE18" s="902"/>
      <c r="FF18" s="903" t="s">
        <v>1677</v>
      </c>
      <c r="FG18" s="903"/>
      <c r="FH18" s="903"/>
      <c r="FI18" s="903"/>
      <c r="FJ18" s="903"/>
      <c r="FK18" s="39"/>
      <c r="FL18" s="39"/>
      <c r="FM18" s="917" t="s">
        <v>5</v>
      </c>
      <c r="FN18" s="918"/>
      <c r="FO18" s="919"/>
      <c r="FP18" s="926" t="s">
        <v>97</v>
      </c>
      <c r="FQ18" s="927"/>
      <c r="FR18" s="927"/>
      <c r="FS18" s="927"/>
      <c r="FT18" s="928"/>
      <c r="FU18" s="39"/>
      <c r="FV18" s="917" t="s">
        <v>5</v>
      </c>
      <c r="FW18" s="918"/>
      <c r="FX18" s="919"/>
      <c r="FY18" s="926" t="s">
        <v>583</v>
      </c>
      <c r="FZ18" s="927"/>
      <c r="GA18" s="927"/>
      <c r="GB18" s="927"/>
      <c r="GC18" s="928"/>
      <c r="GD18" s="39"/>
      <c r="GE18" s="917" t="s">
        <v>5</v>
      </c>
      <c r="GF18" s="918"/>
      <c r="GG18" s="919"/>
      <c r="GH18" s="926" t="s">
        <v>104</v>
      </c>
      <c r="GI18" s="927"/>
      <c r="GJ18" s="927"/>
      <c r="GK18" s="927"/>
      <c r="GL18" s="928"/>
      <c r="GM18" s="39"/>
      <c r="GN18" s="902" t="s">
        <v>5</v>
      </c>
      <c r="GO18" s="902"/>
      <c r="GP18" s="902"/>
      <c r="GQ18" s="904" t="s">
        <v>173</v>
      </c>
      <c r="GR18" s="903"/>
      <c r="GS18" s="903"/>
      <c r="GT18" s="903"/>
      <c r="GU18" s="903"/>
      <c r="GV18" s="39"/>
      <c r="GW18" s="902" t="s">
        <v>5</v>
      </c>
      <c r="GX18" s="902"/>
      <c r="GY18" s="902"/>
      <c r="GZ18" s="903" t="s">
        <v>165</v>
      </c>
      <c r="HA18" s="903"/>
      <c r="HB18" s="903"/>
      <c r="HC18" s="903"/>
      <c r="HD18" s="903"/>
      <c r="HE18" s="39"/>
      <c r="HF18" s="902" t="s">
        <v>5</v>
      </c>
      <c r="HG18" s="902"/>
      <c r="HH18" s="902"/>
      <c r="HI18" s="903" t="s">
        <v>225</v>
      </c>
      <c r="HJ18" s="903"/>
      <c r="HK18" s="903"/>
      <c r="HL18" s="903"/>
      <c r="HM18" s="903"/>
      <c r="HN18" s="39"/>
      <c r="HO18" s="902" t="s">
        <v>5</v>
      </c>
      <c r="HP18" s="902"/>
      <c r="HQ18" s="902"/>
      <c r="HR18" s="903" t="s">
        <v>940</v>
      </c>
      <c r="HS18" s="903"/>
      <c r="HT18" s="903"/>
      <c r="HU18" s="903"/>
      <c r="HV18" s="903"/>
      <c r="HW18" s="40"/>
    </row>
    <row r="19" spans="2:231" x14ac:dyDescent="0.25">
      <c r="B19" s="939"/>
      <c r="C19" s="39"/>
      <c r="D19" s="936"/>
      <c r="E19" s="39"/>
      <c r="F19" s="902"/>
      <c r="G19" s="902"/>
      <c r="H19" s="902"/>
      <c r="I19" s="903"/>
      <c r="J19" s="903"/>
      <c r="K19" s="903"/>
      <c r="L19" s="903"/>
      <c r="M19" s="903"/>
      <c r="N19" s="39"/>
      <c r="O19" s="902"/>
      <c r="P19" s="902"/>
      <c r="Q19" s="902"/>
      <c r="R19" s="903"/>
      <c r="S19" s="903"/>
      <c r="T19" s="903"/>
      <c r="U19" s="903"/>
      <c r="V19" s="903"/>
      <c r="W19" s="39"/>
      <c r="X19" s="902"/>
      <c r="Y19" s="902"/>
      <c r="Z19" s="902"/>
      <c r="AA19" s="903"/>
      <c r="AB19" s="903"/>
      <c r="AC19" s="903"/>
      <c r="AD19" s="903"/>
      <c r="AE19" s="903"/>
      <c r="AF19" s="39"/>
      <c r="AG19" s="902"/>
      <c r="AH19" s="902"/>
      <c r="AI19" s="902"/>
      <c r="AJ19" s="903"/>
      <c r="AK19" s="903"/>
      <c r="AL19" s="903"/>
      <c r="AM19" s="903"/>
      <c r="AN19" s="903"/>
      <c r="AO19" s="39"/>
      <c r="AP19" s="902"/>
      <c r="AQ19" s="902"/>
      <c r="AR19" s="902"/>
      <c r="AS19" s="903"/>
      <c r="AT19" s="903"/>
      <c r="AU19" s="903"/>
      <c r="AV19" s="903"/>
      <c r="AW19" s="903"/>
      <c r="AX19" s="39"/>
      <c r="AY19" s="902"/>
      <c r="AZ19" s="902"/>
      <c r="BA19" s="902"/>
      <c r="BB19" s="903"/>
      <c r="BC19" s="903"/>
      <c r="BD19" s="903"/>
      <c r="BE19" s="903"/>
      <c r="BF19" s="903"/>
      <c r="BG19" s="39"/>
      <c r="BH19" s="902"/>
      <c r="BI19" s="902"/>
      <c r="BJ19" s="902"/>
      <c r="BK19" s="903"/>
      <c r="BL19" s="903"/>
      <c r="BM19" s="903"/>
      <c r="BN19" s="903"/>
      <c r="BO19" s="903"/>
      <c r="BP19" s="39"/>
      <c r="BQ19" s="902"/>
      <c r="BR19" s="902"/>
      <c r="BS19" s="902"/>
      <c r="BT19" s="903"/>
      <c r="BU19" s="903"/>
      <c r="BV19" s="903"/>
      <c r="BW19" s="903"/>
      <c r="BX19" s="903"/>
      <c r="BY19" s="39"/>
      <c r="BZ19" s="902"/>
      <c r="CA19" s="902"/>
      <c r="CB19" s="902"/>
      <c r="CC19" s="903"/>
      <c r="CD19" s="903"/>
      <c r="CE19" s="903"/>
      <c r="CF19" s="903"/>
      <c r="CG19" s="903"/>
      <c r="CH19" s="39"/>
      <c r="CI19" s="902"/>
      <c r="CJ19" s="902"/>
      <c r="CK19" s="902"/>
      <c r="CL19" s="903"/>
      <c r="CM19" s="903"/>
      <c r="CN19" s="903"/>
      <c r="CO19" s="903"/>
      <c r="CP19" s="903"/>
      <c r="CQ19" s="39"/>
      <c r="CR19" s="902"/>
      <c r="CS19" s="902"/>
      <c r="CT19" s="902"/>
      <c r="CU19" s="903"/>
      <c r="CV19" s="903"/>
      <c r="CW19" s="903"/>
      <c r="CX19" s="903"/>
      <c r="CY19" s="903"/>
      <c r="CZ19" s="39"/>
      <c r="DA19" s="902"/>
      <c r="DB19" s="902"/>
      <c r="DC19" s="902"/>
      <c r="DD19" s="903"/>
      <c r="DE19" s="903"/>
      <c r="DF19" s="903"/>
      <c r="DG19" s="903"/>
      <c r="DH19" s="903"/>
      <c r="DI19" s="39"/>
      <c r="DJ19" s="902"/>
      <c r="DK19" s="902"/>
      <c r="DL19" s="902"/>
      <c r="DM19" s="903"/>
      <c r="DN19" s="903"/>
      <c r="DO19" s="903"/>
      <c r="DP19" s="903"/>
      <c r="DQ19" s="903"/>
      <c r="DR19" s="39"/>
      <c r="DS19" s="902"/>
      <c r="DT19" s="902"/>
      <c r="DU19" s="902"/>
      <c r="DV19" s="903"/>
      <c r="DW19" s="903"/>
      <c r="DX19" s="903"/>
      <c r="DY19" s="903"/>
      <c r="DZ19" s="903"/>
      <c r="EA19" s="39"/>
      <c r="EB19" s="902"/>
      <c r="EC19" s="902"/>
      <c r="ED19" s="902"/>
      <c r="EE19" s="903"/>
      <c r="EF19" s="903"/>
      <c r="EG19" s="903"/>
      <c r="EH19" s="903"/>
      <c r="EI19" s="903"/>
      <c r="EJ19" s="39"/>
      <c r="EK19" s="902"/>
      <c r="EL19" s="902"/>
      <c r="EM19" s="902"/>
      <c r="EN19" s="903"/>
      <c r="EO19" s="903"/>
      <c r="EP19" s="903"/>
      <c r="EQ19" s="903"/>
      <c r="ER19" s="903"/>
      <c r="ES19" s="39"/>
      <c r="ET19" s="902"/>
      <c r="EU19" s="902"/>
      <c r="EV19" s="902"/>
      <c r="EW19" s="903"/>
      <c r="EX19" s="903"/>
      <c r="EY19" s="903"/>
      <c r="EZ19" s="903"/>
      <c r="FA19" s="903"/>
      <c r="FB19" s="39"/>
      <c r="FC19" s="902"/>
      <c r="FD19" s="902"/>
      <c r="FE19" s="902"/>
      <c r="FF19" s="903"/>
      <c r="FG19" s="903"/>
      <c r="FH19" s="903"/>
      <c r="FI19" s="903"/>
      <c r="FJ19" s="903"/>
      <c r="FK19" s="39"/>
      <c r="FL19" s="39"/>
      <c r="FM19" s="920"/>
      <c r="FN19" s="921"/>
      <c r="FO19" s="922"/>
      <c r="FP19" s="929"/>
      <c r="FQ19" s="930"/>
      <c r="FR19" s="930"/>
      <c r="FS19" s="930"/>
      <c r="FT19" s="931"/>
      <c r="FU19" s="39"/>
      <c r="FV19" s="920"/>
      <c r="FW19" s="921"/>
      <c r="FX19" s="922"/>
      <c r="FY19" s="929"/>
      <c r="FZ19" s="930"/>
      <c r="GA19" s="930"/>
      <c r="GB19" s="930"/>
      <c r="GC19" s="931"/>
      <c r="GD19" s="39"/>
      <c r="GE19" s="920"/>
      <c r="GF19" s="921"/>
      <c r="GG19" s="922"/>
      <c r="GH19" s="929"/>
      <c r="GI19" s="930"/>
      <c r="GJ19" s="930"/>
      <c r="GK19" s="930"/>
      <c r="GL19" s="931"/>
      <c r="GM19" s="39"/>
      <c r="GN19" s="902"/>
      <c r="GO19" s="902"/>
      <c r="GP19" s="902"/>
      <c r="GQ19" s="903"/>
      <c r="GR19" s="903"/>
      <c r="GS19" s="903"/>
      <c r="GT19" s="903"/>
      <c r="GU19" s="903"/>
      <c r="GV19" s="39"/>
      <c r="GW19" s="902"/>
      <c r="GX19" s="902"/>
      <c r="GY19" s="902"/>
      <c r="GZ19" s="903"/>
      <c r="HA19" s="903"/>
      <c r="HB19" s="903"/>
      <c r="HC19" s="903"/>
      <c r="HD19" s="903"/>
      <c r="HE19" s="39"/>
      <c r="HF19" s="902"/>
      <c r="HG19" s="902"/>
      <c r="HH19" s="902"/>
      <c r="HI19" s="903"/>
      <c r="HJ19" s="903"/>
      <c r="HK19" s="903"/>
      <c r="HL19" s="903"/>
      <c r="HM19" s="903"/>
      <c r="HN19" s="39"/>
      <c r="HO19" s="902"/>
      <c r="HP19" s="902"/>
      <c r="HQ19" s="902"/>
      <c r="HR19" s="903"/>
      <c r="HS19" s="903"/>
      <c r="HT19" s="903"/>
      <c r="HU19" s="903"/>
      <c r="HV19" s="903"/>
      <c r="HW19" s="40"/>
    </row>
    <row r="20" spans="2:231" x14ac:dyDescent="0.25">
      <c r="B20" s="939"/>
      <c r="C20" s="39"/>
      <c r="D20" s="936"/>
      <c r="E20" s="39"/>
      <c r="F20" s="902"/>
      <c r="G20" s="902"/>
      <c r="H20" s="902"/>
      <c r="I20" s="903"/>
      <c r="J20" s="903"/>
      <c r="K20" s="903"/>
      <c r="L20" s="903"/>
      <c r="M20" s="903"/>
      <c r="N20" s="39"/>
      <c r="O20" s="902"/>
      <c r="P20" s="902"/>
      <c r="Q20" s="902"/>
      <c r="R20" s="903"/>
      <c r="S20" s="903"/>
      <c r="T20" s="903"/>
      <c r="U20" s="903"/>
      <c r="V20" s="903"/>
      <c r="W20" s="39"/>
      <c r="X20" s="902"/>
      <c r="Y20" s="902"/>
      <c r="Z20" s="902"/>
      <c r="AA20" s="903"/>
      <c r="AB20" s="903"/>
      <c r="AC20" s="903"/>
      <c r="AD20" s="903"/>
      <c r="AE20" s="903"/>
      <c r="AF20" s="39"/>
      <c r="AG20" s="902"/>
      <c r="AH20" s="902"/>
      <c r="AI20" s="902"/>
      <c r="AJ20" s="903"/>
      <c r="AK20" s="903"/>
      <c r="AL20" s="903"/>
      <c r="AM20" s="903"/>
      <c r="AN20" s="903"/>
      <c r="AO20" s="39"/>
      <c r="AP20" s="902"/>
      <c r="AQ20" s="902"/>
      <c r="AR20" s="902"/>
      <c r="AS20" s="903"/>
      <c r="AT20" s="903"/>
      <c r="AU20" s="903"/>
      <c r="AV20" s="903"/>
      <c r="AW20" s="903"/>
      <c r="AX20" s="39"/>
      <c r="AY20" s="902"/>
      <c r="AZ20" s="902"/>
      <c r="BA20" s="902"/>
      <c r="BB20" s="903"/>
      <c r="BC20" s="903"/>
      <c r="BD20" s="903"/>
      <c r="BE20" s="903"/>
      <c r="BF20" s="903"/>
      <c r="BG20" s="39"/>
      <c r="BH20" s="902"/>
      <c r="BI20" s="902"/>
      <c r="BJ20" s="902"/>
      <c r="BK20" s="903"/>
      <c r="BL20" s="903"/>
      <c r="BM20" s="903"/>
      <c r="BN20" s="903"/>
      <c r="BO20" s="903"/>
      <c r="BP20" s="39"/>
      <c r="BQ20" s="902"/>
      <c r="BR20" s="902"/>
      <c r="BS20" s="902"/>
      <c r="BT20" s="903"/>
      <c r="BU20" s="903"/>
      <c r="BV20" s="903"/>
      <c r="BW20" s="903"/>
      <c r="BX20" s="903"/>
      <c r="BY20" s="39"/>
      <c r="BZ20" s="902"/>
      <c r="CA20" s="902"/>
      <c r="CB20" s="902"/>
      <c r="CC20" s="903"/>
      <c r="CD20" s="903"/>
      <c r="CE20" s="903"/>
      <c r="CF20" s="903"/>
      <c r="CG20" s="903"/>
      <c r="CH20" s="39"/>
      <c r="CI20" s="902"/>
      <c r="CJ20" s="902"/>
      <c r="CK20" s="902"/>
      <c r="CL20" s="903"/>
      <c r="CM20" s="903"/>
      <c r="CN20" s="903"/>
      <c r="CO20" s="903"/>
      <c r="CP20" s="903"/>
      <c r="CQ20" s="39"/>
      <c r="CR20" s="902"/>
      <c r="CS20" s="902"/>
      <c r="CT20" s="902"/>
      <c r="CU20" s="903"/>
      <c r="CV20" s="903"/>
      <c r="CW20" s="903"/>
      <c r="CX20" s="903"/>
      <c r="CY20" s="903"/>
      <c r="CZ20" s="39"/>
      <c r="DA20" s="902"/>
      <c r="DB20" s="902"/>
      <c r="DC20" s="902"/>
      <c r="DD20" s="903"/>
      <c r="DE20" s="903"/>
      <c r="DF20" s="903"/>
      <c r="DG20" s="903"/>
      <c r="DH20" s="903"/>
      <c r="DI20" s="39"/>
      <c r="DJ20" s="902"/>
      <c r="DK20" s="902"/>
      <c r="DL20" s="902"/>
      <c r="DM20" s="903"/>
      <c r="DN20" s="903"/>
      <c r="DO20" s="903"/>
      <c r="DP20" s="903"/>
      <c r="DQ20" s="903"/>
      <c r="DR20" s="39"/>
      <c r="DS20" s="902"/>
      <c r="DT20" s="902"/>
      <c r="DU20" s="902"/>
      <c r="DV20" s="903"/>
      <c r="DW20" s="903"/>
      <c r="DX20" s="903"/>
      <c r="DY20" s="903"/>
      <c r="DZ20" s="903"/>
      <c r="EA20" s="39"/>
      <c r="EB20" s="902"/>
      <c r="EC20" s="902"/>
      <c r="ED20" s="902"/>
      <c r="EE20" s="903"/>
      <c r="EF20" s="903"/>
      <c r="EG20" s="903"/>
      <c r="EH20" s="903"/>
      <c r="EI20" s="903"/>
      <c r="EJ20" s="39"/>
      <c r="EK20" s="902"/>
      <c r="EL20" s="902"/>
      <c r="EM20" s="902"/>
      <c r="EN20" s="903"/>
      <c r="EO20" s="903"/>
      <c r="EP20" s="903"/>
      <c r="EQ20" s="903"/>
      <c r="ER20" s="903"/>
      <c r="ES20" s="39"/>
      <c r="ET20" s="902"/>
      <c r="EU20" s="902"/>
      <c r="EV20" s="902"/>
      <c r="EW20" s="903"/>
      <c r="EX20" s="903"/>
      <c r="EY20" s="903"/>
      <c r="EZ20" s="903"/>
      <c r="FA20" s="903"/>
      <c r="FB20" s="39"/>
      <c r="FC20" s="902"/>
      <c r="FD20" s="902"/>
      <c r="FE20" s="902"/>
      <c r="FF20" s="903"/>
      <c r="FG20" s="903"/>
      <c r="FH20" s="903"/>
      <c r="FI20" s="903"/>
      <c r="FJ20" s="903"/>
      <c r="FK20" s="39"/>
      <c r="FL20" s="39"/>
      <c r="FM20" s="923"/>
      <c r="FN20" s="924"/>
      <c r="FO20" s="925"/>
      <c r="FP20" s="932"/>
      <c r="FQ20" s="933"/>
      <c r="FR20" s="933"/>
      <c r="FS20" s="933"/>
      <c r="FT20" s="934"/>
      <c r="FU20" s="39"/>
      <c r="FV20" s="923"/>
      <c r="FW20" s="924"/>
      <c r="FX20" s="925"/>
      <c r="FY20" s="932"/>
      <c r="FZ20" s="933"/>
      <c r="GA20" s="933"/>
      <c r="GB20" s="933"/>
      <c r="GC20" s="934"/>
      <c r="GD20" s="39"/>
      <c r="GE20" s="923"/>
      <c r="GF20" s="924"/>
      <c r="GG20" s="925"/>
      <c r="GH20" s="932"/>
      <c r="GI20" s="933"/>
      <c r="GJ20" s="933"/>
      <c r="GK20" s="933"/>
      <c r="GL20" s="934"/>
      <c r="GM20" s="39"/>
      <c r="GN20" s="902"/>
      <c r="GO20" s="902"/>
      <c r="GP20" s="902"/>
      <c r="GQ20" s="903"/>
      <c r="GR20" s="903"/>
      <c r="GS20" s="903"/>
      <c r="GT20" s="903"/>
      <c r="GU20" s="903"/>
      <c r="GV20" s="39"/>
      <c r="GW20" s="902"/>
      <c r="GX20" s="902"/>
      <c r="GY20" s="902"/>
      <c r="GZ20" s="903"/>
      <c r="HA20" s="903"/>
      <c r="HB20" s="903"/>
      <c r="HC20" s="903"/>
      <c r="HD20" s="903"/>
      <c r="HE20" s="39"/>
      <c r="HF20" s="902"/>
      <c r="HG20" s="902"/>
      <c r="HH20" s="902"/>
      <c r="HI20" s="903"/>
      <c r="HJ20" s="903"/>
      <c r="HK20" s="903"/>
      <c r="HL20" s="903"/>
      <c r="HM20" s="903"/>
      <c r="HN20" s="39"/>
      <c r="HO20" s="902"/>
      <c r="HP20" s="902"/>
      <c r="HQ20" s="902"/>
      <c r="HR20" s="903"/>
      <c r="HS20" s="903"/>
      <c r="HT20" s="903"/>
      <c r="HU20" s="903"/>
      <c r="HV20" s="903"/>
      <c r="HW20" s="40"/>
    </row>
    <row r="21" spans="2:231" x14ac:dyDescent="0.25">
      <c r="B21" s="939"/>
      <c r="C21" s="39"/>
      <c r="D21" s="936"/>
      <c r="E21" s="39"/>
      <c r="F21" s="902" t="s">
        <v>6</v>
      </c>
      <c r="G21" s="902"/>
      <c r="H21" s="902"/>
      <c r="I21" s="903" t="s">
        <v>9</v>
      </c>
      <c r="J21" s="903"/>
      <c r="K21" s="903"/>
      <c r="L21" s="903"/>
      <c r="M21" s="903"/>
      <c r="N21" s="39"/>
      <c r="O21" s="902" t="s">
        <v>6</v>
      </c>
      <c r="P21" s="902"/>
      <c r="Q21" s="902"/>
      <c r="R21" s="903" t="s">
        <v>9</v>
      </c>
      <c r="S21" s="903"/>
      <c r="T21" s="903"/>
      <c r="U21" s="903"/>
      <c r="V21" s="903"/>
      <c r="W21" s="39"/>
      <c r="X21" s="902" t="s">
        <v>6</v>
      </c>
      <c r="Y21" s="902"/>
      <c r="Z21" s="902"/>
      <c r="AA21" s="903" t="s">
        <v>9</v>
      </c>
      <c r="AB21" s="903"/>
      <c r="AC21" s="903"/>
      <c r="AD21" s="903"/>
      <c r="AE21" s="903"/>
      <c r="AF21" s="39"/>
      <c r="AG21" s="902" t="s">
        <v>6</v>
      </c>
      <c r="AH21" s="902"/>
      <c r="AI21" s="902"/>
      <c r="AJ21" s="903" t="s">
        <v>9</v>
      </c>
      <c r="AK21" s="903"/>
      <c r="AL21" s="903"/>
      <c r="AM21" s="903"/>
      <c r="AN21" s="903"/>
      <c r="AO21" s="39"/>
      <c r="AP21" s="902" t="s">
        <v>6</v>
      </c>
      <c r="AQ21" s="902"/>
      <c r="AR21" s="902"/>
      <c r="AS21" s="903" t="s">
        <v>9</v>
      </c>
      <c r="AT21" s="903"/>
      <c r="AU21" s="903"/>
      <c r="AV21" s="903"/>
      <c r="AW21" s="903"/>
      <c r="AX21" s="39"/>
      <c r="AY21" s="902" t="s">
        <v>6</v>
      </c>
      <c r="AZ21" s="902"/>
      <c r="BA21" s="902"/>
      <c r="BB21" s="903" t="s">
        <v>9</v>
      </c>
      <c r="BC21" s="903"/>
      <c r="BD21" s="903"/>
      <c r="BE21" s="903"/>
      <c r="BF21" s="903"/>
      <c r="BG21" s="39"/>
      <c r="BH21" s="902" t="s">
        <v>6</v>
      </c>
      <c r="BI21" s="902"/>
      <c r="BJ21" s="902"/>
      <c r="BK21" s="903" t="s">
        <v>9</v>
      </c>
      <c r="BL21" s="903"/>
      <c r="BM21" s="903"/>
      <c r="BN21" s="903"/>
      <c r="BO21" s="903"/>
      <c r="BP21" s="39"/>
      <c r="BQ21" s="902" t="s">
        <v>6</v>
      </c>
      <c r="BR21" s="902"/>
      <c r="BS21" s="902"/>
      <c r="BT21" s="903" t="s">
        <v>9</v>
      </c>
      <c r="BU21" s="903"/>
      <c r="BV21" s="903"/>
      <c r="BW21" s="903"/>
      <c r="BX21" s="903"/>
      <c r="BY21" s="39"/>
      <c r="BZ21" s="902" t="s">
        <v>6</v>
      </c>
      <c r="CA21" s="902"/>
      <c r="CB21" s="902"/>
      <c r="CC21" s="903" t="s">
        <v>9</v>
      </c>
      <c r="CD21" s="903"/>
      <c r="CE21" s="903"/>
      <c r="CF21" s="903"/>
      <c r="CG21" s="903"/>
      <c r="CH21" s="39"/>
      <c r="CI21" s="902" t="s">
        <v>6</v>
      </c>
      <c r="CJ21" s="902"/>
      <c r="CK21" s="902"/>
      <c r="CL21" s="903" t="s">
        <v>9</v>
      </c>
      <c r="CM21" s="903"/>
      <c r="CN21" s="903"/>
      <c r="CO21" s="903"/>
      <c r="CP21" s="903"/>
      <c r="CQ21" s="39"/>
      <c r="CR21" s="902" t="s">
        <v>6</v>
      </c>
      <c r="CS21" s="902"/>
      <c r="CT21" s="902"/>
      <c r="CU21" s="903" t="s">
        <v>9</v>
      </c>
      <c r="CV21" s="903"/>
      <c r="CW21" s="903"/>
      <c r="CX21" s="903"/>
      <c r="CY21" s="903"/>
      <c r="CZ21" s="39"/>
      <c r="DA21" s="902" t="s">
        <v>6</v>
      </c>
      <c r="DB21" s="902"/>
      <c r="DC21" s="902"/>
      <c r="DD21" s="903" t="s">
        <v>9</v>
      </c>
      <c r="DE21" s="903"/>
      <c r="DF21" s="903"/>
      <c r="DG21" s="903"/>
      <c r="DH21" s="903"/>
      <c r="DI21" s="39"/>
      <c r="DJ21" s="902" t="s">
        <v>6</v>
      </c>
      <c r="DK21" s="902"/>
      <c r="DL21" s="902"/>
      <c r="DM21" s="903" t="s">
        <v>9</v>
      </c>
      <c r="DN21" s="903"/>
      <c r="DO21" s="903"/>
      <c r="DP21" s="903"/>
      <c r="DQ21" s="903"/>
      <c r="DR21" s="39"/>
      <c r="DS21" s="902" t="s">
        <v>6</v>
      </c>
      <c r="DT21" s="902"/>
      <c r="DU21" s="902"/>
      <c r="DV21" s="903" t="s">
        <v>9</v>
      </c>
      <c r="DW21" s="903"/>
      <c r="DX21" s="903"/>
      <c r="DY21" s="903"/>
      <c r="DZ21" s="903"/>
      <c r="EA21" s="39"/>
      <c r="EB21" s="902" t="s">
        <v>6</v>
      </c>
      <c r="EC21" s="902"/>
      <c r="ED21" s="902"/>
      <c r="EE21" s="903" t="s">
        <v>9</v>
      </c>
      <c r="EF21" s="903"/>
      <c r="EG21" s="903"/>
      <c r="EH21" s="903"/>
      <c r="EI21" s="903"/>
      <c r="EJ21" s="39"/>
      <c r="EK21" s="902" t="s">
        <v>6</v>
      </c>
      <c r="EL21" s="902"/>
      <c r="EM21" s="902"/>
      <c r="EN21" s="903" t="s">
        <v>9</v>
      </c>
      <c r="EO21" s="903"/>
      <c r="EP21" s="903"/>
      <c r="EQ21" s="903"/>
      <c r="ER21" s="903"/>
      <c r="ES21" s="39"/>
      <c r="ET21" s="902" t="s">
        <v>6</v>
      </c>
      <c r="EU21" s="902"/>
      <c r="EV21" s="902"/>
      <c r="EW21" s="903" t="s">
        <v>9</v>
      </c>
      <c r="EX21" s="903"/>
      <c r="EY21" s="903"/>
      <c r="EZ21" s="903"/>
      <c r="FA21" s="903"/>
      <c r="FB21" s="39"/>
      <c r="FC21" s="902" t="s">
        <v>6</v>
      </c>
      <c r="FD21" s="902"/>
      <c r="FE21" s="902"/>
      <c r="FF21" s="903" t="s">
        <v>9</v>
      </c>
      <c r="FG21" s="903"/>
      <c r="FH21" s="903"/>
      <c r="FI21" s="903"/>
      <c r="FJ21" s="903"/>
      <c r="FK21" s="39"/>
      <c r="FL21" s="39"/>
      <c r="FM21" s="917" t="s">
        <v>6</v>
      </c>
      <c r="FN21" s="918"/>
      <c r="FO21" s="919"/>
      <c r="FP21" s="926" t="s">
        <v>9</v>
      </c>
      <c r="FQ21" s="927"/>
      <c r="FR21" s="927"/>
      <c r="FS21" s="927"/>
      <c r="FT21" s="928"/>
      <c r="FU21" s="39"/>
      <c r="FV21" s="917" t="s">
        <v>6</v>
      </c>
      <c r="FW21" s="918"/>
      <c r="FX21" s="919"/>
      <c r="FY21" s="926" t="s">
        <v>9</v>
      </c>
      <c r="FZ21" s="927"/>
      <c r="GA21" s="927"/>
      <c r="GB21" s="927"/>
      <c r="GC21" s="928"/>
      <c r="GD21" s="39"/>
      <c r="GE21" s="917" t="s">
        <v>6</v>
      </c>
      <c r="GF21" s="918"/>
      <c r="GG21" s="919"/>
      <c r="GH21" s="926" t="s">
        <v>9</v>
      </c>
      <c r="GI21" s="927"/>
      <c r="GJ21" s="927"/>
      <c r="GK21" s="927"/>
      <c r="GL21" s="928"/>
      <c r="GM21" s="39"/>
      <c r="GN21" s="902" t="s">
        <v>6</v>
      </c>
      <c r="GO21" s="902"/>
      <c r="GP21" s="902"/>
      <c r="GQ21" s="903" t="s">
        <v>9</v>
      </c>
      <c r="GR21" s="903"/>
      <c r="GS21" s="903"/>
      <c r="GT21" s="903"/>
      <c r="GU21" s="903"/>
      <c r="GV21" s="39"/>
      <c r="GW21" s="902" t="s">
        <v>6</v>
      </c>
      <c r="GX21" s="902"/>
      <c r="GY21" s="902"/>
      <c r="GZ21" s="903" t="s">
        <v>9</v>
      </c>
      <c r="HA21" s="903"/>
      <c r="HB21" s="903"/>
      <c r="HC21" s="903"/>
      <c r="HD21" s="903"/>
      <c r="HE21" s="39"/>
      <c r="HF21" s="902" t="s">
        <v>6</v>
      </c>
      <c r="HG21" s="902"/>
      <c r="HH21" s="902"/>
      <c r="HI21" s="903" t="s">
        <v>9</v>
      </c>
      <c r="HJ21" s="903"/>
      <c r="HK21" s="903"/>
      <c r="HL21" s="903"/>
      <c r="HM21" s="903"/>
      <c r="HN21" s="39"/>
      <c r="HO21" s="902" t="s">
        <v>6</v>
      </c>
      <c r="HP21" s="902"/>
      <c r="HQ21" s="902"/>
      <c r="HR21" s="903" t="s">
        <v>9</v>
      </c>
      <c r="HS21" s="903"/>
      <c r="HT21" s="903"/>
      <c r="HU21" s="903"/>
      <c r="HV21" s="903"/>
      <c r="HW21" s="40"/>
    </row>
    <row r="22" spans="2:231" x14ac:dyDescent="0.25">
      <c r="B22" s="939"/>
      <c r="C22" s="39"/>
      <c r="D22" s="936"/>
      <c r="E22" s="39"/>
      <c r="F22" s="902"/>
      <c r="G22" s="902"/>
      <c r="H22" s="902"/>
      <c r="I22" s="903"/>
      <c r="J22" s="903"/>
      <c r="K22" s="903"/>
      <c r="L22" s="903"/>
      <c r="M22" s="903"/>
      <c r="N22" s="39"/>
      <c r="O22" s="902"/>
      <c r="P22" s="902"/>
      <c r="Q22" s="902"/>
      <c r="R22" s="903"/>
      <c r="S22" s="903"/>
      <c r="T22" s="903"/>
      <c r="U22" s="903"/>
      <c r="V22" s="903"/>
      <c r="W22" s="39"/>
      <c r="X22" s="902"/>
      <c r="Y22" s="902"/>
      <c r="Z22" s="902"/>
      <c r="AA22" s="903"/>
      <c r="AB22" s="903"/>
      <c r="AC22" s="903"/>
      <c r="AD22" s="903"/>
      <c r="AE22" s="903"/>
      <c r="AF22" s="39"/>
      <c r="AG22" s="902"/>
      <c r="AH22" s="902"/>
      <c r="AI22" s="902"/>
      <c r="AJ22" s="903"/>
      <c r="AK22" s="903"/>
      <c r="AL22" s="903"/>
      <c r="AM22" s="903"/>
      <c r="AN22" s="903"/>
      <c r="AO22" s="39"/>
      <c r="AP22" s="902"/>
      <c r="AQ22" s="902"/>
      <c r="AR22" s="902"/>
      <c r="AS22" s="903"/>
      <c r="AT22" s="903"/>
      <c r="AU22" s="903"/>
      <c r="AV22" s="903"/>
      <c r="AW22" s="903"/>
      <c r="AX22" s="39"/>
      <c r="AY22" s="902"/>
      <c r="AZ22" s="902"/>
      <c r="BA22" s="902"/>
      <c r="BB22" s="903"/>
      <c r="BC22" s="903"/>
      <c r="BD22" s="903"/>
      <c r="BE22" s="903"/>
      <c r="BF22" s="903"/>
      <c r="BG22" s="39"/>
      <c r="BH22" s="902"/>
      <c r="BI22" s="902"/>
      <c r="BJ22" s="902"/>
      <c r="BK22" s="903"/>
      <c r="BL22" s="903"/>
      <c r="BM22" s="903"/>
      <c r="BN22" s="903"/>
      <c r="BO22" s="903"/>
      <c r="BP22" s="39"/>
      <c r="BQ22" s="902"/>
      <c r="BR22" s="902"/>
      <c r="BS22" s="902"/>
      <c r="BT22" s="903"/>
      <c r="BU22" s="903"/>
      <c r="BV22" s="903"/>
      <c r="BW22" s="903"/>
      <c r="BX22" s="903"/>
      <c r="BY22" s="39"/>
      <c r="BZ22" s="902"/>
      <c r="CA22" s="902"/>
      <c r="CB22" s="902"/>
      <c r="CC22" s="903"/>
      <c r="CD22" s="903"/>
      <c r="CE22" s="903"/>
      <c r="CF22" s="903"/>
      <c r="CG22" s="903"/>
      <c r="CH22" s="39"/>
      <c r="CI22" s="902"/>
      <c r="CJ22" s="902"/>
      <c r="CK22" s="902"/>
      <c r="CL22" s="903"/>
      <c r="CM22" s="903"/>
      <c r="CN22" s="903"/>
      <c r="CO22" s="903"/>
      <c r="CP22" s="903"/>
      <c r="CQ22" s="39"/>
      <c r="CR22" s="902"/>
      <c r="CS22" s="902"/>
      <c r="CT22" s="902"/>
      <c r="CU22" s="903"/>
      <c r="CV22" s="903"/>
      <c r="CW22" s="903"/>
      <c r="CX22" s="903"/>
      <c r="CY22" s="903"/>
      <c r="CZ22" s="39"/>
      <c r="DA22" s="902"/>
      <c r="DB22" s="902"/>
      <c r="DC22" s="902"/>
      <c r="DD22" s="903"/>
      <c r="DE22" s="903"/>
      <c r="DF22" s="903"/>
      <c r="DG22" s="903"/>
      <c r="DH22" s="903"/>
      <c r="DI22" s="39"/>
      <c r="DJ22" s="902"/>
      <c r="DK22" s="902"/>
      <c r="DL22" s="902"/>
      <c r="DM22" s="903"/>
      <c r="DN22" s="903"/>
      <c r="DO22" s="903"/>
      <c r="DP22" s="903"/>
      <c r="DQ22" s="903"/>
      <c r="DR22" s="39"/>
      <c r="DS22" s="902"/>
      <c r="DT22" s="902"/>
      <c r="DU22" s="902"/>
      <c r="DV22" s="903"/>
      <c r="DW22" s="903"/>
      <c r="DX22" s="903"/>
      <c r="DY22" s="903"/>
      <c r="DZ22" s="903"/>
      <c r="EA22" s="39"/>
      <c r="EB22" s="902"/>
      <c r="EC22" s="902"/>
      <c r="ED22" s="902"/>
      <c r="EE22" s="903"/>
      <c r="EF22" s="903"/>
      <c r="EG22" s="903"/>
      <c r="EH22" s="903"/>
      <c r="EI22" s="903"/>
      <c r="EJ22" s="39"/>
      <c r="EK22" s="902"/>
      <c r="EL22" s="902"/>
      <c r="EM22" s="902"/>
      <c r="EN22" s="903"/>
      <c r="EO22" s="903"/>
      <c r="EP22" s="903"/>
      <c r="EQ22" s="903"/>
      <c r="ER22" s="903"/>
      <c r="ES22" s="39"/>
      <c r="ET22" s="902"/>
      <c r="EU22" s="902"/>
      <c r="EV22" s="902"/>
      <c r="EW22" s="903"/>
      <c r="EX22" s="903"/>
      <c r="EY22" s="903"/>
      <c r="EZ22" s="903"/>
      <c r="FA22" s="903"/>
      <c r="FB22" s="39"/>
      <c r="FC22" s="902"/>
      <c r="FD22" s="902"/>
      <c r="FE22" s="902"/>
      <c r="FF22" s="903"/>
      <c r="FG22" s="903"/>
      <c r="FH22" s="903"/>
      <c r="FI22" s="903"/>
      <c r="FJ22" s="903"/>
      <c r="FK22" s="39"/>
      <c r="FL22" s="39"/>
      <c r="FM22" s="920"/>
      <c r="FN22" s="921"/>
      <c r="FO22" s="922"/>
      <c r="FP22" s="929"/>
      <c r="FQ22" s="930"/>
      <c r="FR22" s="930"/>
      <c r="FS22" s="930"/>
      <c r="FT22" s="931"/>
      <c r="FU22" s="39"/>
      <c r="FV22" s="920"/>
      <c r="FW22" s="921"/>
      <c r="FX22" s="922"/>
      <c r="FY22" s="929"/>
      <c r="FZ22" s="930"/>
      <c r="GA22" s="930"/>
      <c r="GB22" s="930"/>
      <c r="GC22" s="931"/>
      <c r="GD22" s="39"/>
      <c r="GE22" s="920"/>
      <c r="GF22" s="921"/>
      <c r="GG22" s="922"/>
      <c r="GH22" s="929"/>
      <c r="GI22" s="930"/>
      <c r="GJ22" s="930"/>
      <c r="GK22" s="930"/>
      <c r="GL22" s="931"/>
      <c r="GM22" s="39"/>
      <c r="GN22" s="902"/>
      <c r="GO22" s="902"/>
      <c r="GP22" s="902"/>
      <c r="GQ22" s="903"/>
      <c r="GR22" s="903"/>
      <c r="GS22" s="903"/>
      <c r="GT22" s="903"/>
      <c r="GU22" s="903"/>
      <c r="GV22" s="39"/>
      <c r="GW22" s="902"/>
      <c r="GX22" s="902"/>
      <c r="GY22" s="902"/>
      <c r="GZ22" s="903"/>
      <c r="HA22" s="903"/>
      <c r="HB22" s="903"/>
      <c r="HC22" s="903"/>
      <c r="HD22" s="903"/>
      <c r="HE22" s="39"/>
      <c r="HF22" s="902"/>
      <c r="HG22" s="902"/>
      <c r="HH22" s="902"/>
      <c r="HI22" s="903"/>
      <c r="HJ22" s="903"/>
      <c r="HK22" s="903"/>
      <c r="HL22" s="903"/>
      <c r="HM22" s="903"/>
      <c r="HN22" s="39"/>
      <c r="HO22" s="902"/>
      <c r="HP22" s="902"/>
      <c r="HQ22" s="902"/>
      <c r="HR22" s="903"/>
      <c r="HS22" s="903"/>
      <c r="HT22" s="903"/>
      <c r="HU22" s="903"/>
      <c r="HV22" s="903"/>
      <c r="HW22" s="40"/>
    </row>
    <row r="23" spans="2:231" x14ac:dyDescent="0.25">
      <c r="B23" s="939"/>
      <c r="C23" s="39"/>
      <c r="D23" s="936"/>
      <c r="E23" s="39"/>
      <c r="F23" s="902"/>
      <c r="G23" s="902"/>
      <c r="H23" s="902"/>
      <c r="I23" s="903"/>
      <c r="J23" s="903"/>
      <c r="K23" s="903"/>
      <c r="L23" s="903"/>
      <c r="M23" s="903"/>
      <c r="N23" s="39"/>
      <c r="O23" s="902"/>
      <c r="P23" s="902"/>
      <c r="Q23" s="902"/>
      <c r="R23" s="903"/>
      <c r="S23" s="903"/>
      <c r="T23" s="903"/>
      <c r="U23" s="903"/>
      <c r="V23" s="903"/>
      <c r="W23" s="39"/>
      <c r="X23" s="902"/>
      <c r="Y23" s="902"/>
      <c r="Z23" s="902"/>
      <c r="AA23" s="903"/>
      <c r="AB23" s="903"/>
      <c r="AC23" s="903"/>
      <c r="AD23" s="903"/>
      <c r="AE23" s="903"/>
      <c r="AF23" s="39"/>
      <c r="AG23" s="902"/>
      <c r="AH23" s="902"/>
      <c r="AI23" s="902"/>
      <c r="AJ23" s="903"/>
      <c r="AK23" s="903"/>
      <c r="AL23" s="903"/>
      <c r="AM23" s="903"/>
      <c r="AN23" s="903"/>
      <c r="AO23" s="39"/>
      <c r="AP23" s="902"/>
      <c r="AQ23" s="902"/>
      <c r="AR23" s="902"/>
      <c r="AS23" s="903"/>
      <c r="AT23" s="903"/>
      <c r="AU23" s="903"/>
      <c r="AV23" s="903"/>
      <c r="AW23" s="903"/>
      <c r="AX23" s="39"/>
      <c r="AY23" s="902"/>
      <c r="AZ23" s="902"/>
      <c r="BA23" s="902"/>
      <c r="BB23" s="903"/>
      <c r="BC23" s="903"/>
      <c r="BD23" s="903"/>
      <c r="BE23" s="903"/>
      <c r="BF23" s="903"/>
      <c r="BG23" s="39"/>
      <c r="BH23" s="902"/>
      <c r="BI23" s="902"/>
      <c r="BJ23" s="902"/>
      <c r="BK23" s="903"/>
      <c r="BL23" s="903"/>
      <c r="BM23" s="903"/>
      <c r="BN23" s="903"/>
      <c r="BO23" s="903"/>
      <c r="BP23" s="39"/>
      <c r="BQ23" s="902"/>
      <c r="BR23" s="902"/>
      <c r="BS23" s="902"/>
      <c r="BT23" s="903"/>
      <c r="BU23" s="903"/>
      <c r="BV23" s="903"/>
      <c r="BW23" s="903"/>
      <c r="BX23" s="903"/>
      <c r="BY23" s="39"/>
      <c r="BZ23" s="902"/>
      <c r="CA23" s="902"/>
      <c r="CB23" s="902"/>
      <c r="CC23" s="903"/>
      <c r="CD23" s="903"/>
      <c r="CE23" s="903"/>
      <c r="CF23" s="903"/>
      <c r="CG23" s="903"/>
      <c r="CH23" s="39"/>
      <c r="CI23" s="902"/>
      <c r="CJ23" s="902"/>
      <c r="CK23" s="902"/>
      <c r="CL23" s="903"/>
      <c r="CM23" s="903"/>
      <c r="CN23" s="903"/>
      <c r="CO23" s="903"/>
      <c r="CP23" s="903"/>
      <c r="CQ23" s="39"/>
      <c r="CR23" s="902"/>
      <c r="CS23" s="902"/>
      <c r="CT23" s="902"/>
      <c r="CU23" s="903"/>
      <c r="CV23" s="903"/>
      <c r="CW23" s="903"/>
      <c r="CX23" s="903"/>
      <c r="CY23" s="903"/>
      <c r="CZ23" s="39"/>
      <c r="DA23" s="902"/>
      <c r="DB23" s="902"/>
      <c r="DC23" s="902"/>
      <c r="DD23" s="903"/>
      <c r="DE23" s="903"/>
      <c r="DF23" s="903"/>
      <c r="DG23" s="903"/>
      <c r="DH23" s="903"/>
      <c r="DI23" s="39"/>
      <c r="DJ23" s="902"/>
      <c r="DK23" s="902"/>
      <c r="DL23" s="902"/>
      <c r="DM23" s="903"/>
      <c r="DN23" s="903"/>
      <c r="DO23" s="903"/>
      <c r="DP23" s="903"/>
      <c r="DQ23" s="903"/>
      <c r="DR23" s="39"/>
      <c r="DS23" s="902"/>
      <c r="DT23" s="902"/>
      <c r="DU23" s="902"/>
      <c r="DV23" s="903"/>
      <c r="DW23" s="903"/>
      <c r="DX23" s="903"/>
      <c r="DY23" s="903"/>
      <c r="DZ23" s="903"/>
      <c r="EA23" s="39"/>
      <c r="EB23" s="902"/>
      <c r="EC23" s="902"/>
      <c r="ED23" s="902"/>
      <c r="EE23" s="903"/>
      <c r="EF23" s="903"/>
      <c r="EG23" s="903"/>
      <c r="EH23" s="903"/>
      <c r="EI23" s="903"/>
      <c r="EJ23" s="39"/>
      <c r="EK23" s="902"/>
      <c r="EL23" s="902"/>
      <c r="EM23" s="902"/>
      <c r="EN23" s="903"/>
      <c r="EO23" s="903"/>
      <c r="EP23" s="903"/>
      <c r="EQ23" s="903"/>
      <c r="ER23" s="903"/>
      <c r="ES23" s="39"/>
      <c r="ET23" s="902"/>
      <c r="EU23" s="902"/>
      <c r="EV23" s="902"/>
      <c r="EW23" s="903"/>
      <c r="EX23" s="903"/>
      <c r="EY23" s="903"/>
      <c r="EZ23" s="903"/>
      <c r="FA23" s="903"/>
      <c r="FB23" s="39"/>
      <c r="FC23" s="902"/>
      <c r="FD23" s="902"/>
      <c r="FE23" s="902"/>
      <c r="FF23" s="903"/>
      <c r="FG23" s="903"/>
      <c r="FH23" s="903"/>
      <c r="FI23" s="903"/>
      <c r="FJ23" s="903"/>
      <c r="FK23" s="39"/>
      <c r="FL23" s="39"/>
      <c r="FM23" s="923"/>
      <c r="FN23" s="924"/>
      <c r="FO23" s="925"/>
      <c r="FP23" s="932"/>
      <c r="FQ23" s="933"/>
      <c r="FR23" s="933"/>
      <c r="FS23" s="933"/>
      <c r="FT23" s="934"/>
      <c r="FU23" s="39"/>
      <c r="FV23" s="923"/>
      <c r="FW23" s="924"/>
      <c r="FX23" s="925"/>
      <c r="FY23" s="932"/>
      <c r="FZ23" s="933"/>
      <c r="GA23" s="933"/>
      <c r="GB23" s="933"/>
      <c r="GC23" s="934"/>
      <c r="GD23" s="39"/>
      <c r="GE23" s="923"/>
      <c r="GF23" s="924"/>
      <c r="GG23" s="925"/>
      <c r="GH23" s="932"/>
      <c r="GI23" s="933"/>
      <c r="GJ23" s="933"/>
      <c r="GK23" s="933"/>
      <c r="GL23" s="934"/>
      <c r="GM23" s="39"/>
      <c r="GN23" s="902"/>
      <c r="GO23" s="902"/>
      <c r="GP23" s="902"/>
      <c r="GQ23" s="903"/>
      <c r="GR23" s="903"/>
      <c r="GS23" s="903"/>
      <c r="GT23" s="903"/>
      <c r="GU23" s="903"/>
      <c r="GV23" s="39"/>
      <c r="GW23" s="902"/>
      <c r="GX23" s="902"/>
      <c r="GY23" s="902"/>
      <c r="GZ23" s="903"/>
      <c r="HA23" s="903"/>
      <c r="HB23" s="903"/>
      <c r="HC23" s="903"/>
      <c r="HD23" s="903"/>
      <c r="HE23" s="39"/>
      <c r="HF23" s="902"/>
      <c r="HG23" s="902"/>
      <c r="HH23" s="902"/>
      <c r="HI23" s="903"/>
      <c r="HJ23" s="903"/>
      <c r="HK23" s="903"/>
      <c r="HL23" s="903"/>
      <c r="HM23" s="903"/>
      <c r="HN23" s="39"/>
      <c r="HO23" s="902"/>
      <c r="HP23" s="902"/>
      <c r="HQ23" s="902"/>
      <c r="HR23" s="903"/>
      <c r="HS23" s="903"/>
      <c r="HT23" s="903"/>
      <c r="HU23" s="903"/>
      <c r="HV23" s="903"/>
      <c r="HW23" s="40"/>
    </row>
    <row r="24" spans="2:231" ht="15.75" customHeight="1" x14ac:dyDescent="0.25">
      <c r="B24" s="939"/>
      <c r="C24" s="39"/>
      <c r="D24" s="936"/>
      <c r="E24" s="39"/>
      <c r="F24" s="902" t="s">
        <v>7</v>
      </c>
      <c r="G24" s="902"/>
      <c r="H24" s="902"/>
      <c r="I24" s="904" t="s">
        <v>548</v>
      </c>
      <c r="J24" s="903"/>
      <c r="K24" s="903"/>
      <c r="L24" s="903"/>
      <c r="M24" s="903"/>
      <c r="N24" s="39"/>
      <c r="O24" s="902" t="s">
        <v>7</v>
      </c>
      <c r="P24" s="902"/>
      <c r="Q24" s="902"/>
      <c r="R24" s="904" t="s">
        <v>553</v>
      </c>
      <c r="S24" s="903"/>
      <c r="T24" s="903"/>
      <c r="U24" s="903"/>
      <c r="V24" s="903"/>
      <c r="W24" s="39"/>
      <c r="X24" s="902" t="s">
        <v>7</v>
      </c>
      <c r="Y24" s="902"/>
      <c r="Z24" s="902"/>
      <c r="AA24" s="904" t="s">
        <v>554</v>
      </c>
      <c r="AB24" s="903"/>
      <c r="AC24" s="903"/>
      <c r="AD24" s="903"/>
      <c r="AE24" s="903"/>
      <c r="AF24" s="39"/>
      <c r="AG24" s="902" t="s">
        <v>7</v>
      </c>
      <c r="AH24" s="902"/>
      <c r="AI24" s="902"/>
      <c r="AJ24" s="904" t="s">
        <v>557</v>
      </c>
      <c r="AK24" s="903"/>
      <c r="AL24" s="903"/>
      <c r="AM24" s="903"/>
      <c r="AN24" s="903"/>
      <c r="AO24" s="39"/>
      <c r="AP24" s="902" t="s">
        <v>7</v>
      </c>
      <c r="AQ24" s="902"/>
      <c r="AR24" s="902"/>
      <c r="AS24" s="904" t="s">
        <v>560</v>
      </c>
      <c r="AT24" s="903"/>
      <c r="AU24" s="903"/>
      <c r="AV24" s="903"/>
      <c r="AW24" s="903"/>
      <c r="AX24" s="39"/>
      <c r="AY24" s="902" t="s">
        <v>7</v>
      </c>
      <c r="AZ24" s="902"/>
      <c r="BA24" s="902"/>
      <c r="BB24" s="904" t="s">
        <v>562</v>
      </c>
      <c r="BC24" s="903"/>
      <c r="BD24" s="903"/>
      <c r="BE24" s="903"/>
      <c r="BF24" s="903"/>
      <c r="BG24" s="39"/>
      <c r="BH24" s="902" t="s">
        <v>7</v>
      </c>
      <c r="BI24" s="902"/>
      <c r="BJ24" s="902"/>
      <c r="BK24" s="904" t="s">
        <v>563</v>
      </c>
      <c r="BL24" s="903"/>
      <c r="BM24" s="903"/>
      <c r="BN24" s="903"/>
      <c r="BO24" s="903"/>
      <c r="BP24" s="39"/>
      <c r="BQ24" s="902" t="s">
        <v>7</v>
      </c>
      <c r="BR24" s="902"/>
      <c r="BS24" s="902"/>
      <c r="BT24" s="904" t="s">
        <v>565</v>
      </c>
      <c r="BU24" s="903"/>
      <c r="BV24" s="903"/>
      <c r="BW24" s="903"/>
      <c r="BX24" s="903"/>
      <c r="BY24" s="39"/>
      <c r="BZ24" s="902" t="s">
        <v>7</v>
      </c>
      <c r="CA24" s="902"/>
      <c r="CB24" s="902"/>
      <c r="CC24" s="904" t="s">
        <v>567</v>
      </c>
      <c r="CD24" s="903"/>
      <c r="CE24" s="903"/>
      <c r="CF24" s="903"/>
      <c r="CG24" s="903"/>
      <c r="CH24" s="39"/>
      <c r="CI24" s="902" t="s">
        <v>7</v>
      </c>
      <c r="CJ24" s="902"/>
      <c r="CK24" s="902"/>
      <c r="CL24" s="941" t="s">
        <v>568</v>
      </c>
      <c r="CM24" s="942"/>
      <c r="CN24" s="942"/>
      <c r="CO24" s="942"/>
      <c r="CP24" s="943"/>
      <c r="CQ24" s="39"/>
      <c r="CR24" s="902" t="s">
        <v>7</v>
      </c>
      <c r="CS24" s="902"/>
      <c r="CT24" s="902"/>
      <c r="CU24" s="904" t="s">
        <v>569</v>
      </c>
      <c r="CV24" s="903"/>
      <c r="CW24" s="903"/>
      <c r="CX24" s="903"/>
      <c r="CY24" s="903"/>
      <c r="CZ24" s="39"/>
      <c r="DA24" s="902" t="s">
        <v>7</v>
      </c>
      <c r="DB24" s="902"/>
      <c r="DC24" s="902"/>
      <c r="DD24" s="904" t="s">
        <v>570</v>
      </c>
      <c r="DE24" s="903"/>
      <c r="DF24" s="903"/>
      <c r="DG24" s="903"/>
      <c r="DH24" s="903"/>
      <c r="DI24" s="39"/>
      <c r="DJ24" s="902" t="s">
        <v>7</v>
      </c>
      <c r="DK24" s="902"/>
      <c r="DL24" s="902"/>
      <c r="DM24" s="903" t="s">
        <v>571</v>
      </c>
      <c r="DN24" s="903"/>
      <c r="DO24" s="903"/>
      <c r="DP24" s="903"/>
      <c r="DQ24" s="903"/>
      <c r="DR24" s="39"/>
      <c r="DS24" s="902" t="s">
        <v>7</v>
      </c>
      <c r="DT24" s="902"/>
      <c r="DU24" s="902"/>
      <c r="DV24" s="904" t="s">
        <v>573</v>
      </c>
      <c r="DW24" s="903"/>
      <c r="DX24" s="903"/>
      <c r="DY24" s="903"/>
      <c r="DZ24" s="903"/>
      <c r="EA24" s="39"/>
      <c r="EB24" s="902" t="s">
        <v>7</v>
      </c>
      <c r="EC24" s="902"/>
      <c r="ED24" s="902"/>
      <c r="EE24" s="904" t="s">
        <v>574</v>
      </c>
      <c r="EF24" s="903"/>
      <c r="EG24" s="903"/>
      <c r="EH24" s="903"/>
      <c r="EI24" s="903"/>
      <c r="EJ24" s="39"/>
      <c r="EK24" s="902" t="s">
        <v>7</v>
      </c>
      <c r="EL24" s="902"/>
      <c r="EM24" s="902"/>
      <c r="EN24" s="904" t="s">
        <v>575</v>
      </c>
      <c r="EO24" s="903"/>
      <c r="EP24" s="903"/>
      <c r="EQ24" s="903"/>
      <c r="ER24" s="903"/>
      <c r="ES24" s="39"/>
      <c r="ET24" s="902" t="s">
        <v>7</v>
      </c>
      <c r="EU24" s="902"/>
      <c r="EV24" s="902"/>
      <c r="EW24" s="903" t="s">
        <v>577</v>
      </c>
      <c r="EX24" s="903"/>
      <c r="EY24" s="903"/>
      <c r="EZ24" s="903"/>
      <c r="FA24" s="903"/>
      <c r="FB24" s="39"/>
      <c r="FC24" s="902" t="s">
        <v>7</v>
      </c>
      <c r="FD24" s="902"/>
      <c r="FE24" s="902"/>
      <c r="FF24" s="903" t="s">
        <v>578</v>
      </c>
      <c r="FG24" s="903"/>
      <c r="FH24" s="903"/>
      <c r="FI24" s="903"/>
      <c r="FJ24" s="903"/>
      <c r="FK24" s="39"/>
      <c r="FL24" s="39"/>
      <c r="FM24" s="917" t="s">
        <v>7</v>
      </c>
      <c r="FN24" s="918"/>
      <c r="FO24" s="919"/>
      <c r="FP24" s="926" t="s">
        <v>580</v>
      </c>
      <c r="FQ24" s="927"/>
      <c r="FR24" s="927"/>
      <c r="FS24" s="927"/>
      <c r="FT24" s="928"/>
      <c r="FU24" s="39"/>
      <c r="FV24" s="917" t="s">
        <v>7</v>
      </c>
      <c r="FW24" s="918"/>
      <c r="FX24" s="919"/>
      <c r="FY24" s="926" t="s">
        <v>582</v>
      </c>
      <c r="FZ24" s="927"/>
      <c r="GA24" s="927"/>
      <c r="GB24" s="927"/>
      <c r="GC24" s="928"/>
      <c r="GD24" s="39"/>
      <c r="GE24" s="917" t="s">
        <v>7</v>
      </c>
      <c r="GF24" s="918"/>
      <c r="GG24" s="919"/>
      <c r="GH24" s="926" t="s">
        <v>586</v>
      </c>
      <c r="GI24" s="927"/>
      <c r="GJ24" s="927"/>
      <c r="GK24" s="927"/>
      <c r="GL24" s="928"/>
      <c r="GM24" s="39"/>
      <c r="GN24" s="902" t="s">
        <v>7</v>
      </c>
      <c r="GO24" s="902"/>
      <c r="GP24" s="902"/>
      <c r="GQ24" s="904" t="s">
        <v>310</v>
      </c>
      <c r="GR24" s="903"/>
      <c r="GS24" s="903"/>
      <c r="GT24" s="903"/>
      <c r="GU24" s="903"/>
      <c r="GV24" s="39"/>
      <c r="GW24" s="902" t="s">
        <v>7</v>
      </c>
      <c r="GX24" s="902"/>
      <c r="GY24" s="902"/>
      <c r="GZ24" s="903" t="s">
        <v>622</v>
      </c>
      <c r="HA24" s="903"/>
      <c r="HB24" s="903"/>
      <c r="HC24" s="903"/>
      <c r="HD24" s="903"/>
      <c r="HE24" s="39"/>
      <c r="HF24" s="902" t="s">
        <v>7</v>
      </c>
      <c r="HG24" s="902"/>
      <c r="HH24" s="902"/>
      <c r="HI24" s="903" t="s">
        <v>623</v>
      </c>
      <c r="HJ24" s="903"/>
      <c r="HK24" s="903"/>
      <c r="HL24" s="903"/>
      <c r="HM24" s="903"/>
      <c r="HN24" s="39"/>
      <c r="HO24" s="902" t="s">
        <v>7</v>
      </c>
      <c r="HP24" s="902"/>
      <c r="HQ24" s="902"/>
      <c r="HR24" s="903" t="s">
        <v>941</v>
      </c>
      <c r="HS24" s="903"/>
      <c r="HT24" s="903"/>
      <c r="HU24" s="903"/>
      <c r="HV24" s="903"/>
      <c r="HW24" s="40"/>
    </row>
    <row r="25" spans="2:231" x14ac:dyDescent="0.25">
      <c r="B25" s="939"/>
      <c r="C25" s="39"/>
      <c r="D25" s="936"/>
      <c r="E25" s="39"/>
      <c r="F25" s="902"/>
      <c r="G25" s="902"/>
      <c r="H25" s="902"/>
      <c r="I25" s="903"/>
      <c r="J25" s="903"/>
      <c r="K25" s="903"/>
      <c r="L25" s="903"/>
      <c r="M25" s="903"/>
      <c r="N25" s="39"/>
      <c r="O25" s="902"/>
      <c r="P25" s="902"/>
      <c r="Q25" s="902"/>
      <c r="R25" s="903"/>
      <c r="S25" s="903"/>
      <c r="T25" s="903"/>
      <c r="U25" s="903"/>
      <c r="V25" s="903"/>
      <c r="W25" s="39"/>
      <c r="X25" s="902"/>
      <c r="Y25" s="902"/>
      <c r="Z25" s="902"/>
      <c r="AA25" s="903"/>
      <c r="AB25" s="903"/>
      <c r="AC25" s="903"/>
      <c r="AD25" s="903"/>
      <c r="AE25" s="903"/>
      <c r="AF25" s="39"/>
      <c r="AG25" s="902"/>
      <c r="AH25" s="902"/>
      <c r="AI25" s="902"/>
      <c r="AJ25" s="903"/>
      <c r="AK25" s="903"/>
      <c r="AL25" s="903"/>
      <c r="AM25" s="903"/>
      <c r="AN25" s="903"/>
      <c r="AO25" s="39"/>
      <c r="AP25" s="902"/>
      <c r="AQ25" s="902"/>
      <c r="AR25" s="902"/>
      <c r="AS25" s="903"/>
      <c r="AT25" s="903"/>
      <c r="AU25" s="903"/>
      <c r="AV25" s="903"/>
      <c r="AW25" s="903"/>
      <c r="AX25" s="39"/>
      <c r="AY25" s="902"/>
      <c r="AZ25" s="902"/>
      <c r="BA25" s="902"/>
      <c r="BB25" s="903"/>
      <c r="BC25" s="903"/>
      <c r="BD25" s="903"/>
      <c r="BE25" s="903"/>
      <c r="BF25" s="903"/>
      <c r="BG25" s="39"/>
      <c r="BH25" s="902"/>
      <c r="BI25" s="902"/>
      <c r="BJ25" s="902"/>
      <c r="BK25" s="903"/>
      <c r="BL25" s="903"/>
      <c r="BM25" s="903"/>
      <c r="BN25" s="903"/>
      <c r="BO25" s="903"/>
      <c r="BP25" s="39"/>
      <c r="BQ25" s="902"/>
      <c r="BR25" s="902"/>
      <c r="BS25" s="902"/>
      <c r="BT25" s="903"/>
      <c r="BU25" s="903"/>
      <c r="BV25" s="903"/>
      <c r="BW25" s="903"/>
      <c r="BX25" s="903"/>
      <c r="BY25" s="39"/>
      <c r="BZ25" s="902"/>
      <c r="CA25" s="902"/>
      <c r="CB25" s="902"/>
      <c r="CC25" s="903"/>
      <c r="CD25" s="903"/>
      <c r="CE25" s="903"/>
      <c r="CF25" s="903"/>
      <c r="CG25" s="903"/>
      <c r="CH25" s="39"/>
      <c r="CI25" s="902"/>
      <c r="CJ25" s="902"/>
      <c r="CK25" s="902"/>
      <c r="CL25" s="944"/>
      <c r="CM25" s="945"/>
      <c r="CN25" s="945"/>
      <c r="CO25" s="945"/>
      <c r="CP25" s="946"/>
      <c r="CQ25" s="39"/>
      <c r="CR25" s="902"/>
      <c r="CS25" s="902"/>
      <c r="CT25" s="902"/>
      <c r="CU25" s="903"/>
      <c r="CV25" s="903"/>
      <c r="CW25" s="903"/>
      <c r="CX25" s="903"/>
      <c r="CY25" s="903"/>
      <c r="CZ25" s="39"/>
      <c r="DA25" s="902"/>
      <c r="DB25" s="902"/>
      <c r="DC25" s="902"/>
      <c r="DD25" s="903"/>
      <c r="DE25" s="903"/>
      <c r="DF25" s="903"/>
      <c r="DG25" s="903"/>
      <c r="DH25" s="903"/>
      <c r="DI25" s="39"/>
      <c r="DJ25" s="902"/>
      <c r="DK25" s="902"/>
      <c r="DL25" s="902"/>
      <c r="DM25" s="903"/>
      <c r="DN25" s="903"/>
      <c r="DO25" s="903"/>
      <c r="DP25" s="903"/>
      <c r="DQ25" s="903"/>
      <c r="DR25" s="39"/>
      <c r="DS25" s="902"/>
      <c r="DT25" s="902"/>
      <c r="DU25" s="902"/>
      <c r="DV25" s="903"/>
      <c r="DW25" s="903"/>
      <c r="DX25" s="903"/>
      <c r="DY25" s="903"/>
      <c r="DZ25" s="903"/>
      <c r="EA25" s="39"/>
      <c r="EB25" s="902"/>
      <c r="EC25" s="902"/>
      <c r="ED25" s="902"/>
      <c r="EE25" s="903"/>
      <c r="EF25" s="903"/>
      <c r="EG25" s="903"/>
      <c r="EH25" s="903"/>
      <c r="EI25" s="903"/>
      <c r="EJ25" s="39"/>
      <c r="EK25" s="902"/>
      <c r="EL25" s="902"/>
      <c r="EM25" s="902"/>
      <c r="EN25" s="903"/>
      <c r="EO25" s="903"/>
      <c r="EP25" s="903"/>
      <c r="EQ25" s="903"/>
      <c r="ER25" s="903"/>
      <c r="ES25" s="39"/>
      <c r="ET25" s="902"/>
      <c r="EU25" s="902"/>
      <c r="EV25" s="902"/>
      <c r="EW25" s="903"/>
      <c r="EX25" s="903"/>
      <c r="EY25" s="903"/>
      <c r="EZ25" s="903"/>
      <c r="FA25" s="903"/>
      <c r="FB25" s="39"/>
      <c r="FC25" s="902"/>
      <c r="FD25" s="902"/>
      <c r="FE25" s="902"/>
      <c r="FF25" s="903"/>
      <c r="FG25" s="903"/>
      <c r="FH25" s="903"/>
      <c r="FI25" s="903"/>
      <c r="FJ25" s="903"/>
      <c r="FK25" s="39"/>
      <c r="FL25" s="39"/>
      <c r="FM25" s="920"/>
      <c r="FN25" s="921"/>
      <c r="FO25" s="922"/>
      <c r="FP25" s="929"/>
      <c r="FQ25" s="930"/>
      <c r="FR25" s="930"/>
      <c r="FS25" s="930"/>
      <c r="FT25" s="931"/>
      <c r="FU25" s="39"/>
      <c r="FV25" s="920"/>
      <c r="FW25" s="921"/>
      <c r="FX25" s="922"/>
      <c r="FY25" s="929"/>
      <c r="FZ25" s="930"/>
      <c r="GA25" s="930"/>
      <c r="GB25" s="930"/>
      <c r="GC25" s="931"/>
      <c r="GD25" s="39"/>
      <c r="GE25" s="920"/>
      <c r="GF25" s="921"/>
      <c r="GG25" s="922"/>
      <c r="GH25" s="929"/>
      <c r="GI25" s="930"/>
      <c r="GJ25" s="930"/>
      <c r="GK25" s="930"/>
      <c r="GL25" s="931"/>
      <c r="GM25" s="39"/>
      <c r="GN25" s="902"/>
      <c r="GO25" s="902"/>
      <c r="GP25" s="902"/>
      <c r="GQ25" s="903"/>
      <c r="GR25" s="903"/>
      <c r="GS25" s="903"/>
      <c r="GT25" s="903"/>
      <c r="GU25" s="903"/>
      <c r="GV25" s="39"/>
      <c r="GW25" s="902"/>
      <c r="GX25" s="902"/>
      <c r="GY25" s="902"/>
      <c r="GZ25" s="903"/>
      <c r="HA25" s="903"/>
      <c r="HB25" s="903"/>
      <c r="HC25" s="903"/>
      <c r="HD25" s="903"/>
      <c r="HE25" s="39"/>
      <c r="HF25" s="902"/>
      <c r="HG25" s="902"/>
      <c r="HH25" s="902"/>
      <c r="HI25" s="903"/>
      <c r="HJ25" s="903"/>
      <c r="HK25" s="903"/>
      <c r="HL25" s="903"/>
      <c r="HM25" s="903"/>
      <c r="HN25" s="39"/>
      <c r="HO25" s="902"/>
      <c r="HP25" s="902"/>
      <c r="HQ25" s="902"/>
      <c r="HR25" s="903"/>
      <c r="HS25" s="903"/>
      <c r="HT25" s="903"/>
      <c r="HU25" s="903"/>
      <c r="HV25" s="903"/>
      <c r="HW25" s="40"/>
    </row>
    <row r="26" spans="2:231" ht="16.5" thickBot="1" x14ac:dyDescent="0.3">
      <c r="B26" s="939"/>
      <c r="C26" s="39"/>
      <c r="D26" s="937"/>
      <c r="E26" s="39"/>
      <c r="F26" s="902"/>
      <c r="G26" s="902"/>
      <c r="H26" s="902"/>
      <c r="I26" s="903"/>
      <c r="J26" s="903"/>
      <c r="K26" s="903"/>
      <c r="L26" s="903"/>
      <c r="M26" s="903"/>
      <c r="N26" s="39"/>
      <c r="O26" s="902"/>
      <c r="P26" s="902"/>
      <c r="Q26" s="902"/>
      <c r="R26" s="903"/>
      <c r="S26" s="903"/>
      <c r="T26" s="903"/>
      <c r="U26" s="903"/>
      <c r="V26" s="903"/>
      <c r="W26" s="39"/>
      <c r="X26" s="902"/>
      <c r="Y26" s="902"/>
      <c r="Z26" s="902"/>
      <c r="AA26" s="903"/>
      <c r="AB26" s="903"/>
      <c r="AC26" s="903"/>
      <c r="AD26" s="903"/>
      <c r="AE26" s="903"/>
      <c r="AF26" s="39"/>
      <c r="AG26" s="902"/>
      <c r="AH26" s="902"/>
      <c r="AI26" s="902"/>
      <c r="AJ26" s="903"/>
      <c r="AK26" s="903"/>
      <c r="AL26" s="903"/>
      <c r="AM26" s="903"/>
      <c r="AN26" s="903"/>
      <c r="AO26" s="39"/>
      <c r="AP26" s="902"/>
      <c r="AQ26" s="902"/>
      <c r="AR26" s="902"/>
      <c r="AS26" s="903"/>
      <c r="AT26" s="903"/>
      <c r="AU26" s="903"/>
      <c r="AV26" s="903"/>
      <c r="AW26" s="903"/>
      <c r="AX26" s="39"/>
      <c r="AY26" s="902"/>
      <c r="AZ26" s="902"/>
      <c r="BA26" s="902"/>
      <c r="BB26" s="903"/>
      <c r="BC26" s="903"/>
      <c r="BD26" s="903"/>
      <c r="BE26" s="903"/>
      <c r="BF26" s="903"/>
      <c r="BG26" s="39"/>
      <c r="BH26" s="902"/>
      <c r="BI26" s="902"/>
      <c r="BJ26" s="902"/>
      <c r="BK26" s="903"/>
      <c r="BL26" s="903"/>
      <c r="BM26" s="903"/>
      <c r="BN26" s="903"/>
      <c r="BO26" s="903"/>
      <c r="BP26" s="39"/>
      <c r="BQ26" s="902"/>
      <c r="BR26" s="902"/>
      <c r="BS26" s="902"/>
      <c r="BT26" s="903"/>
      <c r="BU26" s="903"/>
      <c r="BV26" s="903"/>
      <c r="BW26" s="903"/>
      <c r="BX26" s="903"/>
      <c r="BY26" s="39"/>
      <c r="BZ26" s="902"/>
      <c r="CA26" s="902"/>
      <c r="CB26" s="902"/>
      <c r="CC26" s="903"/>
      <c r="CD26" s="903"/>
      <c r="CE26" s="903"/>
      <c r="CF26" s="903"/>
      <c r="CG26" s="903"/>
      <c r="CH26" s="39"/>
      <c r="CI26" s="902"/>
      <c r="CJ26" s="902"/>
      <c r="CK26" s="902"/>
      <c r="CL26" s="947"/>
      <c r="CM26" s="948"/>
      <c r="CN26" s="948"/>
      <c r="CO26" s="948"/>
      <c r="CP26" s="949"/>
      <c r="CQ26" s="39"/>
      <c r="CR26" s="902"/>
      <c r="CS26" s="902"/>
      <c r="CT26" s="902"/>
      <c r="CU26" s="903"/>
      <c r="CV26" s="903"/>
      <c r="CW26" s="903"/>
      <c r="CX26" s="903"/>
      <c r="CY26" s="903"/>
      <c r="CZ26" s="39"/>
      <c r="DA26" s="902"/>
      <c r="DB26" s="902"/>
      <c r="DC26" s="902"/>
      <c r="DD26" s="903"/>
      <c r="DE26" s="903"/>
      <c r="DF26" s="903"/>
      <c r="DG26" s="903"/>
      <c r="DH26" s="903"/>
      <c r="DI26" s="39"/>
      <c r="DJ26" s="902"/>
      <c r="DK26" s="902"/>
      <c r="DL26" s="902"/>
      <c r="DM26" s="903"/>
      <c r="DN26" s="903"/>
      <c r="DO26" s="903"/>
      <c r="DP26" s="903"/>
      <c r="DQ26" s="903"/>
      <c r="DR26" s="39"/>
      <c r="DS26" s="902"/>
      <c r="DT26" s="902"/>
      <c r="DU26" s="902"/>
      <c r="DV26" s="903"/>
      <c r="DW26" s="903"/>
      <c r="DX26" s="903"/>
      <c r="DY26" s="903"/>
      <c r="DZ26" s="903"/>
      <c r="EA26" s="39"/>
      <c r="EB26" s="902"/>
      <c r="EC26" s="902"/>
      <c r="ED26" s="902"/>
      <c r="EE26" s="903"/>
      <c r="EF26" s="903"/>
      <c r="EG26" s="903"/>
      <c r="EH26" s="903"/>
      <c r="EI26" s="903"/>
      <c r="EJ26" s="39"/>
      <c r="EK26" s="902"/>
      <c r="EL26" s="902"/>
      <c r="EM26" s="902"/>
      <c r="EN26" s="903"/>
      <c r="EO26" s="903"/>
      <c r="EP26" s="903"/>
      <c r="EQ26" s="903"/>
      <c r="ER26" s="903"/>
      <c r="ES26" s="39"/>
      <c r="ET26" s="902"/>
      <c r="EU26" s="902"/>
      <c r="EV26" s="902"/>
      <c r="EW26" s="903"/>
      <c r="EX26" s="903"/>
      <c r="EY26" s="903"/>
      <c r="EZ26" s="903"/>
      <c r="FA26" s="903"/>
      <c r="FB26" s="39"/>
      <c r="FC26" s="902"/>
      <c r="FD26" s="902"/>
      <c r="FE26" s="902"/>
      <c r="FF26" s="903"/>
      <c r="FG26" s="903"/>
      <c r="FH26" s="903"/>
      <c r="FI26" s="903"/>
      <c r="FJ26" s="903"/>
      <c r="FK26" s="39"/>
      <c r="FL26" s="39"/>
      <c r="FM26" s="923"/>
      <c r="FN26" s="924"/>
      <c r="FO26" s="925"/>
      <c r="FP26" s="932"/>
      <c r="FQ26" s="933"/>
      <c r="FR26" s="933"/>
      <c r="FS26" s="933"/>
      <c r="FT26" s="934"/>
      <c r="FU26" s="39"/>
      <c r="FV26" s="923"/>
      <c r="FW26" s="924"/>
      <c r="FX26" s="925"/>
      <c r="FY26" s="932"/>
      <c r="FZ26" s="933"/>
      <c r="GA26" s="933"/>
      <c r="GB26" s="933"/>
      <c r="GC26" s="934"/>
      <c r="GD26" s="39"/>
      <c r="GE26" s="923"/>
      <c r="GF26" s="924"/>
      <c r="GG26" s="925"/>
      <c r="GH26" s="932"/>
      <c r="GI26" s="933"/>
      <c r="GJ26" s="933"/>
      <c r="GK26" s="933"/>
      <c r="GL26" s="934"/>
      <c r="GM26" s="39"/>
      <c r="GN26" s="902"/>
      <c r="GO26" s="902"/>
      <c r="GP26" s="902"/>
      <c r="GQ26" s="903"/>
      <c r="GR26" s="903"/>
      <c r="GS26" s="903"/>
      <c r="GT26" s="903"/>
      <c r="GU26" s="903"/>
      <c r="GV26" s="39"/>
      <c r="GW26" s="902"/>
      <c r="GX26" s="902"/>
      <c r="GY26" s="902"/>
      <c r="GZ26" s="903"/>
      <c r="HA26" s="903"/>
      <c r="HB26" s="903"/>
      <c r="HC26" s="903"/>
      <c r="HD26" s="903"/>
      <c r="HE26" s="39"/>
      <c r="HF26" s="902"/>
      <c r="HG26" s="902"/>
      <c r="HH26" s="902"/>
      <c r="HI26" s="903"/>
      <c r="HJ26" s="903"/>
      <c r="HK26" s="903"/>
      <c r="HL26" s="903"/>
      <c r="HM26" s="903"/>
      <c r="HN26" s="39"/>
      <c r="HO26" s="902"/>
      <c r="HP26" s="902"/>
      <c r="HQ26" s="902"/>
      <c r="HR26" s="903"/>
      <c r="HS26" s="903"/>
      <c r="HT26" s="903"/>
      <c r="HU26" s="903"/>
      <c r="HV26" s="903"/>
      <c r="HW26" s="40"/>
    </row>
    <row r="27" spans="2:231" x14ac:dyDescent="0.25">
      <c r="B27" s="9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t="s">
        <v>94</v>
      </c>
      <c r="FM27" s="39"/>
      <c r="FN27" s="39"/>
      <c r="FO27" s="39"/>
      <c r="FP27" s="39"/>
      <c r="FQ27" s="39"/>
      <c r="FR27" s="39"/>
      <c r="FS27" s="39"/>
      <c r="FT27" s="39"/>
      <c r="FU27" s="39"/>
      <c r="FV27" s="39"/>
      <c r="FW27" s="39"/>
      <c r="FX27" s="39"/>
      <c r="FY27" s="39"/>
      <c r="FZ27" s="39"/>
      <c r="GA27" s="39"/>
      <c r="GB27" s="39"/>
      <c r="GC27" s="39"/>
      <c r="GD27" s="39"/>
      <c r="GE27" s="39" t="s">
        <v>105</v>
      </c>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40"/>
    </row>
    <row r="28" spans="2:231" ht="16.5" thickBot="1" x14ac:dyDescent="0.3">
      <c r="B28" s="9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40"/>
    </row>
    <row r="29" spans="2:231" ht="15.75" customHeight="1" x14ac:dyDescent="0.25">
      <c r="B29" s="939"/>
      <c r="C29" s="39"/>
      <c r="D29" s="935" t="s">
        <v>936</v>
      </c>
      <c r="E29" s="39"/>
      <c r="F29" s="906" t="s">
        <v>8</v>
      </c>
      <c r="G29" s="906"/>
      <c r="H29" s="906"/>
      <c r="I29" s="906"/>
      <c r="J29" s="906"/>
      <c r="K29" s="906"/>
      <c r="L29" s="906"/>
      <c r="M29" s="906"/>
      <c r="N29" s="39"/>
      <c r="O29" s="906" t="s">
        <v>8</v>
      </c>
      <c r="P29" s="906"/>
      <c r="Q29" s="906"/>
      <c r="R29" s="906"/>
      <c r="S29" s="906"/>
      <c r="T29" s="906"/>
      <c r="U29" s="906"/>
      <c r="V29" s="906"/>
      <c r="W29" s="39"/>
      <c r="X29" s="906" t="s">
        <v>8</v>
      </c>
      <c r="Y29" s="906"/>
      <c r="Z29" s="906"/>
      <c r="AA29" s="906"/>
      <c r="AB29" s="906"/>
      <c r="AC29" s="906"/>
      <c r="AD29" s="906"/>
      <c r="AE29" s="906"/>
      <c r="AF29" s="39"/>
      <c r="AG29" s="906" t="s">
        <v>8</v>
      </c>
      <c r="AH29" s="906"/>
      <c r="AI29" s="906"/>
      <c r="AJ29" s="906"/>
      <c r="AK29" s="906"/>
      <c r="AL29" s="906"/>
      <c r="AM29" s="906"/>
      <c r="AN29" s="906"/>
      <c r="AO29" s="39"/>
      <c r="AP29" s="906" t="s">
        <v>8</v>
      </c>
      <c r="AQ29" s="906"/>
      <c r="AR29" s="906"/>
      <c r="AS29" s="906"/>
      <c r="AT29" s="906"/>
      <c r="AU29" s="906"/>
      <c r="AV29" s="906"/>
      <c r="AW29" s="906"/>
      <c r="AX29" s="39"/>
      <c r="AY29" s="906" t="s">
        <v>8</v>
      </c>
      <c r="AZ29" s="906"/>
      <c r="BA29" s="906"/>
      <c r="BB29" s="906"/>
      <c r="BC29" s="906"/>
      <c r="BD29" s="906"/>
      <c r="BE29" s="906"/>
      <c r="BF29" s="906"/>
      <c r="BG29" s="39"/>
      <c r="BH29" s="906" t="s">
        <v>8</v>
      </c>
      <c r="BI29" s="906"/>
      <c r="BJ29" s="906"/>
      <c r="BK29" s="906"/>
      <c r="BL29" s="906"/>
      <c r="BM29" s="906"/>
      <c r="BN29" s="906"/>
      <c r="BO29" s="906"/>
      <c r="BP29" s="39"/>
      <c r="BQ29" s="906" t="s">
        <v>8</v>
      </c>
      <c r="BR29" s="906"/>
      <c r="BS29" s="906"/>
      <c r="BT29" s="906"/>
      <c r="BU29" s="906"/>
      <c r="BV29" s="906"/>
      <c r="BW29" s="906"/>
      <c r="BX29" s="906"/>
      <c r="BY29" s="39"/>
      <c r="BZ29" s="906" t="s">
        <v>8</v>
      </c>
      <c r="CA29" s="906"/>
      <c r="CB29" s="906"/>
      <c r="CC29" s="906"/>
      <c r="CD29" s="906"/>
      <c r="CE29" s="906"/>
      <c r="CF29" s="906"/>
      <c r="CG29" s="906"/>
      <c r="CH29" s="39"/>
      <c r="CI29" s="906" t="s">
        <v>8</v>
      </c>
      <c r="CJ29" s="906"/>
      <c r="CK29" s="906"/>
      <c r="CL29" s="906"/>
      <c r="CM29" s="906"/>
      <c r="CN29" s="906"/>
      <c r="CO29" s="906"/>
      <c r="CP29" s="906"/>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40"/>
    </row>
    <row r="30" spans="2:231" x14ac:dyDescent="0.25">
      <c r="B30" s="939"/>
      <c r="C30" s="39"/>
      <c r="D30" s="936"/>
      <c r="E30" s="39"/>
      <c r="F30" s="905" t="s">
        <v>0</v>
      </c>
      <c r="G30" s="905"/>
      <c r="H30" s="905"/>
      <c r="I30" s="905" t="s">
        <v>1</v>
      </c>
      <c r="J30" s="905"/>
      <c r="K30" s="905"/>
      <c r="L30" s="905"/>
      <c r="M30" s="905"/>
      <c r="N30" s="39"/>
      <c r="O30" s="905" t="s">
        <v>0</v>
      </c>
      <c r="P30" s="905"/>
      <c r="Q30" s="905"/>
      <c r="R30" s="905" t="s">
        <v>1</v>
      </c>
      <c r="S30" s="905"/>
      <c r="T30" s="905"/>
      <c r="U30" s="905"/>
      <c r="V30" s="905"/>
      <c r="W30" s="39"/>
      <c r="X30" s="905" t="s">
        <v>0</v>
      </c>
      <c r="Y30" s="905"/>
      <c r="Z30" s="905"/>
      <c r="AA30" s="905" t="s">
        <v>1</v>
      </c>
      <c r="AB30" s="905"/>
      <c r="AC30" s="905"/>
      <c r="AD30" s="905"/>
      <c r="AE30" s="905"/>
      <c r="AF30" s="39"/>
      <c r="AG30" s="905" t="s">
        <v>0</v>
      </c>
      <c r="AH30" s="905"/>
      <c r="AI30" s="905"/>
      <c r="AJ30" s="905" t="s">
        <v>1</v>
      </c>
      <c r="AK30" s="905"/>
      <c r="AL30" s="905"/>
      <c r="AM30" s="905"/>
      <c r="AN30" s="905"/>
      <c r="AO30" s="39"/>
      <c r="AP30" s="905" t="s">
        <v>0</v>
      </c>
      <c r="AQ30" s="905"/>
      <c r="AR30" s="905"/>
      <c r="AS30" s="905" t="s">
        <v>1</v>
      </c>
      <c r="AT30" s="905"/>
      <c r="AU30" s="905"/>
      <c r="AV30" s="905"/>
      <c r="AW30" s="905"/>
      <c r="AX30" s="39"/>
      <c r="AY30" s="905" t="s">
        <v>0</v>
      </c>
      <c r="AZ30" s="905"/>
      <c r="BA30" s="905"/>
      <c r="BB30" s="905" t="s">
        <v>1</v>
      </c>
      <c r="BC30" s="905"/>
      <c r="BD30" s="905"/>
      <c r="BE30" s="905"/>
      <c r="BF30" s="905"/>
      <c r="BG30" s="39"/>
      <c r="BH30" s="905" t="s">
        <v>0</v>
      </c>
      <c r="BI30" s="905"/>
      <c r="BJ30" s="905"/>
      <c r="BK30" s="905" t="s">
        <v>1</v>
      </c>
      <c r="BL30" s="905"/>
      <c r="BM30" s="905"/>
      <c r="BN30" s="905"/>
      <c r="BO30" s="905"/>
      <c r="BP30" s="39"/>
      <c r="BQ30" s="905" t="s">
        <v>0</v>
      </c>
      <c r="BR30" s="905"/>
      <c r="BS30" s="905"/>
      <c r="BT30" s="905" t="s">
        <v>1</v>
      </c>
      <c r="BU30" s="905"/>
      <c r="BV30" s="905"/>
      <c r="BW30" s="905"/>
      <c r="BX30" s="905"/>
      <c r="BY30" s="39"/>
      <c r="BZ30" s="905" t="s">
        <v>0</v>
      </c>
      <c r="CA30" s="905"/>
      <c r="CB30" s="905"/>
      <c r="CC30" s="905" t="s">
        <v>1</v>
      </c>
      <c r="CD30" s="905"/>
      <c r="CE30" s="905"/>
      <c r="CF30" s="905"/>
      <c r="CG30" s="905"/>
      <c r="CH30" s="39"/>
      <c r="CI30" s="905" t="s">
        <v>0</v>
      </c>
      <c r="CJ30" s="905"/>
      <c r="CK30" s="905"/>
      <c r="CL30" s="905" t="s">
        <v>1</v>
      </c>
      <c r="CM30" s="905"/>
      <c r="CN30" s="905"/>
      <c r="CO30" s="905"/>
      <c r="CP30" s="905"/>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c r="GV30" s="39"/>
      <c r="GW30" s="39"/>
      <c r="GX30" s="39"/>
      <c r="GY30" s="39"/>
      <c r="GZ30" s="39"/>
      <c r="HA30" s="39"/>
      <c r="HB30" s="39"/>
      <c r="HC30" s="39"/>
      <c r="HD30" s="39"/>
      <c r="HE30" s="39"/>
      <c r="HF30" s="39"/>
      <c r="HG30" s="39"/>
      <c r="HH30" s="39"/>
      <c r="HI30" s="39"/>
      <c r="HJ30" s="39"/>
      <c r="HK30" s="39"/>
      <c r="HL30" s="39"/>
      <c r="HM30" s="39"/>
      <c r="HN30" s="39"/>
      <c r="HO30" s="39"/>
      <c r="HP30" s="39"/>
      <c r="HQ30" s="39"/>
      <c r="HR30" s="39"/>
      <c r="HS30" s="39"/>
      <c r="HT30" s="39"/>
      <c r="HU30" s="39"/>
      <c r="HV30" s="39"/>
      <c r="HW30" s="40"/>
    </row>
    <row r="31" spans="2:231" x14ac:dyDescent="0.25">
      <c r="B31" s="939"/>
      <c r="C31" s="39"/>
      <c r="D31" s="936"/>
      <c r="E31" s="39"/>
      <c r="F31" s="902" t="s">
        <v>2</v>
      </c>
      <c r="G31" s="902"/>
      <c r="H31" s="902"/>
      <c r="I31" s="903" t="s">
        <v>946</v>
      </c>
      <c r="J31" s="903"/>
      <c r="K31" s="903"/>
      <c r="L31" s="903"/>
      <c r="M31" s="903"/>
      <c r="N31" s="39"/>
      <c r="O31" s="902" t="s">
        <v>2</v>
      </c>
      <c r="P31" s="902"/>
      <c r="Q31" s="902"/>
      <c r="R31" s="903" t="s">
        <v>62</v>
      </c>
      <c r="S31" s="903"/>
      <c r="T31" s="903"/>
      <c r="U31" s="903"/>
      <c r="V31" s="903"/>
      <c r="W31" s="39"/>
      <c r="X31" s="902" t="s">
        <v>2</v>
      </c>
      <c r="Y31" s="902"/>
      <c r="Z31" s="902"/>
      <c r="AA31" s="903" t="s">
        <v>65</v>
      </c>
      <c r="AB31" s="903"/>
      <c r="AC31" s="903"/>
      <c r="AD31" s="903"/>
      <c r="AE31" s="903"/>
      <c r="AF31" s="39"/>
      <c r="AG31" s="902" t="s">
        <v>2</v>
      </c>
      <c r="AH31" s="902"/>
      <c r="AI31" s="902"/>
      <c r="AJ31" s="903" t="s">
        <v>947</v>
      </c>
      <c r="AK31" s="903"/>
      <c r="AL31" s="903"/>
      <c r="AM31" s="903"/>
      <c r="AN31" s="903"/>
      <c r="AO31" s="39"/>
      <c r="AP31" s="902" t="s">
        <v>2</v>
      </c>
      <c r="AQ31" s="902"/>
      <c r="AR31" s="902"/>
      <c r="AS31" s="903" t="s">
        <v>72</v>
      </c>
      <c r="AT31" s="903"/>
      <c r="AU31" s="903"/>
      <c r="AV31" s="903"/>
      <c r="AW31" s="903"/>
      <c r="AX31" s="39"/>
      <c r="AY31" s="902" t="s">
        <v>2</v>
      </c>
      <c r="AZ31" s="902"/>
      <c r="BA31" s="902"/>
      <c r="BB31" s="903" t="s">
        <v>75</v>
      </c>
      <c r="BC31" s="903"/>
      <c r="BD31" s="903"/>
      <c r="BE31" s="903"/>
      <c r="BF31" s="903"/>
      <c r="BG31" s="39"/>
      <c r="BH31" s="902" t="s">
        <v>2</v>
      </c>
      <c r="BI31" s="902"/>
      <c r="BJ31" s="902"/>
      <c r="BK31" s="903" t="s">
        <v>135</v>
      </c>
      <c r="BL31" s="903"/>
      <c r="BM31" s="903"/>
      <c r="BN31" s="903"/>
      <c r="BO31" s="903"/>
      <c r="BP31" s="39"/>
      <c r="BQ31" s="902" t="s">
        <v>2</v>
      </c>
      <c r="BR31" s="902"/>
      <c r="BS31" s="902"/>
      <c r="BT31" s="903" t="s">
        <v>948</v>
      </c>
      <c r="BU31" s="903"/>
      <c r="BV31" s="903"/>
      <c r="BW31" s="903"/>
      <c r="BX31" s="903"/>
      <c r="BY31" s="39"/>
      <c r="BZ31" s="902" t="s">
        <v>2</v>
      </c>
      <c r="CA31" s="902"/>
      <c r="CB31" s="902"/>
      <c r="CC31" s="903" t="s">
        <v>79</v>
      </c>
      <c r="CD31" s="903"/>
      <c r="CE31" s="903"/>
      <c r="CF31" s="903"/>
      <c r="CG31" s="903"/>
      <c r="CH31" s="39"/>
      <c r="CI31" s="902" t="s">
        <v>2</v>
      </c>
      <c r="CJ31" s="902"/>
      <c r="CK31" s="902"/>
      <c r="CL31" s="903" t="s">
        <v>123</v>
      </c>
      <c r="CM31" s="903"/>
      <c r="CN31" s="903"/>
      <c r="CO31" s="903"/>
      <c r="CP31" s="903"/>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40"/>
    </row>
    <row r="32" spans="2:231" x14ac:dyDescent="0.25">
      <c r="B32" s="939"/>
      <c r="C32" s="39"/>
      <c r="D32" s="936"/>
      <c r="E32" s="39"/>
      <c r="F32" s="902"/>
      <c r="G32" s="902"/>
      <c r="H32" s="902"/>
      <c r="I32" s="903"/>
      <c r="J32" s="903"/>
      <c r="K32" s="903"/>
      <c r="L32" s="903"/>
      <c r="M32" s="903"/>
      <c r="N32" s="39"/>
      <c r="O32" s="902"/>
      <c r="P32" s="902"/>
      <c r="Q32" s="902"/>
      <c r="R32" s="903"/>
      <c r="S32" s="903"/>
      <c r="T32" s="903"/>
      <c r="U32" s="903"/>
      <c r="V32" s="903"/>
      <c r="W32" s="39"/>
      <c r="X32" s="902"/>
      <c r="Y32" s="902"/>
      <c r="Z32" s="902"/>
      <c r="AA32" s="903"/>
      <c r="AB32" s="903"/>
      <c r="AC32" s="903"/>
      <c r="AD32" s="903"/>
      <c r="AE32" s="903"/>
      <c r="AF32" s="39"/>
      <c r="AG32" s="902"/>
      <c r="AH32" s="902"/>
      <c r="AI32" s="902"/>
      <c r="AJ32" s="903"/>
      <c r="AK32" s="903"/>
      <c r="AL32" s="903"/>
      <c r="AM32" s="903"/>
      <c r="AN32" s="903"/>
      <c r="AO32" s="39"/>
      <c r="AP32" s="902"/>
      <c r="AQ32" s="902"/>
      <c r="AR32" s="902"/>
      <c r="AS32" s="903"/>
      <c r="AT32" s="903"/>
      <c r="AU32" s="903"/>
      <c r="AV32" s="903"/>
      <c r="AW32" s="903"/>
      <c r="AX32" s="39"/>
      <c r="AY32" s="902"/>
      <c r="AZ32" s="902"/>
      <c r="BA32" s="902"/>
      <c r="BB32" s="903"/>
      <c r="BC32" s="903"/>
      <c r="BD32" s="903"/>
      <c r="BE32" s="903"/>
      <c r="BF32" s="903"/>
      <c r="BG32" s="39"/>
      <c r="BH32" s="902"/>
      <c r="BI32" s="902"/>
      <c r="BJ32" s="902"/>
      <c r="BK32" s="903"/>
      <c r="BL32" s="903"/>
      <c r="BM32" s="903"/>
      <c r="BN32" s="903"/>
      <c r="BO32" s="903"/>
      <c r="BP32" s="39"/>
      <c r="BQ32" s="902"/>
      <c r="BR32" s="902"/>
      <c r="BS32" s="902"/>
      <c r="BT32" s="903"/>
      <c r="BU32" s="903"/>
      <c r="BV32" s="903"/>
      <c r="BW32" s="903"/>
      <c r="BX32" s="903"/>
      <c r="BY32" s="39"/>
      <c r="BZ32" s="902"/>
      <c r="CA32" s="902"/>
      <c r="CB32" s="902"/>
      <c r="CC32" s="903"/>
      <c r="CD32" s="903"/>
      <c r="CE32" s="903"/>
      <c r="CF32" s="903"/>
      <c r="CG32" s="903"/>
      <c r="CH32" s="39"/>
      <c r="CI32" s="902"/>
      <c r="CJ32" s="902"/>
      <c r="CK32" s="902"/>
      <c r="CL32" s="903"/>
      <c r="CM32" s="903"/>
      <c r="CN32" s="903"/>
      <c r="CO32" s="903"/>
      <c r="CP32" s="903"/>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40"/>
    </row>
    <row r="33" spans="2:231" x14ac:dyDescent="0.25">
      <c r="B33" s="939"/>
      <c r="C33" s="39"/>
      <c r="D33" s="936"/>
      <c r="E33" s="39"/>
      <c r="F33" s="902"/>
      <c r="G33" s="902"/>
      <c r="H33" s="902"/>
      <c r="I33" s="903"/>
      <c r="J33" s="903"/>
      <c r="K33" s="903"/>
      <c r="L33" s="903"/>
      <c r="M33" s="903"/>
      <c r="N33" s="39"/>
      <c r="O33" s="902"/>
      <c r="P33" s="902"/>
      <c r="Q33" s="902"/>
      <c r="R33" s="903"/>
      <c r="S33" s="903"/>
      <c r="T33" s="903"/>
      <c r="U33" s="903"/>
      <c r="V33" s="903"/>
      <c r="W33" s="39"/>
      <c r="X33" s="902"/>
      <c r="Y33" s="902"/>
      <c r="Z33" s="902"/>
      <c r="AA33" s="903"/>
      <c r="AB33" s="903"/>
      <c r="AC33" s="903"/>
      <c r="AD33" s="903"/>
      <c r="AE33" s="903"/>
      <c r="AF33" s="39"/>
      <c r="AG33" s="902"/>
      <c r="AH33" s="902"/>
      <c r="AI33" s="902"/>
      <c r="AJ33" s="903"/>
      <c r="AK33" s="903"/>
      <c r="AL33" s="903"/>
      <c r="AM33" s="903"/>
      <c r="AN33" s="903"/>
      <c r="AO33" s="39"/>
      <c r="AP33" s="902"/>
      <c r="AQ33" s="902"/>
      <c r="AR33" s="902"/>
      <c r="AS33" s="903"/>
      <c r="AT33" s="903"/>
      <c r="AU33" s="903"/>
      <c r="AV33" s="903"/>
      <c r="AW33" s="903"/>
      <c r="AX33" s="39"/>
      <c r="AY33" s="902"/>
      <c r="AZ33" s="902"/>
      <c r="BA33" s="902"/>
      <c r="BB33" s="903"/>
      <c r="BC33" s="903"/>
      <c r="BD33" s="903"/>
      <c r="BE33" s="903"/>
      <c r="BF33" s="903"/>
      <c r="BG33" s="39"/>
      <c r="BH33" s="902"/>
      <c r="BI33" s="902"/>
      <c r="BJ33" s="902"/>
      <c r="BK33" s="903"/>
      <c r="BL33" s="903"/>
      <c r="BM33" s="903"/>
      <c r="BN33" s="903"/>
      <c r="BO33" s="903"/>
      <c r="BP33" s="39"/>
      <c r="BQ33" s="902"/>
      <c r="BR33" s="902"/>
      <c r="BS33" s="902"/>
      <c r="BT33" s="903"/>
      <c r="BU33" s="903"/>
      <c r="BV33" s="903"/>
      <c r="BW33" s="903"/>
      <c r="BX33" s="903"/>
      <c r="BY33" s="39"/>
      <c r="BZ33" s="902"/>
      <c r="CA33" s="902"/>
      <c r="CB33" s="902"/>
      <c r="CC33" s="903"/>
      <c r="CD33" s="903"/>
      <c r="CE33" s="903"/>
      <c r="CF33" s="903"/>
      <c r="CG33" s="903"/>
      <c r="CH33" s="39"/>
      <c r="CI33" s="902"/>
      <c r="CJ33" s="902"/>
      <c r="CK33" s="902"/>
      <c r="CL33" s="903"/>
      <c r="CM33" s="903"/>
      <c r="CN33" s="903"/>
      <c r="CO33" s="903"/>
      <c r="CP33" s="903"/>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40"/>
    </row>
    <row r="34" spans="2:231" x14ac:dyDescent="0.25">
      <c r="B34" s="939"/>
      <c r="C34" s="39"/>
      <c r="D34" s="936"/>
      <c r="E34" s="39"/>
      <c r="F34" s="905" t="s">
        <v>0</v>
      </c>
      <c r="G34" s="905"/>
      <c r="H34" s="905"/>
      <c r="I34" s="905" t="s">
        <v>1</v>
      </c>
      <c r="J34" s="905"/>
      <c r="K34" s="905"/>
      <c r="L34" s="905"/>
      <c r="M34" s="905"/>
      <c r="N34" s="39"/>
      <c r="O34" s="905" t="s">
        <v>0</v>
      </c>
      <c r="P34" s="905"/>
      <c r="Q34" s="905"/>
      <c r="R34" s="905" t="s">
        <v>1</v>
      </c>
      <c r="S34" s="905"/>
      <c r="T34" s="905"/>
      <c r="U34" s="905"/>
      <c r="V34" s="905"/>
      <c r="W34" s="39"/>
      <c r="X34" s="905" t="s">
        <v>0</v>
      </c>
      <c r="Y34" s="905"/>
      <c r="Z34" s="905"/>
      <c r="AA34" s="905" t="s">
        <v>1</v>
      </c>
      <c r="AB34" s="905"/>
      <c r="AC34" s="905"/>
      <c r="AD34" s="905"/>
      <c r="AE34" s="905"/>
      <c r="AF34" s="39"/>
      <c r="AG34" s="905" t="s">
        <v>0</v>
      </c>
      <c r="AH34" s="905"/>
      <c r="AI34" s="905"/>
      <c r="AJ34" s="905" t="s">
        <v>1</v>
      </c>
      <c r="AK34" s="905"/>
      <c r="AL34" s="905"/>
      <c r="AM34" s="905"/>
      <c r="AN34" s="905"/>
      <c r="AO34" s="39"/>
      <c r="AP34" s="905" t="s">
        <v>0</v>
      </c>
      <c r="AQ34" s="905"/>
      <c r="AR34" s="905"/>
      <c r="AS34" s="905" t="s">
        <v>1</v>
      </c>
      <c r="AT34" s="905"/>
      <c r="AU34" s="905"/>
      <c r="AV34" s="905"/>
      <c r="AW34" s="905"/>
      <c r="AX34" s="39"/>
      <c r="AY34" s="905" t="s">
        <v>0</v>
      </c>
      <c r="AZ34" s="905"/>
      <c r="BA34" s="905"/>
      <c r="BB34" s="905" t="s">
        <v>1</v>
      </c>
      <c r="BC34" s="905"/>
      <c r="BD34" s="905"/>
      <c r="BE34" s="905"/>
      <c r="BF34" s="905"/>
      <c r="BG34" s="39"/>
      <c r="BH34" s="905" t="s">
        <v>0</v>
      </c>
      <c r="BI34" s="905"/>
      <c r="BJ34" s="905"/>
      <c r="BK34" s="905" t="s">
        <v>1</v>
      </c>
      <c r="BL34" s="905"/>
      <c r="BM34" s="905"/>
      <c r="BN34" s="905"/>
      <c r="BO34" s="905"/>
      <c r="BP34" s="39"/>
      <c r="BQ34" s="905" t="s">
        <v>0</v>
      </c>
      <c r="BR34" s="905"/>
      <c r="BS34" s="905"/>
      <c r="BT34" s="905" t="s">
        <v>1</v>
      </c>
      <c r="BU34" s="905"/>
      <c r="BV34" s="905"/>
      <c r="BW34" s="905"/>
      <c r="BX34" s="905"/>
      <c r="BY34" s="39"/>
      <c r="BZ34" s="905" t="s">
        <v>0</v>
      </c>
      <c r="CA34" s="905"/>
      <c r="CB34" s="905"/>
      <c r="CC34" s="905" t="s">
        <v>1</v>
      </c>
      <c r="CD34" s="905"/>
      <c r="CE34" s="905"/>
      <c r="CF34" s="905"/>
      <c r="CG34" s="905"/>
      <c r="CH34" s="39"/>
      <c r="CI34" s="905" t="s">
        <v>0</v>
      </c>
      <c r="CJ34" s="905"/>
      <c r="CK34" s="905"/>
      <c r="CL34" s="905" t="s">
        <v>1</v>
      </c>
      <c r="CM34" s="905"/>
      <c r="CN34" s="905"/>
      <c r="CO34" s="905"/>
      <c r="CP34" s="905"/>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40"/>
    </row>
    <row r="35" spans="2:231" ht="15.75" customHeight="1" x14ac:dyDescent="0.25">
      <c r="B35" s="939"/>
      <c r="C35" s="39"/>
      <c r="D35" s="936"/>
      <c r="E35" s="39"/>
      <c r="F35" s="902" t="s">
        <v>3</v>
      </c>
      <c r="G35" s="902"/>
      <c r="H35" s="902"/>
      <c r="I35" s="903" t="s">
        <v>60</v>
      </c>
      <c r="J35" s="903"/>
      <c r="K35" s="903"/>
      <c r="L35" s="903"/>
      <c r="M35" s="903"/>
      <c r="N35" s="39"/>
      <c r="O35" s="902" t="s">
        <v>3</v>
      </c>
      <c r="P35" s="902"/>
      <c r="Q35" s="902"/>
      <c r="R35" s="904" t="s">
        <v>63</v>
      </c>
      <c r="S35" s="903"/>
      <c r="T35" s="903"/>
      <c r="U35" s="903"/>
      <c r="V35" s="903"/>
      <c r="W35" s="39"/>
      <c r="X35" s="902" t="s">
        <v>3</v>
      </c>
      <c r="Y35" s="902"/>
      <c r="Z35" s="902"/>
      <c r="AA35" s="903" t="s">
        <v>66</v>
      </c>
      <c r="AB35" s="903"/>
      <c r="AC35" s="903"/>
      <c r="AD35" s="903"/>
      <c r="AE35" s="903"/>
      <c r="AF35" s="39"/>
      <c r="AG35" s="902" t="s">
        <v>3</v>
      </c>
      <c r="AH35" s="902"/>
      <c r="AI35" s="902"/>
      <c r="AJ35" s="904" t="s">
        <v>69</v>
      </c>
      <c r="AK35" s="903"/>
      <c r="AL35" s="903"/>
      <c r="AM35" s="903"/>
      <c r="AN35" s="903"/>
      <c r="AO35" s="39"/>
      <c r="AP35" s="902" t="s">
        <v>3</v>
      </c>
      <c r="AQ35" s="902"/>
      <c r="AR35" s="902"/>
      <c r="AS35" s="904" t="s">
        <v>73</v>
      </c>
      <c r="AT35" s="903"/>
      <c r="AU35" s="903"/>
      <c r="AV35" s="903"/>
      <c r="AW35" s="903"/>
      <c r="AX35" s="39"/>
      <c r="AY35" s="902" t="s">
        <v>3</v>
      </c>
      <c r="AZ35" s="902"/>
      <c r="BA35" s="902"/>
      <c r="BB35" s="904" t="s">
        <v>75</v>
      </c>
      <c r="BC35" s="903"/>
      <c r="BD35" s="903"/>
      <c r="BE35" s="903"/>
      <c r="BF35" s="903"/>
      <c r="BG35" s="39"/>
      <c r="BH35" s="902" t="s">
        <v>3</v>
      </c>
      <c r="BI35" s="902"/>
      <c r="BJ35" s="902"/>
      <c r="BK35" s="904" t="s">
        <v>136</v>
      </c>
      <c r="BL35" s="903"/>
      <c r="BM35" s="903"/>
      <c r="BN35" s="903"/>
      <c r="BO35" s="903"/>
      <c r="BP35" s="39"/>
      <c r="BQ35" s="902" t="s">
        <v>3</v>
      </c>
      <c r="BR35" s="902"/>
      <c r="BS35" s="902"/>
      <c r="BT35" s="904" t="s">
        <v>78</v>
      </c>
      <c r="BU35" s="903"/>
      <c r="BV35" s="903"/>
      <c r="BW35" s="903"/>
      <c r="BX35" s="903"/>
      <c r="BY35" s="39"/>
      <c r="BZ35" s="902" t="s">
        <v>3</v>
      </c>
      <c r="CA35" s="902"/>
      <c r="CB35" s="902"/>
      <c r="CC35" s="904" t="s">
        <v>80</v>
      </c>
      <c r="CD35" s="903"/>
      <c r="CE35" s="903"/>
      <c r="CF35" s="903"/>
      <c r="CG35" s="903"/>
      <c r="CH35" s="39"/>
      <c r="CI35" s="902" t="s">
        <v>3</v>
      </c>
      <c r="CJ35" s="902"/>
      <c r="CK35" s="902"/>
      <c r="CL35" s="903" t="s">
        <v>124</v>
      </c>
      <c r="CM35" s="903"/>
      <c r="CN35" s="903"/>
      <c r="CO35" s="903"/>
      <c r="CP35" s="903"/>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39"/>
      <c r="GM35" s="39"/>
      <c r="GN35" s="39"/>
      <c r="GO35" s="39"/>
      <c r="GP35" s="39"/>
      <c r="GQ35" s="39"/>
      <c r="GR35" s="39"/>
      <c r="GS35" s="39"/>
      <c r="GT35" s="39"/>
      <c r="GU35" s="39"/>
      <c r="GV35" s="39"/>
      <c r="GW35" s="39"/>
      <c r="GX35" s="39"/>
      <c r="GY35" s="39"/>
      <c r="GZ35" s="39"/>
      <c r="HA35" s="39"/>
      <c r="HB35" s="39"/>
      <c r="HC35" s="39"/>
      <c r="HD35" s="39"/>
      <c r="HE35" s="39"/>
      <c r="HF35" s="39"/>
      <c r="HG35" s="39"/>
      <c r="HH35" s="39"/>
      <c r="HI35" s="39"/>
      <c r="HJ35" s="39"/>
      <c r="HK35" s="39"/>
      <c r="HL35" s="39"/>
      <c r="HM35" s="39"/>
      <c r="HN35" s="39"/>
      <c r="HO35" s="39"/>
      <c r="HP35" s="39"/>
      <c r="HQ35" s="39"/>
      <c r="HR35" s="39"/>
      <c r="HS35" s="39"/>
      <c r="HT35" s="39"/>
      <c r="HU35" s="39"/>
      <c r="HV35" s="39"/>
      <c r="HW35" s="40"/>
    </row>
    <row r="36" spans="2:231" x14ac:dyDescent="0.25">
      <c r="B36" s="939"/>
      <c r="C36" s="39"/>
      <c r="D36" s="936"/>
      <c r="E36" s="39"/>
      <c r="F36" s="902"/>
      <c r="G36" s="902"/>
      <c r="H36" s="902"/>
      <c r="I36" s="903"/>
      <c r="J36" s="903"/>
      <c r="K36" s="903"/>
      <c r="L36" s="903"/>
      <c r="M36" s="903"/>
      <c r="N36" s="39"/>
      <c r="O36" s="902"/>
      <c r="P36" s="902"/>
      <c r="Q36" s="902"/>
      <c r="R36" s="903"/>
      <c r="S36" s="903"/>
      <c r="T36" s="903"/>
      <c r="U36" s="903"/>
      <c r="V36" s="903"/>
      <c r="W36" s="39"/>
      <c r="X36" s="902"/>
      <c r="Y36" s="902"/>
      <c r="Z36" s="902"/>
      <c r="AA36" s="903"/>
      <c r="AB36" s="903"/>
      <c r="AC36" s="903"/>
      <c r="AD36" s="903"/>
      <c r="AE36" s="903"/>
      <c r="AF36" s="39"/>
      <c r="AG36" s="902"/>
      <c r="AH36" s="902"/>
      <c r="AI36" s="902"/>
      <c r="AJ36" s="903"/>
      <c r="AK36" s="903"/>
      <c r="AL36" s="903"/>
      <c r="AM36" s="903"/>
      <c r="AN36" s="903"/>
      <c r="AO36" s="39"/>
      <c r="AP36" s="902"/>
      <c r="AQ36" s="902"/>
      <c r="AR36" s="902"/>
      <c r="AS36" s="903"/>
      <c r="AT36" s="903"/>
      <c r="AU36" s="903"/>
      <c r="AV36" s="903"/>
      <c r="AW36" s="903"/>
      <c r="AX36" s="39"/>
      <c r="AY36" s="902"/>
      <c r="AZ36" s="902"/>
      <c r="BA36" s="902"/>
      <c r="BB36" s="903"/>
      <c r="BC36" s="903"/>
      <c r="BD36" s="903"/>
      <c r="BE36" s="903"/>
      <c r="BF36" s="903"/>
      <c r="BG36" s="39"/>
      <c r="BH36" s="902"/>
      <c r="BI36" s="902"/>
      <c r="BJ36" s="902"/>
      <c r="BK36" s="903"/>
      <c r="BL36" s="903"/>
      <c r="BM36" s="903"/>
      <c r="BN36" s="903"/>
      <c r="BO36" s="903"/>
      <c r="BP36" s="39"/>
      <c r="BQ36" s="902"/>
      <c r="BR36" s="902"/>
      <c r="BS36" s="902"/>
      <c r="BT36" s="903"/>
      <c r="BU36" s="903"/>
      <c r="BV36" s="903"/>
      <c r="BW36" s="903"/>
      <c r="BX36" s="903"/>
      <c r="BY36" s="39"/>
      <c r="BZ36" s="902"/>
      <c r="CA36" s="902"/>
      <c r="CB36" s="902"/>
      <c r="CC36" s="903"/>
      <c r="CD36" s="903"/>
      <c r="CE36" s="903"/>
      <c r="CF36" s="903"/>
      <c r="CG36" s="903"/>
      <c r="CH36" s="39"/>
      <c r="CI36" s="902"/>
      <c r="CJ36" s="902"/>
      <c r="CK36" s="902"/>
      <c r="CL36" s="903"/>
      <c r="CM36" s="903"/>
      <c r="CN36" s="903"/>
      <c r="CO36" s="903"/>
      <c r="CP36" s="903"/>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39"/>
      <c r="GM36" s="39"/>
      <c r="GN36" s="39"/>
      <c r="GO36" s="39"/>
      <c r="GP36" s="39"/>
      <c r="GQ36" s="39"/>
      <c r="GR36" s="39"/>
      <c r="GS36" s="39"/>
      <c r="GT36" s="39"/>
      <c r="GU36" s="39"/>
      <c r="GV36" s="39"/>
      <c r="GW36" s="39"/>
      <c r="GX36" s="39"/>
      <c r="GY36" s="39"/>
      <c r="GZ36" s="39"/>
      <c r="HA36" s="39"/>
      <c r="HB36" s="39"/>
      <c r="HC36" s="39"/>
      <c r="HD36" s="39"/>
      <c r="HE36" s="39"/>
      <c r="HF36" s="39"/>
      <c r="HG36" s="39"/>
      <c r="HH36" s="39"/>
      <c r="HI36" s="39"/>
      <c r="HJ36" s="39"/>
      <c r="HK36" s="39"/>
      <c r="HL36" s="39"/>
      <c r="HM36" s="39"/>
      <c r="HN36" s="39"/>
      <c r="HO36" s="39"/>
      <c r="HP36" s="39"/>
      <c r="HQ36" s="39"/>
      <c r="HR36" s="39"/>
      <c r="HS36" s="39"/>
      <c r="HT36" s="39"/>
      <c r="HU36" s="39"/>
      <c r="HV36" s="39"/>
      <c r="HW36" s="40"/>
    </row>
    <row r="37" spans="2:231" x14ac:dyDescent="0.25">
      <c r="B37" s="939"/>
      <c r="C37" s="39"/>
      <c r="D37" s="936"/>
      <c r="E37" s="39"/>
      <c r="F37" s="902"/>
      <c r="G37" s="902"/>
      <c r="H37" s="902"/>
      <c r="I37" s="903"/>
      <c r="J37" s="903"/>
      <c r="K37" s="903"/>
      <c r="L37" s="903"/>
      <c r="M37" s="903"/>
      <c r="N37" s="39"/>
      <c r="O37" s="902"/>
      <c r="P37" s="902"/>
      <c r="Q37" s="902"/>
      <c r="R37" s="903"/>
      <c r="S37" s="903"/>
      <c r="T37" s="903"/>
      <c r="U37" s="903"/>
      <c r="V37" s="903"/>
      <c r="W37" s="39"/>
      <c r="X37" s="902"/>
      <c r="Y37" s="902"/>
      <c r="Z37" s="902"/>
      <c r="AA37" s="903"/>
      <c r="AB37" s="903"/>
      <c r="AC37" s="903"/>
      <c r="AD37" s="903"/>
      <c r="AE37" s="903"/>
      <c r="AF37" s="39"/>
      <c r="AG37" s="902"/>
      <c r="AH37" s="902"/>
      <c r="AI37" s="902"/>
      <c r="AJ37" s="903"/>
      <c r="AK37" s="903"/>
      <c r="AL37" s="903"/>
      <c r="AM37" s="903"/>
      <c r="AN37" s="903"/>
      <c r="AO37" s="39"/>
      <c r="AP37" s="902"/>
      <c r="AQ37" s="902"/>
      <c r="AR37" s="902"/>
      <c r="AS37" s="903"/>
      <c r="AT37" s="903"/>
      <c r="AU37" s="903"/>
      <c r="AV37" s="903"/>
      <c r="AW37" s="903"/>
      <c r="AX37" s="39"/>
      <c r="AY37" s="902"/>
      <c r="AZ37" s="902"/>
      <c r="BA37" s="902"/>
      <c r="BB37" s="903"/>
      <c r="BC37" s="903"/>
      <c r="BD37" s="903"/>
      <c r="BE37" s="903"/>
      <c r="BF37" s="903"/>
      <c r="BG37" s="39"/>
      <c r="BH37" s="902"/>
      <c r="BI37" s="902"/>
      <c r="BJ37" s="902"/>
      <c r="BK37" s="903"/>
      <c r="BL37" s="903"/>
      <c r="BM37" s="903"/>
      <c r="BN37" s="903"/>
      <c r="BO37" s="903"/>
      <c r="BP37" s="39"/>
      <c r="BQ37" s="902"/>
      <c r="BR37" s="902"/>
      <c r="BS37" s="902"/>
      <c r="BT37" s="903"/>
      <c r="BU37" s="903"/>
      <c r="BV37" s="903"/>
      <c r="BW37" s="903"/>
      <c r="BX37" s="903"/>
      <c r="BY37" s="39"/>
      <c r="BZ37" s="902"/>
      <c r="CA37" s="902"/>
      <c r="CB37" s="902"/>
      <c r="CC37" s="903"/>
      <c r="CD37" s="903"/>
      <c r="CE37" s="903"/>
      <c r="CF37" s="903"/>
      <c r="CG37" s="903"/>
      <c r="CH37" s="39"/>
      <c r="CI37" s="902"/>
      <c r="CJ37" s="902"/>
      <c r="CK37" s="902"/>
      <c r="CL37" s="903"/>
      <c r="CM37" s="903"/>
      <c r="CN37" s="903"/>
      <c r="CO37" s="903"/>
      <c r="CP37" s="903"/>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40"/>
    </row>
    <row r="38" spans="2:231" x14ac:dyDescent="0.25">
      <c r="B38" s="939"/>
      <c r="C38" s="39"/>
      <c r="D38" s="936"/>
      <c r="E38" s="39"/>
      <c r="F38" s="902" t="s">
        <v>4</v>
      </c>
      <c r="G38" s="902"/>
      <c r="H38" s="902"/>
      <c r="I38" s="903" t="s">
        <v>15</v>
      </c>
      <c r="J38" s="903"/>
      <c r="K38" s="903"/>
      <c r="L38" s="903"/>
      <c r="M38" s="903"/>
      <c r="N38" s="39"/>
      <c r="O38" s="902" t="s">
        <v>4</v>
      </c>
      <c r="P38" s="902"/>
      <c r="Q38" s="902"/>
      <c r="R38" s="903" t="s">
        <v>15</v>
      </c>
      <c r="S38" s="903"/>
      <c r="T38" s="903"/>
      <c r="U38" s="903"/>
      <c r="V38" s="903"/>
      <c r="W38" s="39"/>
      <c r="X38" s="902" t="s">
        <v>4</v>
      </c>
      <c r="Y38" s="902"/>
      <c r="Z38" s="902"/>
      <c r="AA38" s="903" t="s">
        <v>15</v>
      </c>
      <c r="AB38" s="903"/>
      <c r="AC38" s="903"/>
      <c r="AD38" s="903"/>
      <c r="AE38" s="903"/>
      <c r="AF38" s="39"/>
      <c r="AG38" s="902" t="s">
        <v>4</v>
      </c>
      <c r="AH38" s="902"/>
      <c r="AI38" s="902"/>
      <c r="AJ38" s="903" t="s">
        <v>15</v>
      </c>
      <c r="AK38" s="903"/>
      <c r="AL38" s="903"/>
      <c r="AM38" s="903"/>
      <c r="AN38" s="903"/>
      <c r="AO38" s="39"/>
      <c r="AP38" s="902" t="s">
        <v>4</v>
      </c>
      <c r="AQ38" s="902"/>
      <c r="AR38" s="902"/>
      <c r="AS38" s="903" t="s">
        <v>15</v>
      </c>
      <c r="AT38" s="903"/>
      <c r="AU38" s="903"/>
      <c r="AV38" s="903"/>
      <c r="AW38" s="903"/>
      <c r="AX38" s="39"/>
      <c r="AY38" s="902" t="s">
        <v>4</v>
      </c>
      <c r="AZ38" s="902"/>
      <c r="BA38" s="902"/>
      <c r="BB38" s="903" t="s">
        <v>15</v>
      </c>
      <c r="BC38" s="903"/>
      <c r="BD38" s="903"/>
      <c r="BE38" s="903"/>
      <c r="BF38" s="903"/>
      <c r="BG38" s="39"/>
      <c r="BH38" s="902" t="s">
        <v>4</v>
      </c>
      <c r="BI38" s="902"/>
      <c r="BJ38" s="902"/>
      <c r="BK38" s="903" t="s">
        <v>15</v>
      </c>
      <c r="BL38" s="903"/>
      <c r="BM38" s="903"/>
      <c r="BN38" s="903"/>
      <c r="BO38" s="903"/>
      <c r="BP38" s="39"/>
      <c r="BQ38" s="902" t="s">
        <v>4</v>
      </c>
      <c r="BR38" s="902"/>
      <c r="BS38" s="902"/>
      <c r="BT38" s="903" t="s">
        <v>15</v>
      </c>
      <c r="BU38" s="903"/>
      <c r="BV38" s="903"/>
      <c r="BW38" s="903"/>
      <c r="BX38" s="903"/>
      <c r="BY38" s="39"/>
      <c r="BZ38" s="902" t="s">
        <v>4</v>
      </c>
      <c r="CA38" s="902"/>
      <c r="CB38" s="902"/>
      <c r="CC38" s="903" t="s">
        <v>15</v>
      </c>
      <c r="CD38" s="903"/>
      <c r="CE38" s="903"/>
      <c r="CF38" s="903"/>
      <c r="CG38" s="903"/>
      <c r="CH38" s="39"/>
      <c r="CI38" s="902" t="s">
        <v>4</v>
      </c>
      <c r="CJ38" s="902"/>
      <c r="CK38" s="902"/>
      <c r="CL38" s="903" t="s">
        <v>15</v>
      </c>
      <c r="CM38" s="903"/>
      <c r="CN38" s="903"/>
      <c r="CO38" s="903"/>
      <c r="CP38" s="903"/>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c r="EO38" s="39"/>
      <c r="EP38" s="39"/>
      <c r="EQ38" s="39"/>
      <c r="ER38" s="39"/>
      <c r="ES38" s="39"/>
      <c r="ET38" s="39"/>
      <c r="EU38" s="39"/>
      <c r="EV38" s="39"/>
      <c r="EW38" s="39"/>
      <c r="EX38" s="39"/>
      <c r="EY38" s="39"/>
      <c r="EZ38" s="39"/>
      <c r="FA38" s="39"/>
      <c r="FB38" s="39"/>
      <c r="FC38" s="39"/>
      <c r="FD38" s="39"/>
      <c r="FE38" s="39"/>
      <c r="FF38" s="39"/>
      <c r="FG38" s="39"/>
      <c r="FH38" s="39"/>
      <c r="FI38" s="39"/>
      <c r="FJ38" s="39"/>
      <c r="FK38" s="39"/>
      <c r="FL38" s="39"/>
      <c r="FM38" s="39"/>
      <c r="FN38" s="39"/>
      <c r="FO38" s="39"/>
      <c r="FP38" s="39"/>
      <c r="FQ38" s="39"/>
      <c r="FR38" s="39"/>
      <c r="FS38" s="39"/>
      <c r="FT38" s="39"/>
      <c r="FU38" s="39"/>
      <c r="FV38" s="39"/>
      <c r="FW38" s="39"/>
      <c r="FX38" s="39"/>
      <c r="FY38" s="39"/>
      <c r="FZ38" s="39"/>
      <c r="GA38" s="39"/>
      <c r="GB38" s="39"/>
      <c r="GC38" s="39"/>
      <c r="GD38" s="39"/>
      <c r="GE38" s="39"/>
      <c r="GF38" s="39"/>
      <c r="GG38" s="39"/>
      <c r="GH38" s="39"/>
      <c r="GI38" s="39"/>
      <c r="GJ38" s="39"/>
      <c r="GK38" s="39"/>
      <c r="GL38" s="39"/>
      <c r="GM38" s="39"/>
      <c r="GN38" s="39"/>
      <c r="GO38" s="39"/>
      <c r="GP38" s="39"/>
      <c r="GQ38" s="39"/>
      <c r="GR38" s="39"/>
      <c r="GS38" s="39"/>
      <c r="GT38" s="39"/>
      <c r="GU38" s="39"/>
      <c r="GV38" s="39"/>
      <c r="GW38" s="39"/>
      <c r="GX38" s="39"/>
      <c r="GY38" s="39"/>
      <c r="GZ38" s="39"/>
      <c r="HA38" s="39"/>
      <c r="HB38" s="39"/>
      <c r="HC38" s="39"/>
      <c r="HD38" s="39"/>
      <c r="HE38" s="39"/>
      <c r="HF38" s="39"/>
      <c r="HG38" s="39"/>
      <c r="HH38" s="39"/>
      <c r="HI38" s="39"/>
      <c r="HJ38" s="39"/>
      <c r="HK38" s="39"/>
      <c r="HL38" s="39"/>
      <c r="HM38" s="39"/>
      <c r="HN38" s="39"/>
      <c r="HO38" s="39"/>
      <c r="HP38" s="39"/>
      <c r="HQ38" s="39"/>
      <c r="HR38" s="39"/>
      <c r="HS38" s="39"/>
      <c r="HT38" s="39"/>
      <c r="HU38" s="39"/>
      <c r="HV38" s="39"/>
      <c r="HW38" s="40"/>
    </row>
    <row r="39" spans="2:231" x14ac:dyDescent="0.25">
      <c r="B39" s="939"/>
      <c r="C39" s="39"/>
      <c r="D39" s="936"/>
      <c r="E39" s="39"/>
      <c r="F39" s="902"/>
      <c r="G39" s="902"/>
      <c r="H39" s="902"/>
      <c r="I39" s="903"/>
      <c r="J39" s="903"/>
      <c r="K39" s="903"/>
      <c r="L39" s="903"/>
      <c r="M39" s="903"/>
      <c r="N39" s="39"/>
      <c r="O39" s="902"/>
      <c r="P39" s="902"/>
      <c r="Q39" s="902"/>
      <c r="R39" s="903"/>
      <c r="S39" s="903"/>
      <c r="T39" s="903"/>
      <c r="U39" s="903"/>
      <c r="V39" s="903"/>
      <c r="W39" s="39"/>
      <c r="X39" s="902"/>
      <c r="Y39" s="902"/>
      <c r="Z39" s="902"/>
      <c r="AA39" s="903"/>
      <c r="AB39" s="903"/>
      <c r="AC39" s="903"/>
      <c r="AD39" s="903"/>
      <c r="AE39" s="903"/>
      <c r="AF39" s="39"/>
      <c r="AG39" s="902"/>
      <c r="AH39" s="902"/>
      <c r="AI39" s="902"/>
      <c r="AJ39" s="903"/>
      <c r="AK39" s="903"/>
      <c r="AL39" s="903"/>
      <c r="AM39" s="903"/>
      <c r="AN39" s="903"/>
      <c r="AO39" s="39"/>
      <c r="AP39" s="902"/>
      <c r="AQ39" s="902"/>
      <c r="AR39" s="902"/>
      <c r="AS39" s="903"/>
      <c r="AT39" s="903"/>
      <c r="AU39" s="903"/>
      <c r="AV39" s="903"/>
      <c r="AW39" s="903"/>
      <c r="AX39" s="39"/>
      <c r="AY39" s="902"/>
      <c r="AZ39" s="902"/>
      <c r="BA39" s="902"/>
      <c r="BB39" s="903"/>
      <c r="BC39" s="903"/>
      <c r="BD39" s="903"/>
      <c r="BE39" s="903"/>
      <c r="BF39" s="903"/>
      <c r="BG39" s="39"/>
      <c r="BH39" s="902"/>
      <c r="BI39" s="902"/>
      <c r="BJ39" s="902"/>
      <c r="BK39" s="903"/>
      <c r="BL39" s="903"/>
      <c r="BM39" s="903"/>
      <c r="BN39" s="903"/>
      <c r="BO39" s="903"/>
      <c r="BP39" s="39"/>
      <c r="BQ39" s="902"/>
      <c r="BR39" s="902"/>
      <c r="BS39" s="902"/>
      <c r="BT39" s="903"/>
      <c r="BU39" s="903"/>
      <c r="BV39" s="903"/>
      <c r="BW39" s="903"/>
      <c r="BX39" s="903"/>
      <c r="BY39" s="39"/>
      <c r="BZ39" s="902"/>
      <c r="CA39" s="902"/>
      <c r="CB39" s="902"/>
      <c r="CC39" s="903"/>
      <c r="CD39" s="903"/>
      <c r="CE39" s="903"/>
      <c r="CF39" s="903"/>
      <c r="CG39" s="903"/>
      <c r="CH39" s="39"/>
      <c r="CI39" s="902"/>
      <c r="CJ39" s="902"/>
      <c r="CK39" s="902"/>
      <c r="CL39" s="903"/>
      <c r="CM39" s="903"/>
      <c r="CN39" s="903"/>
      <c r="CO39" s="903"/>
      <c r="CP39" s="903"/>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40"/>
    </row>
    <row r="40" spans="2:231" x14ac:dyDescent="0.25">
      <c r="B40" s="939"/>
      <c r="C40" s="39"/>
      <c r="D40" s="936"/>
      <c r="E40" s="39"/>
      <c r="F40" s="902"/>
      <c r="G40" s="902"/>
      <c r="H40" s="902"/>
      <c r="I40" s="903"/>
      <c r="J40" s="903"/>
      <c r="K40" s="903"/>
      <c r="L40" s="903"/>
      <c r="M40" s="903"/>
      <c r="N40" s="39"/>
      <c r="O40" s="902"/>
      <c r="P40" s="902"/>
      <c r="Q40" s="902"/>
      <c r="R40" s="903"/>
      <c r="S40" s="903"/>
      <c r="T40" s="903"/>
      <c r="U40" s="903"/>
      <c r="V40" s="903"/>
      <c r="W40" s="39"/>
      <c r="X40" s="902"/>
      <c r="Y40" s="902"/>
      <c r="Z40" s="902"/>
      <c r="AA40" s="903"/>
      <c r="AB40" s="903"/>
      <c r="AC40" s="903"/>
      <c r="AD40" s="903"/>
      <c r="AE40" s="903"/>
      <c r="AF40" s="39"/>
      <c r="AG40" s="902"/>
      <c r="AH40" s="902"/>
      <c r="AI40" s="902"/>
      <c r="AJ40" s="903"/>
      <c r="AK40" s="903"/>
      <c r="AL40" s="903"/>
      <c r="AM40" s="903"/>
      <c r="AN40" s="903"/>
      <c r="AO40" s="39"/>
      <c r="AP40" s="902"/>
      <c r="AQ40" s="902"/>
      <c r="AR40" s="902"/>
      <c r="AS40" s="903"/>
      <c r="AT40" s="903"/>
      <c r="AU40" s="903"/>
      <c r="AV40" s="903"/>
      <c r="AW40" s="903"/>
      <c r="AX40" s="39"/>
      <c r="AY40" s="902"/>
      <c r="AZ40" s="902"/>
      <c r="BA40" s="902"/>
      <c r="BB40" s="903"/>
      <c r="BC40" s="903"/>
      <c r="BD40" s="903"/>
      <c r="BE40" s="903"/>
      <c r="BF40" s="903"/>
      <c r="BG40" s="39"/>
      <c r="BH40" s="902"/>
      <c r="BI40" s="902"/>
      <c r="BJ40" s="902"/>
      <c r="BK40" s="903"/>
      <c r="BL40" s="903"/>
      <c r="BM40" s="903"/>
      <c r="BN40" s="903"/>
      <c r="BO40" s="903"/>
      <c r="BP40" s="39"/>
      <c r="BQ40" s="902"/>
      <c r="BR40" s="902"/>
      <c r="BS40" s="902"/>
      <c r="BT40" s="903"/>
      <c r="BU40" s="903"/>
      <c r="BV40" s="903"/>
      <c r="BW40" s="903"/>
      <c r="BX40" s="903"/>
      <c r="BY40" s="39"/>
      <c r="BZ40" s="902"/>
      <c r="CA40" s="902"/>
      <c r="CB40" s="902"/>
      <c r="CC40" s="903"/>
      <c r="CD40" s="903"/>
      <c r="CE40" s="903"/>
      <c r="CF40" s="903"/>
      <c r="CG40" s="903"/>
      <c r="CH40" s="39"/>
      <c r="CI40" s="902"/>
      <c r="CJ40" s="902"/>
      <c r="CK40" s="902"/>
      <c r="CL40" s="903"/>
      <c r="CM40" s="903"/>
      <c r="CN40" s="903"/>
      <c r="CO40" s="903"/>
      <c r="CP40" s="903"/>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40"/>
    </row>
    <row r="41" spans="2:231" x14ac:dyDescent="0.25">
      <c r="B41" s="939"/>
      <c r="C41" s="39"/>
      <c r="D41" s="936"/>
      <c r="E41" s="39"/>
      <c r="F41" s="902" t="s">
        <v>5</v>
      </c>
      <c r="G41" s="902"/>
      <c r="H41" s="902"/>
      <c r="I41" s="903" t="s">
        <v>61</v>
      </c>
      <c r="J41" s="903"/>
      <c r="K41" s="903"/>
      <c r="L41" s="903"/>
      <c r="M41" s="903"/>
      <c r="N41" s="39"/>
      <c r="O41" s="902" t="s">
        <v>5</v>
      </c>
      <c r="P41" s="902"/>
      <c r="Q41" s="902"/>
      <c r="R41" s="903" t="s">
        <v>64</v>
      </c>
      <c r="S41" s="903"/>
      <c r="T41" s="903"/>
      <c r="U41" s="903"/>
      <c r="V41" s="903"/>
      <c r="W41" s="39"/>
      <c r="X41" s="902" t="s">
        <v>5</v>
      </c>
      <c r="Y41" s="902"/>
      <c r="Z41" s="902"/>
      <c r="AA41" s="903" t="s">
        <v>67</v>
      </c>
      <c r="AB41" s="903"/>
      <c r="AC41" s="903"/>
      <c r="AD41" s="903"/>
      <c r="AE41" s="903"/>
      <c r="AF41" s="39"/>
      <c r="AG41" s="902" t="s">
        <v>5</v>
      </c>
      <c r="AH41" s="902"/>
      <c r="AI41" s="902"/>
      <c r="AJ41" s="903" t="s">
        <v>70</v>
      </c>
      <c r="AK41" s="903"/>
      <c r="AL41" s="903"/>
      <c r="AM41" s="903"/>
      <c r="AN41" s="903"/>
      <c r="AO41" s="39"/>
      <c r="AP41" s="902" t="s">
        <v>5</v>
      </c>
      <c r="AQ41" s="902"/>
      <c r="AR41" s="902"/>
      <c r="AS41" s="903" t="s">
        <v>74</v>
      </c>
      <c r="AT41" s="903"/>
      <c r="AU41" s="903"/>
      <c r="AV41" s="903"/>
      <c r="AW41" s="903"/>
      <c r="AX41" s="39"/>
      <c r="AY41" s="902" t="s">
        <v>5</v>
      </c>
      <c r="AZ41" s="902"/>
      <c r="BA41" s="902"/>
      <c r="BB41" s="903" t="s">
        <v>76</v>
      </c>
      <c r="BC41" s="903"/>
      <c r="BD41" s="903"/>
      <c r="BE41" s="903"/>
      <c r="BF41" s="903"/>
      <c r="BG41" s="39"/>
      <c r="BH41" s="902" t="s">
        <v>5</v>
      </c>
      <c r="BI41" s="902"/>
      <c r="BJ41" s="902"/>
      <c r="BK41" s="903" t="s">
        <v>137</v>
      </c>
      <c r="BL41" s="903"/>
      <c r="BM41" s="903"/>
      <c r="BN41" s="903"/>
      <c r="BO41" s="903"/>
      <c r="BP41" s="39"/>
      <c r="BQ41" s="902" t="s">
        <v>5</v>
      </c>
      <c r="BR41" s="902"/>
      <c r="BS41" s="902"/>
      <c r="BT41" s="903" t="s">
        <v>594</v>
      </c>
      <c r="BU41" s="903"/>
      <c r="BV41" s="903"/>
      <c r="BW41" s="903"/>
      <c r="BX41" s="903"/>
      <c r="BY41" s="39"/>
      <c r="BZ41" s="902" t="s">
        <v>5</v>
      </c>
      <c r="CA41" s="902"/>
      <c r="CB41" s="902"/>
      <c r="CC41" s="903" t="s">
        <v>81</v>
      </c>
      <c r="CD41" s="903"/>
      <c r="CE41" s="903"/>
      <c r="CF41" s="903"/>
      <c r="CG41" s="903"/>
      <c r="CH41" s="39"/>
      <c r="CI41" s="902" t="s">
        <v>5</v>
      </c>
      <c r="CJ41" s="902"/>
      <c r="CK41" s="902"/>
      <c r="CL41" s="903" t="s">
        <v>125</v>
      </c>
      <c r="CM41" s="903"/>
      <c r="CN41" s="903"/>
      <c r="CO41" s="903"/>
      <c r="CP41" s="903"/>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40"/>
    </row>
    <row r="42" spans="2:231" x14ac:dyDescent="0.25">
      <c r="B42" s="939"/>
      <c r="C42" s="39"/>
      <c r="D42" s="936"/>
      <c r="E42" s="39"/>
      <c r="F42" s="902"/>
      <c r="G42" s="902"/>
      <c r="H42" s="902"/>
      <c r="I42" s="903"/>
      <c r="J42" s="903"/>
      <c r="K42" s="903"/>
      <c r="L42" s="903"/>
      <c r="M42" s="903"/>
      <c r="N42" s="39"/>
      <c r="O42" s="902"/>
      <c r="P42" s="902"/>
      <c r="Q42" s="902"/>
      <c r="R42" s="903"/>
      <c r="S42" s="903"/>
      <c r="T42" s="903"/>
      <c r="U42" s="903"/>
      <c r="V42" s="903"/>
      <c r="W42" s="39"/>
      <c r="X42" s="902"/>
      <c r="Y42" s="902"/>
      <c r="Z42" s="902"/>
      <c r="AA42" s="903"/>
      <c r="AB42" s="903"/>
      <c r="AC42" s="903"/>
      <c r="AD42" s="903"/>
      <c r="AE42" s="903"/>
      <c r="AF42" s="39"/>
      <c r="AG42" s="902"/>
      <c r="AH42" s="902"/>
      <c r="AI42" s="902"/>
      <c r="AJ42" s="903"/>
      <c r="AK42" s="903"/>
      <c r="AL42" s="903"/>
      <c r="AM42" s="903"/>
      <c r="AN42" s="903"/>
      <c r="AO42" s="39"/>
      <c r="AP42" s="902"/>
      <c r="AQ42" s="902"/>
      <c r="AR42" s="902"/>
      <c r="AS42" s="903"/>
      <c r="AT42" s="903"/>
      <c r="AU42" s="903"/>
      <c r="AV42" s="903"/>
      <c r="AW42" s="903"/>
      <c r="AX42" s="39"/>
      <c r="AY42" s="902"/>
      <c r="AZ42" s="902"/>
      <c r="BA42" s="902"/>
      <c r="BB42" s="903"/>
      <c r="BC42" s="903"/>
      <c r="BD42" s="903"/>
      <c r="BE42" s="903"/>
      <c r="BF42" s="903"/>
      <c r="BG42" s="39"/>
      <c r="BH42" s="902"/>
      <c r="BI42" s="902"/>
      <c r="BJ42" s="902"/>
      <c r="BK42" s="903"/>
      <c r="BL42" s="903"/>
      <c r="BM42" s="903"/>
      <c r="BN42" s="903"/>
      <c r="BO42" s="903"/>
      <c r="BP42" s="39"/>
      <c r="BQ42" s="902"/>
      <c r="BR42" s="902"/>
      <c r="BS42" s="902"/>
      <c r="BT42" s="903"/>
      <c r="BU42" s="903"/>
      <c r="BV42" s="903"/>
      <c r="BW42" s="903"/>
      <c r="BX42" s="903"/>
      <c r="BY42" s="39"/>
      <c r="BZ42" s="902"/>
      <c r="CA42" s="902"/>
      <c r="CB42" s="902"/>
      <c r="CC42" s="903"/>
      <c r="CD42" s="903"/>
      <c r="CE42" s="903"/>
      <c r="CF42" s="903"/>
      <c r="CG42" s="903"/>
      <c r="CH42" s="39"/>
      <c r="CI42" s="902"/>
      <c r="CJ42" s="902"/>
      <c r="CK42" s="902"/>
      <c r="CL42" s="903"/>
      <c r="CM42" s="903"/>
      <c r="CN42" s="903"/>
      <c r="CO42" s="903"/>
      <c r="CP42" s="903"/>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40"/>
    </row>
    <row r="43" spans="2:231" x14ac:dyDescent="0.25">
      <c r="B43" s="939"/>
      <c r="C43" s="39"/>
      <c r="D43" s="936"/>
      <c r="E43" s="39"/>
      <c r="F43" s="902"/>
      <c r="G43" s="902"/>
      <c r="H43" s="902"/>
      <c r="I43" s="903"/>
      <c r="J43" s="903"/>
      <c r="K43" s="903"/>
      <c r="L43" s="903"/>
      <c r="M43" s="903"/>
      <c r="N43" s="39"/>
      <c r="O43" s="902"/>
      <c r="P43" s="902"/>
      <c r="Q43" s="902"/>
      <c r="R43" s="903"/>
      <c r="S43" s="903"/>
      <c r="T43" s="903"/>
      <c r="U43" s="903"/>
      <c r="V43" s="903"/>
      <c r="W43" s="39"/>
      <c r="X43" s="902"/>
      <c r="Y43" s="902"/>
      <c r="Z43" s="902"/>
      <c r="AA43" s="903"/>
      <c r="AB43" s="903"/>
      <c r="AC43" s="903"/>
      <c r="AD43" s="903"/>
      <c r="AE43" s="903"/>
      <c r="AF43" s="39"/>
      <c r="AG43" s="902"/>
      <c r="AH43" s="902"/>
      <c r="AI43" s="902"/>
      <c r="AJ43" s="903"/>
      <c r="AK43" s="903"/>
      <c r="AL43" s="903"/>
      <c r="AM43" s="903"/>
      <c r="AN43" s="903"/>
      <c r="AO43" s="39"/>
      <c r="AP43" s="902"/>
      <c r="AQ43" s="902"/>
      <c r="AR43" s="902"/>
      <c r="AS43" s="903"/>
      <c r="AT43" s="903"/>
      <c r="AU43" s="903"/>
      <c r="AV43" s="903"/>
      <c r="AW43" s="903"/>
      <c r="AX43" s="39"/>
      <c r="AY43" s="902"/>
      <c r="AZ43" s="902"/>
      <c r="BA43" s="902"/>
      <c r="BB43" s="903"/>
      <c r="BC43" s="903"/>
      <c r="BD43" s="903"/>
      <c r="BE43" s="903"/>
      <c r="BF43" s="903"/>
      <c r="BG43" s="39"/>
      <c r="BH43" s="902"/>
      <c r="BI43" s="902"/>
      <c r="BJ43" s="902"/>
      <c r="BK43" s="903"/>
      <c r="BL43" s="903"/>
      <c r="BM43" s="903"/>
      <c r="BN43" s="903"/>
      <c r="BO43" s="903"/>
      <c r="BP43" s="39"/>
      <c r="BQ43" s="902"/>
      <c r="BR43" s="902"/>
      <c r="BS43" s="902"/>
      <c r="BT43" s="903"/>
      <c r="BU43" s="903"/>
      <c r="BV43" s="903"/>
      <c r="BW43" s="903"/>
      <c r="BX43" s="903"/>
      <c r="BY43" s="39"/>
      <c r="BZ43" s="902"/>
      <c r="CA43" s="902"/>
      <c r="CB43" s="902"/>
      <c r="CC43" s="903"/>
      <c r="CD43" s="903"/>
      <c r="CE43" s="903"/>
      <c r="CF43" s="903"/>
      <c r="CG43" s="903"/>
      <c r="CH43" s="39"/>
      <c r="CI43" s="902"/>
      <c r="CJ43" s="902"/>
      <c r="CK43" s="902"/>
      <c r="CL43" s="903"/>
      <c r="CM43" s="903"/>
      <c r="CN43" s="903"/>
      <c r="CO43" s="903"/>
      <c r="CP43" s="903"/>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40"/>
    </row>
    <row r="44" spans="2:231" x14ac:dyDescent="0.25">
      <c r="B44" s="939"/>
      <c r="C44" s="39"/>
      <c r="D44" s="936"/>
      <c r="E44" s="39"/>
      <c r="F44" s="902" t="s">
        <v>6</v>
      </c>
      <c r="G44" s="902"/>
      <c r="H44" s="902"/>
      <c r="I44" s="903" t="s">
        <v>9</v>
      </c>
      <c r="J44" s="903"/>
      <c r="K44" s="903"/>
      <c r="L44" s="903"/>
      <c r="M44" s="903"/>
      <c r="N44" s="39"/>
      <c r="O44" s="902" t="s">
        <v>6</v>
      </c>
      <c r="P44" s="902"/>
      <c r="Q44" s="902"/>
      <c r="R44" s="903" t="s">
        <v>9</v>
      </c>
      <c r="S44" s="903"/>
      <c r="T44" s="903"/>
      <c r="U44" s="903"/>
      <c r="V44" s="903"/>
      <c r="W44" s="39"/>
      <c r="X44" s="902" t="s">
        <v>6</v>
      </c>
      <c r="Y44" s="902"/>
      <c r="Z44" s="902"/>
      <c r="AA44" s="903" t="s">
        <v>9</v>
      </c>
      <c r="AB44" s="903"/>
      <c r="AC44" s="903"/>
      <c r="AD44" s="903"/>
      <c r="AE44" s="903"/>
      <c r="AF44" s="39"/>
      <c r="AG44" s="902" t="s">
        <v>6</v>
      </c>
      <c r="AH44" s="902"/>
      <c r="AI44" s="902"/>
      <c r="AJ44" s="903" t="s">
        <v>311</v>
      </c>
      <c r="AK44" s="903"/>
      <c r="AL44" s="903"/>
      <c r="AM44" s="903"/>
      <c r="AN44" s="903"/>
      <c r="AO44" s="39"/>
      <c r="AP44" s="902" t="s">
        <v>6</v>
      </c>
      <c r="AQ44" s="902"/>
      <c r="AR44" s="902"/>
      <c r="AS44" s="903" t="s">
        <v>9</v>
      </c>
      <c r="AT44" s="903"/>
      <c r="AU44" s="903"/>
      <c r="AV44" s="903"/>
      <c r="AW44" s="903"/>
      <c r="AX44" s="39"/>
      <c r="AY44" s="902" t="s">
        <v>6</v>
      </c>
      <c r="AZ44" s="902"/>
      <c r="BA44" s="902"/>
      <c r="BB44" s="903" t="s">
        <v>9</v>
      </c>
      <c r="BC44" s="903"/>
      <c r="BD44" s="903"/>
      <c r="BE44" s="903"/>
      <c r="BF44" s="903"/>
      <c r="BG44" s="39"/>
      <c r="BH44" s="902" t="s">
        <v>6</v>
      </c>
      <c r="BI44" s="902"/>
      <c r="BJ44" s="902"/>
      <c r="BK44" s="903" t="s">
        <v>9</v>
      </c>
      <c r="BL44" s="903"/>
      <c r="BM44" s="903"/>
      <c r="BN44" s="903"/>
      <c r="BO44" s="903"/>
      <c r="BP44" s="39"/>
      <c r="BQ44" s="902" t="s">
        <v>6</v>
      </c>
      <c r="BR44" s="902"/>
      <c r="BS44" s="902"/>
      <c r="BT44" s="903" t="s">
        <v>9</v>
      </c>
      <c r="BU44" s="903"/>
      <c r="BV44" s="903"/>
      <c r="BW44" s="903"/>
      <c r="BX44" s="903"/>
      <c r="BY44" s="39"/>
      <c r="BZ44" s="902" t="s">
        <v>6</v>
      </c>
      <c r="CA44" s="902"/>
      <c r="CB44" s="902"/>
      <c r="CC44" s="903" t="s">
        <v>9</v>
      </c>
      <c r="CD44" s="903"/>
      <c r="CE44" s="903"/>
      <c r="CF44" s="903"/>
      <c r="CG44" s="903"/>
      <c r="CH44" s="39"/>
      <c r="CI44" s="902" t="s">
        <v>6</v>
      </c>
      <c r="CJ44" s="902"/>
      <c r="CK44" s="902"/>
      <c r="CL44" s="903" t="s">
        <v>317</v>
      </c>
      <c r="CM44" s="903"/>
      <c r="CN44" s="903"/>
      <c r="CO44" s="903"/>
      <c r="CP44" s="903"/>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40"/>
    </row>
    <row r="45" spans="2:231" x14ac:dyDescent="0.25">
      <c r="B45" s="939"/>
      <c r="C45" s="39"/>
      <c r="D45" s="936"/>
      <c r="E45" s="39"/>
      <c r="F45" s="902"/>
      <c r="G45" s="902"/>
      <c r="H45" s="902"/>
      <c r="I45" s="903"/>
      <c r="J45" s="903"/>
      <c r="K45" s="903"/>
      <c r="L45" s="903"/>
      <c r="M45" s="903"/>
      <c r="N45" s="39"/>
      <c r="O45" s="902"/>
      <c r="P45" s="902"/>
      <c r="Q45" s="902"/>
      <c r="R45" s="903"/>
      <c r="S45" s="903"/>
      <c r="T45" s="903"/>
      <c r="U45" s="903"/>
      <c r="V45" s="903"/>
      <c r="W45" s="39"/>
      <c r="X45" s="902"/>
      <c r="Y45" s="902"/>
      <c r="Z45" s="902"/>
      <c r="AA45" s="903"/>
      <c r="AB45" s="903"/>
      <c r="AC45" s="903"/>
      <c r="AD45" s="903"/>
      <c r="AE45" s="903"/>
      <c r="AF45" s="39"/>
      <c r="AG45" s="902"/>
      <c r="AH45" s="902"/>
      <c r="AI45" s="902"/>
      <c r="AJ45" s="903"/>
      <c r="AK45" s="903"/>
      <c r="AL45" s="903"/>
      <c r="AM45" s="903"/>
      <c r="AN45" s="903"/>
      <c r="AO45" s="39"/>
      <c r="AP45" s="902"/>
      <c r="AQ45" s="902"/>
      <c r="AR45" s="902"/>
      <c r="AS45" s="903"/>
      <c r="AT45" s="903"/>
      <c r="AU45" s="903"/>
      <c r="AV45" s="903"/>
      <c r="AW45" s="903"/>
      <c r="AX45" s="39"/>
      <c r="AY45" s="902"/>
      <c r="AZ45" s="902"/>
      <c r="BA45" s="902"/>
      <c r="BB45" s="903"/>
      <c r="BC45" s="903"/>
      <c r="BD45" s="903"/>
      <c r="BE45" s="903"/>
      <c r="BF45" s="903"/>
      <c r="BG45" s="39"/>
      <c r="BH45" s="902"/>
      <c r="BI45" s="902"/>
      <c r="BJ45" s="902"/>
      <c r="BK45" s="903"/>
      <c r="BL45" s="903"/>
      <c r="BM45" s="903"/>
      <c r="BN45" s="903"/>
      <c r="BO45" s="903"/>
      <c r="BP45" s="39"/>
      <c r="BQ45" s="902"/>
      <c r="BR45" s="902"/>
      <c r="BS45" s="902"/>
      <c r="BT45" s="903"/>
      <c r="BU45" s="903"/>
      <c r="BV45" s="903"/>
      <c r="BW45" s="903"/>
      <c r="BX45" s="903"/>
      <c r="BY45" s="39"/>
      <c r="BZ45" s="902"/>
      <c r="CA45" s="902"/>
      <c r="CB45" s="902"/>
      <c r="CC45" s="903"/>
      <c r="CD45" s="903"/>
      <c r="CE45" s="903"/>
      <c r="CF45" s="903"/>
      <c r="CG45" s="903"/>
      <c r="CH45" s="39"/>
      <c r="CI45" s="902"/>
      <c r="CJ45" s="902"/>
      <c r="CK45" s="902"/>
      <c r="CL45" s="903"/>
      <c r="CM45" s="903"/>
      <c r="CN45" s="903"/>
      <c r="CO45" s="903"/>
      <c r="CP45" s="903"/>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40"/>
    </row>
    <row r="46" spans="2:231" x14ac:dyDescent="0.25">
      <c r="B46" s="939"/>
      <c r="C46" s="39"/>
      <c r="D46" s="936"/>
      <c r="E46" s="39"/>
      <c r="F46" s="902"/>
      <c r="G46" s="902"/>
      <c r="H46" s="902"/>
      <c r="I46" s="903"/>
      <c r="J46" s="903"/>
      <c r="K46" s="903"/>
      <c r="L46" s="903"/>
      <c r="M46" s="903"/>
      <c r="N46" s="39"/>
      <c r="O46" s="902"/>
      <c r="P46" s="902"/>
      <c r="Q46" s="902"/>
      <c r="R46" s="903"/>
      <c r="S46" s="903"/>
      <c r="T46" s="903"/>
      <c r="U46" s="903"/>
      <c r="V46" s="903"/>
      <c r="W46" s="39"/>
      <c r="X46" s="902"/>
      <c r="Y46" s="902"/>
      <c r="Z46" s="902"/>
      <c r="AA46" s="903"/>
      <c r="AB46" s="903"/>
      <c r="AC46" s="903"/>
      <c r="AD46" s="903"/>
      <c r="AE46" s="903"/>
      <c r="AF46" s="39"/>
      <c r="AG46" s="902"/>
      <c r="AH46" s="902"/>
      <c r="AI46" s="902"/>
      <c r="AJ46" s="903"/>
      <c r="AK46" s="903"/>
      <c r="AL46" s="903"/>
      <c r="AM46" s="903"/>
      <c r="AN46" s="903"/>
      <c r="AO46" s="39"/>
      <c r="AP46" s="902"/>
      <c r="AQ46" s="902"/>
      <c r="AR46" s="902"/>
      <c r="AS46" s="903"/>
      <c r="AT46" s="903"/>
      <c r="AU46" s="903"/>
      <c r="AV46" s="903"/>
      <c r="AW46" s="903"/>
      <c r="AX46" s="39"/>
      <c r="AY46" s="902"/>
      <c r="AZ46" s="902"/>
      <c r="BA46" s="902"/>
      <c r="BB46" s="903"/>
      <c r="BC46" s="903"/>
      <c r="BD46" s="903"/>
      <c r="BE46" s="903"/>
      <c r="BF46" s="903"/>
      <c r="BG46" s="39"/>
      <c r="BH46" s="902"/>
      <c r="BI46" s="902"/>
      <c r="BJ46" s="902"/>
      <c r="BK46" s="903"/>
      <c r="BL46" s="903"/>
      <c r="BM46" s="903"/>
      <c r="BN46" s="903"/>
      <c r="BO46" s="903"/>
      <c r="BP46" s="39"/>
      <c r="BQ46" s="902"/>
      <c r="BR46" s="902"/>
      <c r="BS46" s="902"/>
      <c r="BT46" s="903"/>
      <c r="BU46" s="903"/>
      <c r="BV46" s="903"/>
      <c r="BW46" s="903"/>
      <c r="BX46" s="903"/>
      <c r="BY46" s="39"/>
      <c r="BZ46" s="902"/>
      <c r="CA46" s="902"/>
      <c r="CB46" s="902"/>
      <c r="CC46" s="903"/>
      <c r="CD46" s="903"/>
      <c r="CE46" s="903"/>
      <c r="CF46" s="903"/>
      <c r="CG46" s="903"/>
      <c r="CH46" s="39"/>
      <c r="CI46" s="902"/>
      <c r="CJ46" s="902"/>
      <c r="CK46" s="902"/>
      <c r="CL46" s="903"/>
      <c r="CM46" s="903"/>
      <c r="CN46" s="903"/>
      <c r="CO46" s="903"/>
      <c r="CP46" s="903"/>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40"/>
    </row>
    <row r="47" spans="2:231" x14ac:dyDescent="0.25">
      <c r="B47" s="939"/>
      <c r="C47" s="39"/>
      <c r="D47" s="936"/>
      <c r="E47" s="39"/>
      <c r="F47" s="902" t="s">
        <v>7</v>
      </c>
      <c r="G47" s="902"/>
      <c r="H47" s="902"/>
      <c r="I47" s="903" t="s">
        <v>312</v>
      </c>
      <c r="J47" s="903"/>
      <c r="K47" s="903"/>
      <c r="L47" s="903"/>
      <c r="M47" s="903"/>
      <c r="N47" s="39"/>
      <c r="O47" s="902" t="s">
        <v>7</v>
      </c>
      <c r="P47" s="902"/>
      <c r="Q47" s="902"/>
      <c r="R47" s="903" t="s">
        <v>587</v>
      </c>
      <c r="S47" s="903"/>
      <c r="T47" s="903"/>
      <c r="U47" s="903"/>
      <c r="V47" s="903"/>
      <c r="W47" s="39"/>
      <c r="X47" s="902" t="s">
        <v>7</v>
      </c>
      <c r="Y47" s="902"/>
      <c r="Z47" s="902"/>
      <c r="AA47" s="903" t="s">
        <v>589</v>
      </c>
      <c r="AB47" s="903"/>
      <c r="AC47" s="903"/>
      <c r="AD47" s="903"/>
      <c r="AE47" s="903"/>
      <c r="AF47" s="39"/>
      <c r="AG47" s="902" t="s">
        <v>7</v>
      </c>
      <c r="AH47" s="902"/>
      <c r="AI47" s="902"/>
      <c r="AJ47" s="903" t="s">
        <v>71</v>
      </c>
      <c r="AK47" s="903"/>
      <c r="AL47" s="903"/>
      <c r="AM47" s="903"/>
      <c r="AN47" s="903"/>
      <c r="AO47" s="39"/>
      <c r="AP47" s="902" t="s">
        <v>7</v>
      </c>
      <c r="AQ47" s="902"/>
      <c r="AR47" s="902"/>
      <c r="AS47" s="903" t="s">
        <v>590</v>
      </c>
      <c r="AT47" s="903"/>
      <c r="AU47" s="903"/>
      <c r="AV47" s="903"/>
      <c r="AW47" s="903"/>
      <c r="AX47" s="39"/>
      <c r="AY47" s="902" t="s">
        <v>7</v>
      </c>
      <c r="AZ47" s="902"/>
      <c r="BA47" s="902"/>
      <c r="BB47" s="903" t="s">
        <v>591</v>
      </c>
      <c r="BC47" s="903"/>
      <c r="BD47" s="903"/>
      <c r="BE47" s="903"/>
      <c r="BF47" s="903"/>
      <c r="BG47" s="39"/>
      <c r="BH47" s="902" t="s">
        <v>7</v>
      </c>
      <c r="BI47" s="902"/>
      <c r="BJ47" s="902"/>
      <c r="BK47" s="903" t="s">
        <v>953</v>
      </c>
      <c r="BL47" s="903"/>
      <c r="BM47" s="903"/>
      <c r="BN47" s="903"/>
      <c r="BO47" s="903"/>
      <c r="BP47" s="39"/>
      <c r="BQ47" s="902" t="s">
        <v>7</v>
      </c>
      <c r="BR47" s="902"/>
      <c r="BS47" s="902"/>
      <c r="BT47" s="903" t="s">
        <v>595</v>
      </c>
      <c r="BU47" s="903"/>
      <c r="BV47" s="903"/>
      <c r="BW47" s="903"/>
      <c r="BX47" s="903"/>
      <c r="BY47" s="39"/>
      <c r="BZ47" s="902" t="s">
        <v>7</v>
      </c>
      <c r="CA47" s="902"/>
      <c r="CB47" s="902"/>
      <c r="CC47" s="903" t="s">
        <v>494</v>
      </c>
      <c r="CD47" s="903"/>
      <c r="CE47" s="903"/>
      <c r="CF47" s="903"/>
      <c r="CG47" s="903"/>
      <c r="CH47" s="39"/>
      <c r="CI47" s="902" t="s">
        <v>7</v>
      </c>
      <c r="CJ47" s="902"/>
      <c r="CK47" s="902"/>
      <c r="CL47" s="903" t="s">
        <v>613</v>
      </c>
      <c r="CM47" s="903"/>
      <c r="CN47" s="903"/>
      <c r="CO47" s="903"/>
      <c r="CP47" s="903"/>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40"/>
    </row>
    <row r="48" spans="2:231" x14ac:dyDescent="0.25">
      <c r="B48" s="939"/>
      <c r="C48" s="39"/>
      <c r="D48" s="936"/>
      <c r="E48" s="39"/>
      <c r="F48" s="902"/>
      <c r="G48" s="902"/>
      <c r="H48" s="902"/>
      <c r="I48" s="903"/>
      <c r="J48" s="903"/>
      <c r="K48" s="903"/>
      <c r="L48" s="903"/>
      <c r="M48" s="903"/>
      <c r="N48" s="39"/>
      <c r="O48" s="902"/>
      <c r="P48" s="902"/>
      <c r="Q48" s="902"/>
      <c r="R48" s="903"/>
      <c r="S48" s="903"/>
      <c r="T48" s="903"/>
      <c r="U48" s="903"/>
      <c r="V48" s="903"/>
      <c r="W48" s="39"/>
      <c r="X48" s="902"/>
      <c r="Y48" s="902"/>
      <c r="Z48" s="902"/>
      <c r="AA48" s="903"/>
      <c r="AB48" s="903"/>
      <c r="AC48" s="903"/>
      <c r="AD48" s="903"/>
      <c r="AE48" s="903"/>
      <c r="AF48" s="39"/>
      <c r="AG48" s="902"/>
      <c r="AH48" s="902"/>
      <c r="AI48" s="902"/>
      <c r="AJ48" s="903"/>
      <c r="AK48" s="903"/>
      <c r="AL48" s="903"/>
      <c r="AM48" s="903"/>
      <c r="AN48" s="903"/>
      <c r="AO48" s="39"/>
      <c r="AP48" s="902"/>
      <c r="AQ48" s="902"/>
      <c r="AR48" s="902"/>
      <c r="AS48" s="903"/>
      <c r="AT48" s="903"/>
      <c r="AU48" s="903"/>
      <c r="AV48" s="903"/>
      <c r="AW48" s="903"/>
      <c r="AX48" s="39"/>
      <c r="AY48" s="902"/>
      <c r="AZ48" s="902"/>
      <c r="BA48" s="902"/>
      <c r="BB48" s="903"/>
      <c r="BC48" s="903"/>
      <c r="BD48" s="903"/>
      <c r="BE48" s="903"/>
      <c r="BF48" s="903"/>
      <c r="BG48" s="39"/>
      <c r="BH48" s="902"/>
      <c r="BI48" s="902"/>
      <c r="BJ48" s="902"/>
      <c r="BK48" s="903"/>
      <c r="BL48" s="903"/>
      <c r="BM48" s="903"/>
      <c r="BN48" s="903"/>
      <c r="BO48" s="903"/>
      <c r="BP48" s="39"/>
      <c r="BQ48" s="902"/>
      <c r="BR48" s="902"/>
      <c r="BS48" s="902"/>
      <c r="BT48" s="903"/>
      <c r="BU48" s="903"/>
      <c r="BV48" s="903"/>
      <c r="BW48" s="903"/>
      <c r="BX48" s="903"/>
      <c r="BY48" s="39"/>
      <c r="BZ48" s="902"/>
      <c r="CA48" s="902"/>
      <c r="CB48" s="902"/>
      <c r="CC48" s="903"/>
      <c r="CD48" s="903"/>
      <c r="CE48" s="903"/>
      <c r="CF48" s="903"/>
      <c r="CG48" s="903"/>
      <c r="CH48" s="39"/>
      <c r="CI48" s="902"/>
      <c r="CJ48" s="902"/>
      <c r="CK48" s="902"/>
      <c r="CL48" s="903"/>
      <c r="CM48" s="903"/>
      <c r="CN48" s="903"/>
      <c r="CO48" s="903"/>
      <c r="CP48" s="903"/>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40"/>
    </row>
    <row r="49" spans="2:231" ht="16.5" thickBot="1" x14ac:dyDescent="0.3">
      <c r="B49" s="939"/>
      <c r="C49" s="39"/>
      <c r="D49" s="937"/>
      <c r="E49" s="39"/>
      <c r="F49" s="902"/>
      <c r="G49" s="902"/>
      <c r="H49" s="902"/>
      <c r="I49" s="903"/>
      <c r="J49" s="903"/>
      <c r="K49" s="903"/>
      <c r="L49" s="903"/>
      <c r="M49" s="903"/>
      <c r="N49" s="39"/>
      <c r="O49" s="902"/>
      <c r="P49" s="902"/>
      <c r="Q49" s="902"/>
      <c r="R49" s="903"/>
      <c r="S49" s="903"/>
      <c r="T49" s="903"/>
      <c r="U49" s="903"/>
      <c r="V49" s="903"/>
      <c r="W49" s="39"/>
      <c r="X49" s="902"/>
      <c r="Y49" s="902"/>
      <c r="Z49" s="902"/>
      <c r="AA49" s="903"/>
      <c r="AB49" s="903"/>
      <c r="AC49" s="903"/>
      <c r="AD49" s="903"/>
      <c r="AE49" s="903"/>
      <c r="AF49" s="39"/>
      <c r="AG49" s="902"/>
      <c r="AH49" s="902"/>
      <c r="AI49" s="902"/>
      <c r="AJ49" s="903"/>
      <c r="AK49" s="903"/>
      <c r="AL49" s="903"/>
      <c r="AM49" s="903"/>
      <c r="AN49" s="903"/>
      <c r="AO49" s="39"/>
      <c r="AP49" s="902"/>
      <c r="AQ49" s="902"/>
      <c r="AR49" s="902"/>
      <c r="AS49" s="903"/>
      <c r="AT49" s="903"/>
      <c r="AU49" s="903"/>
      <c r="AV49" s="903"/>
      <c r="AW49" s="903"/>
      <c r="AX49" s="39"/>
      <c r="AY49" s="902"/>
      <c r="AZ49" s="902"/>
      <c r="BA49" s="902"/>
      <c r="BB49" s="903"/>
      <c r="BC49" s="903"/>
      <c r="BD49" s="903"/>
      <c r="BE49" s="903"/>
      <c r="BF49" s="903"/>
      <c r="BG49" s="39"/>
      <c r="BH49" s="902"/>
      <c r="BI49" s="902"/>
      <c r="BJ49" s="902"/>
      <c r="BK49" s="903"/>
      <c r="BL49" s="903"/>
      <c r="BM49" s="903"/>
      <c r="BN49" s="903"/>
      <c r="BO49" s="903"/>
      <c r="BP49" s="39"/>
      <c r="BQ49" s="902"/>
      <c r="BR49" s="902"/>
      <c r="BS49" s="902"/>
      <c r="BT49" s="903"/>
      <c r="BU49" s="903"/>
      <c r="BV49" s="903"/>
      <c r="BW49" s="903"/>
      <c r="BX49" s="903"/>
      <c r="BY49" s="39"/>
      <c r="BZ49" s="902"/>
      <c r="CA49" s="902"/>
      <c r="CB49" s="902"/>
      <c r="CC49" s="903"/>
      <c r="CD49" s="903"/>
      <c r="CE49" s="903"/>
      <c r="CF49" s="903"/>
      <c r="CG49" s="903"/>
      <c r="CH49" s="39"/>
      <c r="CI49" s="902"/>
      <c r="CJ49" s="902"/>
      <c r="CK49" s="902"/>
      <c r="CL49" s="903"/>
      <c r="CM49" s="903"/>
      <c r="CN49" s="903"/>
      <c r="CO49" s="903"/>
      <c r="CP49" s="903"/>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40"/>
    </row>
    <row r="50" spans="2:231" x14ac:dyDescent="0.25">
      <c r="B50" s="9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40"/>
    </row>
    <row r="51" spans="2:231" ht="16.5" thickBot="1" x14ac:dyDescent="0.3">
      <c r="B51" s="9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40"/>
    </row>
    <row r="52" spans="2:231" ht="15.75" customHeight="1" x14ac:dyDescent="0.25">
      <c r="B52" s="939"/>
      <c r="C52" s="39"/>
      <c r="D52" s="935" t="s">
        <v>977</v>
      </c>
      <c r="E52" s="39"/>
      <c r="F52" s="906" t="s">
        <v>8</v>
      </c>
      <c r="G52" s="906"/>
      <c r="H52" s="906"/>
      <c r="I52" s="906"/>
      <c r="J52" s="906"/>
      <c r="K52" s="906"/>
      <c r="L52" s="906"/>
      <c r="M52" s="906"/>
      <c r="N52" s="39"/>
      <c r="O52" s="906" t="s">
        <v>8</v>
      </c>
      <c r="P52" s="906"/>
      <c r="Q52" s="906"/>
      <c r="R52" s="906"/>
      <c r="S52" s="906"/>
      <c r="T52" s="906"/>
      <c r="U52" s="906"/>
      <c r="V52" s="906"/>
      <c r="W52" s="39"/>
      <c r="X52" s="906" t="s">
        <v>8</v>
      </c>
      <c r="Y52" s="906"/>
      <c r="Z52" s="906"/>
      <c r="AA52" s="906"/>
      <c r="AB52" s="906"/>
      <c r="AC52" s="906"/>
      <c r="AD52" s="906"/>
      <c r="AE52" s="906"/>
      <c r="AF52" s="39"/>
      <c r="AG52" s="906" t="s">
        <v>8</v>
      </c>
      <c r="AH52" s="906"/>
      <c r="AI52" s="906"/>
      <c r="AJ52" s="906"/>
      <c r="AK52" s="906"/>
      <c r="AL52" s="906"/>
      <c r="AM52" s="906"/>
      <c r="AN52" s="906"/>
      <c r="AO52" s="39"/>
      <c r="AP52" s="906" t="s">
        <v>8</v>
      </c>
      <c r="AQ52" s="906"/>
      <c r="AR52" s="906"/>
      <c r="AS52" s="906"/>
      <c r="AT52" s="906"/>
      <c r="AU52" s="906"/>
      <c r="AV52" s="906"/>
      <c r="AW52" s="906"/>
      <c r="AX52" s="39"/>
      <c r="AY52" s="906" t="s">
        <v>8</v>
      </c>
      <c r="AZ52" s="906"/>
      <c r="BA52" s="906"/>
      <c r="BB52" s="906"/>
      <c r="BC52" s="906"/>
      <c r="BD52" s="906"/>
      <c r="BE52" s="906"/>
      <c r="BF52" s="906"/>
      <c r="BG52" s="39"/>
      <c r="BH52" s="906" t="s">
        <v>8</v>
      </c>
      <c r="BI52" s="906"/>
      <c r="BJ52" s="906"/>
      <c r="BK52" s="906"/>
      <c r="BL52" s="906"/>
      <c r="BM52" s="906"/>
      <c r="BN52" s="906"/>
      <c r="BO52" s="906"/>
      <c r="BP52" s="39"/>
      <c r="BQ52" s="906" t="s">
        <v>8</v>
      </c>
      <c r="BR52" s="906"/>
      <c r="BS52" s="906"/>
      <c r="BT52" s="906"/>
      <c r="BU52" s="906"/>
      <c r="BV52" s="906"/>
      <c r="BW52" s="906"/>
      <c r="BX52" s="906"/>
      <c r="BY52" s="39"/>
      <c r="BZ52" s="906" t="s">
        <v>8</v>
      </c>
      <c r="CA52" s="906"/>
      <c r="CB52" s="906"/>
      <c r="CC52" s="906"/>
      <c r="CD52" s="906"/>
      <c r="CE52" s="906"/>
      <c r="CF52" s="906"/>
      <c r="CG52" s="906"/>
      <c r="CH52" s="39"/>
      <c r="CI52" s="906" t="s">
        <v>8</v>
      </c>
      <c r="CJ52" s="906"/>
      <c r="CK52" s="906"/>
      <c r="CL52" s="906"/>
      <c r="CM52" s="906"/>
      <c r="CN52" s="906"/>
      <c r="CO52" s="906"/>
      <c r="CP52" s="906"/>
      <c r="CQ52" s="39"/>
      <c r="CR52" s="906" t="s">
        <v>8</v>
      </c>
      <c r="CS52" s="906"/>
      <c r="CT52" s="906"/>
      <c r="CU52" s="906"/>
      <c r="CV52" s="906"/>
      <c r="CW52" s="906"/>
      <c r="CX52" s="906"/>
      <c r="CY52" s="906"/>
      <c r="CZ52" s="39"/>
      <c r="DA52" s="906" t="s">
        <v>8</v>
      </c>
      <c r="DB52" s="906"/>
      <c r="DC52" s="906"/>
      <c r="DD52" s="906"/>
      <c r="DE52" s="906"/>
      <c r="DF52" s="906"/>
      <c r="DG52" s="906"/>
      <c r="DH52" s="906"/>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40"/>
    </row>
    <row r="53" spans="2:231" x14ac:dyDescent="0.25">
      <c r="B53" s="939"/>
      <c r="C53" s="39"/>
      <c r="D53" s="936"/>
      <c r="E53" s="39"/>
      <c r="F53" s="905" t="s">
        <v>0</v>
      </c>
      <c r="G53" s="905"/>
      <c r="H53" s="905"/>
      <c r="I53" s="905" t="s">
        <v>1</v>
      </c>
      <c r="J53" s="905"/>
      <c r="K53" s="905"/>
      <c r="L53" s="905"/>
      <c r="M53" s="905"/>
      <c r="N53" s="39"/>
      <c r="O53" s="905" t="s">
        <v>0</v>
      </c>
      <c r="P53" s="905"/>
      <c r="Q53" s="905"/>
      <c r="R53" s="905" t="s">
        <v>1</v>
      </c>
      <c r="S53" s="905"/>
      <c r="T53" s="905"/>
      <c r="U53" s="905"/>
      <c r="V53" s="905"/>
      <c r="W53" s="39"/>
      <c r="X53" s="905" t="s">
        <v>0</v>
      </c>
      <c r="Y53" s="905"/>
      <c r="Z53" s="905"/>
      <c r="AA53" s="905" t="s">
        <v>1</v>
      </c>
      <c r="AB53" s="905"/>
      <c r="AC53" s="905"/>
      <c r="AD53" s="905"/>
      <c r="AE53" s="905"/>
      <c r="AF53" s="39"/>
      <c r="AG53" s="905" t="s">
        <v>0</v>
      </c>
      <c r="AH53" s="905"/>
      <c r="AI53" s="905"/>
      <c r="AJ53" s="905" t="s">
        <v>1</v>
      </c>
      <c r="AK53" s="905"/>
      <c r="AL53" s="905"/>
      <c r="AM53" s="905"/>
      <c r="AN53" s="905"/>
      <c r="AO53" s="39"/>
      <c r="AP53" s="905" t="s">
        <v>0</v>
      </c>
      <c r="AQ53" s="905"/>
      <c r="AR53" s="905"/>
      <c r="AS53" s="905" t="s">
        <v>1</v>
      </c>
      <c r="AT53" s="905"/>
      <c r="AU53" s="905"/>
      <c r="AV53" s="905"/>
      <c r="AW53" s="905"/>
      <c r="AX53" s="39"/>
      <c r="AY53" s="905" t="s">
        <v>0</v>
      </c>
      <c r="AZ53" s="905"/>
      <c r="BA53" s="905"/>
      <c r="BB53" s="905" t="s">
        <v>1</v>
      </c>
      <c r="BC53" s="905"/>
      <c r="BD53" s="905"/>
      <c r="BE53" s="905"/>
      <c r="BF53" s="905"/>
      <c r="BG53" s="39"/>
      <c r="BH53" s="905" t="s">
        <v>0</v>
      </c>
      <c r="BI53" s="905"/>
      <c r="BJ53" s="905"/>
      <c r="BK53" s="905" t="s">
        <v>1</v>
      </c>
      <c r="BL53" s="905"/>
      <c r="BM53" s="905"/>
      <c r="BN53" s="905"/>
      <c r="BO53" s="905"/>
      <c r="BP53" s="39"/>
      <c r="BQ53" s="905" t="s">
        <v>0</v>
      </c>
      <c r="BR53" s="905"/>
      <c r="BS53" s="905"/>
      <c r="BT53" s="905" t="s">
        <v>1</v>
      </c>
      <c r="BU53" s="905"/>
      <c r="BV53" s="905"/>
      <c r="BW53" s="905"/>
      <c r="BX53" s="905"/>
      <c r="BY53" s="39"/>
      <c r="BZ53" s="905" t="s">
        <v>0</v>
      </c>
      <c r="CA53" s="905"/>
      <c r="CB53" s="905"/>
      <c r="CC53" s="905" t="s">
        <v>1</v>
      </c>
      <c r="CD53" s="905"/>
      <c r="CE53" s="905"/>
      <c r="CF53" s="905"/>
      <c r="CG53" s="905"/>
      <c r="CH53" s="39"/>
      <c r="CI53" s="905" t="s">
        <v>0</v>
      </c>
      <c r="CJ53" s="905"/>
      <c r="CK53" s="905"/>
      <c r="CL53" s="905" t="s">
        <v>1</v>
      </c>
      <c r="CM53" s="905"/>
      <c r="CN53" s="905"/>
      <c r="CO53" s="905"/>
      <c r="CP53" s="905"/>
      <c r="CQ53" s="39"/>
      <c r="CR53" s="905" t="s">
        <v>0</v>
      </c>
      <c r="CS53" s="905"/>
      <c r="CT53" s="905"/>
      <c r="CU53" s="905" t="s">
        <v>1</v>
      </c>
      <c r="CV53" s="905"/>
      <c r="CW53" s="905"/>
      <c r="CX53" s="905"/>
      <c r="CY53" s="905"/>
      <c r="CZ53" s="39"/>
      <c r="DA53" s="905" t="s">
        <v>0</v>
      </c>
      <c r="DB53" s="905"/>
      <c r="DC53" s="905"/>
      <c r="DD53" s="905" t="s">
        <v>1</v>
      </c>
      <c r="DE53" s="905"/>
      <c r="DF53" s="905"/>
      <c r="DG53" s="905"/>
      <c r="DH53" s="905"/>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40"/>
    </row>
    <row r="54" spans="2:231" x14ac:dyDescent="0.25">
      <c r="B54" s="939"/>
      <c r="C54" s="39"/>
      <c r="D54" s="936"/>
      <c r="E54" s="39"/>
      <c r="F54" s="902" t="s">
        <v>2</v>
      </c>
      <c r="G54" s="902"/>
      <c r="H54" s="902"/>
      <c r="I54" s="903" t="s">
        <v>106</v>
      </c>
      <c r="J54" s="903"/>
      <c r="K54" s="903"/>
      <c r="L54" s="903"/>
      <c r="M54" s="903"/>
      <c r="N54" s="39"/>
      <c r="O54" s="902" t="s">
        <v>2</v>
      </c>
      <c r="P54" s="902"/>
      <c r="Q54" s="902"/>
      <c r="R54" s="903" t="s">
        <v>315</v>
      </c>
      <c r="S54" s="903"/>
      <c r="T54" s="903"/>
      <c r="U54" s="903"/>
      <c r="V54" s="903"/>
      <c r="W54" s="39"/>
      <c r="X54" s="902" t="s">
        <v>2</v>
      </c>
      <c r="Y54" s="902"/>
      <c r="Z54" s="902"/>
      <c r="AA54" s="903" t="s">
        <v>108</v>
      </c>
      <c r="AB54" s="903"/>
      <c r="AC54" s="903"/>
      <c r="AD54" s="903"/>
      <c r="AE54" s="903"/>
      <c r="AF54" s="39"/>
      <c r="AG54" s="902" t="s">
        <v>2</v>
      </c>
      <c r="AH54" s="902"/>
      <c r="AI54" s="902"/>
      <c r="AJ54" s="903" t="s">
        <v>107</v>
      </c>
      <c r="AK54" s="903"/>
      <c r="AL54" s="903"/>
      <c r="AM54" s="903"/>
      <c r="AN54" s="903"/>
      <c r="AO54" s="39"/>
      <c r="AP54" s="902" t="s">
        <v>2</v>
      </c>
      <c r="AQ54" s="902"/>
      <c r="AR54" s="902"/>
      <c r="AS54" s="903" t="s">
        <v>109</v>
      </c>
      <c r="AT54" s="903"/>
      <c r="AU54" s="903"/>
      <c r="AV54" s="903"/>
      <c r="AW54" s="903"/>
      <c r="AX54" s="39"/>
      <c r="AY54" s="902" t="s">
        <v>2</v>
      </c>
      <c r="AZ54" s="902"/>
      <c r="BA54" s="902"/>
      <c r="BB54" s="903" t="s">
        <v>119</v>
      </c>
      <c r="BC54" s="903"/>
      <c r="BD54" s="903"/>
      <c r="BE54" s="903"/>
      <c r="BF54" s="903"/>
      <c r="BG54" s="39"/>
      <c r="BH54" s="902" t="s">
        <v>2</v>
      </c>
      <c r="BI54" s="902"/>
      <c r="BJ54" s="902"/>
      <c r="BK54" s="903" t="s">
        <v>82</v>
      </c>
      <c r="BL54" s="903"/>
      <c r="BM54" s="903"/>
      <c r="BN54" s="903"/>
      <c r="BO54" s="903"/>
      <c r="BP54" s="39"/>
      <c r="BQ54" s="902" t="s">
        <v>2</v>
      </c>
      <c r="BR54" s="902"/>
      <c r="BS54" s="902"/>
      <c r="BT54" s="903" t="s">
        <v>84</v>
      </c>
      <c r="BU54" s="903"/>
      <c r="BV54" s="903"/>
      <c r="BW54" s="903"/>
      <c r="BX54" s="903"/>
      <c r="BY54" s="39"/>
      <c r="BZ54" s="902" t="s">
        <v>2</v>
      </c>
      <c r="CA54" s="902"/>
      <c r="CB54" s="902"/>
      <c r="CC54" s="903" t="s">
        <v>87</v>
      </c>
      <c r="CD54" s="903"/>
      <c r="CE54" s="903"/>
      <c r="CF54" s="903"/>
      <c r="CG54" s="903"/>
      <c r="CH54" s="39"/>
      <c r="CI54" s="902" t="s">
        <v>2</v>
      </c>
      <c r="CJ54" s="902"/>
      <c r="CK54" s="902"/>
      <c r="CL54" s="903" t="s">
        <v>89</v>
      </c>
      <c r="CM54" s="903"/>
      <c r="CN54" s="903"/>
      <c r="CO54" s="903"/>
      <c r="CP54" s="903"/>
      <c r="CQ54" s="39"/>
      <c r="CR54" s="902" t="s">
        <v>2</v>
      </c>
      <c r="CS54" s="902"/>
      <c r="CT54" s="902"/>
      <c r="CU54" s="903" t="s">
        <v>91</v>
      </c>
      <c r="CV54" s="903"/>
      <c r="CW54" s="903"/>
      <c r="CX54" s="903"/>
      <c r="CY54" s="903"/>
      <c r="CZ54" s="39"/>
      <c r="DA54" s="902" t="s">
        <v>2</v>
      </c>
      <c r="DB54" s="902"/>
      <c r="DC54" s="902"/>
      <c r="DD54" s="903" t="s">
        <v>313</v>
      </c>
      <c r="DE54" s="903"/>
      <c r="DF54" s="903"/>
      <c r="DG54" s="903"/>
      <c r="DH54" s="903"/>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c r="EO54" s="39"/>
      <c r="EP54" s="39"/>
      <c r="EQ54" s="39"/>
      <c r="ER54" s="39"/>
      <c r="ES54" s="39"/>
      <c r="ET54" s="39"/>
      <c r="EU54" s="39"/>
      <c r="EV54" s="39"/>
      <c r="EW54" s="39"/>
      <c r="EX54" s="39"/>
      <c r="EY54" s="39"/>
      <c r="EZ54" s="39"/>
      <c r="FA54" s="39"/>
      <c r="FB54" s="39"/>
      <c r="FC54" s="39"/>
      <c r="FD54" s="39"/>
      <c r="FE54" s="39"/>
      <c r="FF54" s="39"/>
      <c r="FG54" s="39"/>
      <c r="FH54" s="39"/>
      <c r="FI54" s="39"/>
      <c r="FJ54" s="39"/>
      <c r="FK54" s="39"/>
      <c r="FL54" s="39"/>
      <c r="FM54" s="39"/>
      <c r="FN54" s="39"/>
      <c r="FO54" s="39"/>
      <c r="FP54" s="39"/>
      <c r="FQ54" s="39"/>
      <c r="FR54" s="39"/>
      <c r="FS54" s="39"/>
      <c r="FT54" s="39"/>
      <c r="FU54" s="39"/>
      <c r="FV54" s="39"/>
      <c r="FW54" s="39"/>
      <c r="FX54" s="39"/>
      <c r="FY54" s="39"/>
      <c r="FZ54" s="39"/>
      <c r="GA54" s="39"/>
      <c r="GB54" s="39"/>
      <c r="GC54" s="39"/>
      <c r="GD54" s="39"/>
      <c r="GE54" s="39"/>
      <c r="GF54" s="39"/>
      <c r="GG54" s="39"/>
      <c r="GH54" s="39"/>
      <c r="GI54" s="39"/>
      <c r="GJ54" s="39"/>
      <c r="GK54" s="39"/>
      <c r="GL54" s="39"/>
      <c r="GM54" s="39"/>
      <c r="GN54" s="39"/>
      <c r="GO54" s="39"/>
      <c r="GP54" s="39"/>
      <c r="GQ54" s="39"/>
      <c r="GR54" s="39"/>
      <c r="GS54" s="39"/>
      <c r="GT54" s="39"/>
      <c r="GU54" s="39"/>
      <c r="GV54" s="39"/>
      <c r="GW54" s="39"/>
      <c r="GX54" s="39"/>
      <c r="GY54" s="39"/>
      <c r="GZ54" s="39"/>
      <c r="HA54" s="39"/>
      <c r="HB54" s="39"/>
      <c r="HC54" s="39"/>
      <c r="HD54" s="39"/>
      <c r="HE54" s="39"/>
      <c r="HF54" s="39"/>
      <c r="HG54" s="39"/>
      <c r="HH54" s="39"/>
      <c r="HI54" s="39"/>
      <c r="HJ54" s="39"/>
      <c r="HK54" s="39"/>
      <c r="HL54" s="39"/>
      <c r="HM54" s="39"/>
      <c r="HN54" s="39"/>
      <c r="HO54" s="39"/>
      <c r="HP54" s="39"/>
      <c r="HQ54" s="39"/>
      <c r="HR54" s="39"/>
      <c r="HS54" s="39"/>
      <c r="HT54" s="39"/>
      <c r="HU54" s="39"/>
      <c r="HV54" s="39"/>
      <c r="HW54" s="40"/>
    </row>
    <row r="55" spans="2:231" x14ac:dyDescent="0.25">
      <c r="B55" s="939"/>
      <c r="C55" s="39"/>
      <c r="D55" s="936"/>
      <c r="E55" s="39"/>
      <c r="F55" s="902"/>
      <c r="G55" s="902"/>
      <c r="H55" s="902"/>
      <c r="I55" s="903"/>
      <c r="J55" s="903"/>
      <c r="K55" s="903"/>
      <c r="L55" s="903"/>
      <c r="M55" s="903"/>
      <c r="N55" s="39"/>
      <c r="O55" s="902"/>
      <c r="P55" s="902"/>
      <c r="Q55" s="902"/>
      <c r="R55" s="903"/>
      <c r="S55" s="903"/>
      <c r="T55" s="903"/>
      <c r="U55" s="903"/>
      <c r="V55" s="903"/>
      <c r="W55" s="39"/>
      <c r="X55" s="902"/>
      <c r="Y55" s="902"/>
      <c r="Z55" s="902"/>
      <c r="AA55" s="903"/>
      <c r="AB55" s="903"/>
      <c r="AC55" s="903"/>
      <c r="AD55" s="903"/>
      <c r="AE55" s="903"/>
      <c r="AF55" s="39"/>
      <c r="AG55" s="902"/>
      <c r="AH55" s="902"/>
      <c r="AI55" s="902"/>
      <c r="AJ55" s="903"/>
      <c r="AK55" s="903"/>
      <c r="AL55" s="903"/>
      <c r="AM55" s="903"/>
      <c r="AN55" s="903"/>
      <c r="AO55" s="39"/>
      <c r="AP55" s="902"/>
      <c r="AQ55" s="902"/>
      <c r="AR55" s="902"/>
      <c r="AS55" s="903"/>
      <c r="AT55" s="903"/>
      <c r="AU55" s="903"/>
      <c r="AV55" s="903"/>
      <c r="AW55" s="903"/>
      <c r="AX55" s="39"/>
      <c r="AY55" s="902"/>
      <c r="AZ55" s="902"/>
      <c r="BA55" s="902"/>
      <c r="BB55" s="903"/>
      <c r="BC55" s="903"/>
      <c r="BD55" s="903"/>
      <c r="BE55" s="903"/>
      <c r="BF55" s="903"/>
      <c r="BG55" s="39"/>
      <c r="BH55" s="902"/>
      <c r="BI55" s="902"/>
      <c r="BJ55" s="902"/>
      <c r="BK55" s="903"/>
      <c r="BL55" s="903"/>
      <c r="BM55" s="903"/>
      <c r="BN55" s="903"/>
      <c r="BO55" s="903"/>
      <c r="BP55" s="39"/>
      <c r="BQ55" s="902"/>
      <c r="BR55" s="902"/>
      <c r="BS55" s="902"/>
      <c r="BT55" s="903"/>
      <c r="BU55" s="903"/>
      <c r="BV55" s="903"/>
      <c r="BW55" s="903"/>
      <c r="BX55" s="903"/>
      <c r="BY55" s="39"/>
      <c r="BZ55" s="902"/>
      <c r="CA55" s="902"/>
      <c r="CB55" s="902"/>
      <c r="CC55" s="903"/>
      <c r="CD55" s="903"/>
      <c r="CE55" s="903"/>
      <c r="CF55" s="903"/>
      <c r="CG55" s="903"/>
      <c r="CH55" s="39"/>
      <c r="CI55" s="902"/>
      <c r="CJ55" s="902"/>
      <c r="CK55" s="902"/>
      <c r="CL55" s="903"/>
      <c r="CM55" s="903"/>
      <c r="CN55" s="903"/>
      <c r="CO55" s="903"/>
      <c r="CP55" s="903"/>
      <c r="CQ55" s="39"/>
      <c r="CR55" s="902"/>
      <c r="CS55" s="902"/>
      <c r="CT55" s="902"/>
      <c r="CU55" s="903"/>
      <c r="CV55" s="903"/>
      <c r="CW55" s="903"/>
      <c r="CX55" s="903"/>
      <c r="CY55" s="903"/>
      <c r="CZ55" s="39"/>
      <c r="DA55" s="902"/>
      <c r="DB55" s="902"/>
      <c r="DC55" s="902"/>
      <c r="DD55" s="903"/>
      <c r="DE55" s="903"/>
      <c r="DF55" s="903"/>
      <c r="DG55" s="903"/>
      <c r="DH55" s="903"/>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9"/>
      <c r="GO55" s="39"/>
      <c r="GP55" s="39"/>
      <c r="GQ55" s="39"/>
      <c r="GR55" s="39"/>
      <c r="GS55" s="39"/>
      <c r="GT55" s="39"/>
      <c r="GU55" s="39"/>
      <c r="GV55" s="39"/>
      <c r="GW55" s="39"/>
      <c r="GX55" s="39"/>
      <c r="GY55" s="39"/>
      <c r="GZ55" s="39"/>
      <c r="HA55" s="39"/>
      <c r="HB55" s="39"/>
      <c r="HC55" s="39"/>
      <c r="HD55" s="39"/>
      <c r="HE55" s="39"/>
      <c r="HF55" s="39"/>
      <c r="HG55" s="39"/>
      <c r="HH55" s="39"/>
      <c r="HI55" s="39"/>
      <c r="HJ55" s="39"/>
      <c r="HK55" s="39"/>
      <c r="HL55" s="39"/>
      <c r="HM55" s="39"/>
      <c r="HN55" s="39"/>
      <c r="HO55" s="39"/>
      <c r="HP55" s="39"/>
      <c r="HQ55" s="39"/>
      <c r="HR55" s="39"/>
      <c r="HS55" s="39"/>
      <c r="HT55" s="39"/>
      <c r="HU55" s="39"/>
      <c r="HV55" s="39"/>
      <c r="HW55" s="40"/>
    </row>
    <row r="56" spans="2:231" x14ac:dyDescent="0.25">
      <c r="B56" s="939"/>
      <c r="C56" s="39"/>
      <c r="D56" s="936"/>
      <c r="E56" s="39"/>
      <c r="F56" s="902"/>
      <c r="G56" s="902"/>
      <c r="H56" s="902"/>
      <c r="I56" s="903"/>
      <c r="J56" s="903"/>
      <c r="K56" s="903"/>
      <c r="L56" s="903"/>
      <c r="M56" s="903"/>
      <c r="N56" s="39"/>
      <c r="O56" s="902"/>
      <c r="P56" s="902"/>
      <c r="Q56" s="902"/>
      <c r="R56" s="903"/>
      <c r="S56" s="903"/>
      <c r="T56" s="903"/>
      <c r="U56" s="903"/>
      <c r="V56" s="903"/>
      <c r="W56" s="39"/>
      <c r="X56" s="902"/>
      <c r="Y56" s="902"/>
      <c r="Z56" s="902"/>
      <c r="AA56" s="903"/>
      <c r="AB56" s="903"/>
      <c r="AC56" s="903"/>
      <c r="AD56" s="903"/>
      <c r="AE56" s="903"/>
      <c r="AF56" s="39"/>
      <c r="AG56" s="902"/>
      <c r="AH56" s="902"/>
      <c r="AI56" s="902"/>
      <c r="AJ56" s="903"/>
      <c r="AK56" s="903"/>
      <c r="AL56" s="903"/>
      <c r="AM56" s="903"/>
      <c r="AN56" s="903"/>
      <c r="AO56" s="39"/>
      <c r="AP56" s="902"/>
      <c r="AQ56" s="902"/>
      <c r="AR56" s="902"/>
      <c r="AS56" s="903"/>
      <c r="AT56" s="903"/>
      <c r="AU56" s="903"/>
      <c r="AV56" s="903"/>
      <c r="AW56" s="903"/>
      <c r="AX56" s="39"/>
      <c r="AY56" s="902"/>
      <c r="AZ56" s="902"/>
      <c r="BA56" s="902"/>
      <c r="BB56" s="903"/>
      <c r="BC56" s="903"/>
      <c r="BD56" s="903"/>
      <c r="BE56" s="903"/>
      <c r="BF56" s="903"/>
      <c r="BG56" s="39"/>
      <c r="BH56" s="902"/>
      <c r="BI56" s="902"/>
      <c r="BJ56" s="902"/>
      <c r="BK56" s="903"/>
      <c r="BL56" s="903"/>
      <c r="BM56" s="903"/>
      <c r="BN56" s="903"/>
      <c r="BO56" s="903"/>
      <c r="BP56" s="39"/>
      <c r="BQ56" s="902"/>
      <c r="BR56" s="902"/>
      <c r="BS56" s="902"/>
      <c r="BT56" s="903"/>
      <c r="BU56" s="903"/>
      <c r="BV56" s="903"/>
      <c r="BW56" s="903"/>
      <c r="BX56" s="903"/>
      <c r="BY56" s="39"/>
      <c r="BZ56" s="902"/>
      <c r="CA56" s="902"/>
      <c r="CB56" s="902"/>
      <c r="CC56" s="903"/>
      <c r="CD56" s="903"/>
      <c r="CE56" s="903"/>
      <c r="CF56" s="903"/>
      <c r="CG56" s="903"/>
      <c r="CH56" s="39"/>
      <c r="CI56" s="902"/>
      <c r="CJ56" s="902"/>
      <c r="CK56" s="902"/>
      <c r="CL56" s="903"/>
      <c r="CM56" s="903"/>
      <c r="CN56" s="903"/>
      <c r="CO56" s="903"/>
      <c r="CP56" s="903"/>
      <c r="CQ56" s="39"/>
      <c r="CR56" s="902"/>
      <c r="CS56" s="902"/>
      <c r="CT56" s="902"/>
      <c r="CU56" s="903"/>
      <c r="CV56" s="903"/>
      <c r="CW56" s="903"/>
      <c r="CX56" s="903"/>
      <c r="CY56" s="903"/>
      <c r="CZ56" s="39"/>
      <c r="DA56" s="902"/>
      <c r="DB56" s="902"/>
      <c r="DC56" s="902"/>
      <c r="DD56" s="903"/>
      <c r="DE56" s="903"/>
      <c r="DF56" s="903"/>
      <c r="DG56" s="903"/>
      <c r="DH56" s="903"/>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9"/>
      <c r="GO56" s="39"/>
      <c r="GP56" s="39"/>
      <c r="GQ56" s="39"/>
      <c r="GR56" s="39"/>
      <c r="GS56" s="39"/>
      <c r="GT56" s="39"/>
      <c r="GU56" s="39"/>
      <c r="GV56" s="39"/>
      <c r="GW56" s="39"/>
      <c r="GX56" s="39"/>
      <c r="GY56" s="39"/>
      <c r="GZ56" s="39"/>
      <c r="HA56" s="39"/>
      <c r="HB56" s="39"/>
      <c r="HC56" s="39"/>
      <c r="HD56" s="39"/>
      <c r="HE56" s="39"/>
      <c r="HF56" s="39"/>
      <c r="HG56" s="39"/>
      <c r="HH56" s="39"/>
      <c r="HI56" s="39"/>
      <c r="HJ56" s="39"/>
      <c r="HK56" s="39"/>
      <c r="HL56" s="39"/>
      <c r="HM56" s="39"/>
      <c r="HN56" s="39"/>
      <c r="HO56" s="39"/>
      <c r="HP56" s="39"/>
      <c r="HQ56" s="39"/>
      <c r="HR56" s="39"/>
      <c r="HS56" s="39"/>
      <c r="HT56" s="39"/>
      <c r="HU56" s="39"/>
      <c r="HV56" s="39"/>
      <c r="HW56" s="40"/>
    </row>
    <row r="57" spans="2:231" x14ac:dyDescent="0.25">
      <c r="B57" s="939"/>
      <c r="C57" s="39"/>
      <c r="D57" s="936"/>
      <c r="E57" s="39"/>
      <c r="F57" s="905" t="s">
        <v>0</v>
      </c>
      <c r="G57" s="905"/>
      <c r="H57" s="905"/>
      <c r="I57" s="905" t="s">
        <v>1</v>
      </c>
      <c r="J57" s="905"/>
      <c r="K57" s="905"/>
      <c r="L57" s="905"/>
      <c r="M57" s="905"/>
      <c r="N57" s="39"/>
      <c r="O57" s="905" t="s">
        <v>0</v>
      </c>
      <c r="P57" s="905"/>
      <c r="Q57" s="905"/>
      <c r="R57" s="905" t="s">
        <v>1</v>
      </c>
      <c r="S57" s="905"/>
      <c r="T57" s="905"/>
      <c r="U57" s="905"/>
      <c r="V57" s="905"/>
      <c r="W57" s="39"/>
      <c r="X57" s="905" t="s">
        <v>0</v>
      </c>
      <c r="Y57" s="905"/>
      <c r="Z57" s="905"/>
      <c r="AA57" s="905" t="s">
        <v>1</v>
      </c>
      <c r="AB57" s="905"/>
      <c r="AC57" s="905"/>
      <c r="AD57" s="905"/>
      <c r="AE57" s="905"/>
      <c r="AF57" s="39"/>
      <c r="AG57" s="905" t="s">
        <v>0</v>
      </c>
      <c r="AH57" s="905"/>
      <c r="AI57" s="905"/>
      <c r="AJ57" s="905" t="s">
        <v>1</v>
      </c>
      <c r="AK57" s="905"/>
      <c r="AL57" s="905"/>
      <c r="AM57" s="905"/>
      <c r="AN57" s="905"/>
      <c r="AO57" s="39"/>
      <c r="AP57" s="905" t="s">
        <v>0</v>
      </c>
      <c r="AQ57" s="905"/>
      <c r="AR57" s="905"/>
      <c r="AS57" s="905" t="s">
        <v>1</v>
      </c>
      <c r="AT57" s="905"/>
      <c r="AU57" s="905"/>
      <c r="AV57" s="905"/>
      <c r="AW57" s="905"/>
      <c r="AX57" s="39"/>
      <c r="AY57" s="905" t="s">
        <v>0</v>
      </c>
      <c r="AZ57" s="905"/>
      <c r="BA57" s="905"/>
      <c r="BB57" s="905" t="s">
        <v>1</v>
      </c>
      <c r="BC57" s="905"/>
      <c r="BD57" s="905"/>
      <c r="BE57" s="905"/>
      <c r="BF57" s="905"/>
      <c r="BG57" s="39"/>
      <c r="BH57" s="905" t="s">
        <v>0</v>
      </c>
      <c r="BI57" s="905"/>
      <c r="BJ57" s="905"/>
      <c r="BK57" s="905" t="s">
        <v>1</v>
      </c>
      <c r="BL57" s="905"/>
      <c r="BM57" s="905"/>
      <c r="BN57" s="905"/>
      <c r="BO57" s="905"/>
      <c r="BP57" s="39"/>
      <c r="BQ57" s="905" t="s">
        <v>0</v>
      </c>
      <c r="BR57" s="905"/>
      <c r="BS57" s="905"/>
      <c r="BT57" s="905" t="s">
        <v>1</v>
      </c>
      <c r="BU57" s="905"/>
      <c r="BV57" s="905"/>
      <c r="BW57" s="905"/>
      <c r="BX57" s="905"/>
      <c r="BY57" s="39"/>
      <c r="BZ57" s="905" t="s">
        <v>0</v>
      </c>
      <c r="CA57" s="905"/>
      <c r="CB57" s="905"/>
      <c r="CC57" s="905" t="s">
        <v>1</v>
      </c>
      <c r="CD57" s="905"/>
      <c r="CE57" s="905"/>
      <c r="CF57" s="905"/>
      <c r="CG57" s="905"/>
      <c r="CH57" s="39"/>
      <c r="CI57" s="905" t="s">
        <v>0</v>
      </c>
      <c r="CJ57" s="905"/>
      <c r="CK57" s="905"/>
      <c r="CL57" s="905" t="s">
        <v>1</v>
      </c>
      <c r="CM57" s="905"/>
      <c r="CN57" s="905"/>
      <c r="CO57" s="905"/>
      <c r="CP57" s="905"/>
      <c r="CQ57" s="39"/>
      <c r="CR57" s="905" t="s">
        <v>0</v>
      </c>
      <c r="CS57" s="905"/>
      <c r="CT57" s="905"/>
      <c r="CU57" s="905" t="s">
        <v>1</v>
      </c>
      <c r="CV57" s="905"/>
      <c r="CW57" s="905"/>
      <c r="CX57" s="905"/>
      <c r="CY57" s="905"/>
      <c r="CZ57" s="39"/>
      <c r="DA57" s="905" t="s">
        <v>0</v>
      </c>
      <c r="DB57" s="905"/>
      <c r="DC57" s="905"/>
      <c r="DD57" s="905" t="s">
        <v>1</v>
      </c>
      <c r="DE57" s="905"/>
      <c r="DF57" s="905"/>
      <c r="DG57" s="905"/>
      <c r="DH57" s="905"/>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9"/>
      <c r="GO57" s="39"/>
      <c r="GP57" s="39"/>
      <c r="GQ57" s="39"/>
      <c r="GR57" s="39"/>
      <c r="GS57" s="39"/>
      <c r="GT57" s="39"/>
      <c r="GU57" s="39"/>
      <c r="GV57" s="39"/>
      <c r="GW57" s="39"/>
      <c r="GX57" s="39"/>
      <c r="GY57" s="39"/>
      <c r="GZ57" s="39"/>
      <c r="HA57" s="39"/>
      <c r="HB57" s="39"/>
      <c r="HC57" s="39"/>
      <c r="HD57" s="39"/>
      <c r="HE57" s="39"/>
      <c r="HF57" s="39"/>
      <c r="HG57" s="39"/>
      <c r="HH57" s="39"/>
      <c r="HI57" s="39"/>
      <c r="HJ57" s="39"/>
      <c r="HK57" s="39"/>
      <c r="HL57" s="39"/>
      <c r="HM57" s="39"/>
      <c r="HN57" s="39"/>
      <c r="HO57" s="39"/>
      <c r="HP57" s="39"/>
      <c r="HQ57" s="39"/>
      <c r="HR57" s="39"/>
      <c r="HS57" s="39"/>
      <c r="HT57" s="39"/>
      <c r="HU57" s="39"/>
      <c r="HV57" s="39"/>
      <c r="HW57" s="40"/>
    </row>
    <row r="58" spans="2:231" ht="15.75" customHeight="1" x14ac:dyDescent="0.25">
      <c r="B58" s="939"/>
      <c r="C58" s="39"/>
      <c r="D58" s="936"/>
      <c r="E58" s="39"/>
      <c r="F58" s="902" t="s">
        <v>3</v>
      </c>
      <c r="G58" s="902"/>
      <c r="H58" s="902"/>
      <c r="I58" s="903" t="s">
        <v>111</v>
      </c>
      <c r="J58" s="903"/>
      <c r="K58" s="903"/>
      <c r="L58" s="903"/>
      <c r="M58" s="903"/>
      <c r="N58" s="39"/>
      <c r="O58" s="902" t="s">
        <v>3</v>
      </c>
      <c r="P58" s="902"/>
      <c r="Q58" s="902"/>
      <c r="R58" s="903" t="s">
        <v>316</v>
      </c>
      <c r="S58" s="903"/>
      <c r="T58" s="903"/>
      <c r="U58" s="903"/>
      <c r="V58" s="903"/>
      <c r="W58" s="39"/>
      <c r="X58" s="902" t="s">
        <v>3</v>
      </c>
      <c r="Y58" s="902"/>
      <c r="Z58" s="902"/>
      <c r="AA58" s="903" t="s">
        <v>112</v>
      </c>
      <c r="AB58" s="903"/>
      <c r="AC58" s="903"/>
      <c r="AD58" s="903"/>
      <c r="AE58" s="903"/>
      <c r="AF58" s="39"/>
      <c r="AG58" s="902" t="s">
        <v>3</v>
      </c>
      <c r="AH58" s="902"/>
      <c r="AI58" s="902"/>
      <c r="AJ58" s="903" t="s">
        <v>113</v>
      </c>
      <c r="AK58" s="903"/>
      <c r="AL58" s="903"/>
      <c r="AM58" s="903"/>
      <c r="AN58" s="903"/>
      <c r="AO58" s="39"/>
      <c r="AP58" s="902" t="s">
        <v>3</v>
      </c>
      <c r="AQ58" s="902"/>
      <c r="AR58" s="902"/>
      <c r="AS58" s="903" t="s">
        <v>114</v>
      </c>
      <c r="AT58" s="903"/>
      <c r="AU58" s="903"/>
      <c r="AV58" s="903"/>
      <c r="AW58" s="903"/>
      <c r="AX58" s="39"/>
      <c r="AY58" s="902" t="s">
        <v>3</v>
      </c>
      <c r="AZ58" s="902"/>
      <c r="BA58" s="902"/>
      <c r="BB58" s="904" t="s">
        <v>120</v>
      </c>
      <c r="BC58" s="903"/>
      <c r="BD58" s="903"/>
      <c r="BE58" s="903"/>
      <c r="BF58" s="903"/>
      <c r="BG58" s="39"/>
      <c r="BH58" s="902" t="s">
        <v>3</v>
      </c>
      <c r="BI58" s="902"/>
      <c r="BJ58" s="902"/>
      <c r="BK58" s="904" t="s">
        <v>83</v>
      </c>
      <c r="BL58" s="903"/>
      <c r="BM58" s="903"/>
      <c r="BN58" s="903"/>
      <c r="BO58" s="903"/>
      <c r="BP58" s="39"/>
      <c r="BQ58" s="902" t="s">
        <v>3</v>
      </c>
      <c r="BR58" s="902"/>
      <c r="BS58" s="902"/>
      <c r="BT58" s="904" t="s">
        <v>85</v>
      </c>
      <c r="BU58" s="903"/>
      <c r="BV58" s="903"/>
      <c r="BW58" s="903"/>
      <c r="BX58" s="903"/>
      <c r="BY58" s="39"/>
      <c r="BZ58" s="902" t="s">
        <v>3</v>
      </c>
      <c r="CA58" s="902"/>
      <c r="CB58" s="902"/>
      <c r="CC58" s="904" t="s">
        <v>88</v>
      </c>
      <c r="CD58" s="903"/>
      <c r="CE58" s="903"/>
      <c r="CF58" s="903"/>
      <c r="CG58" s="903"/>
      <c r="CH58" s="39"/>
      <c r="CI58" s="902" t="s">
        <v>3</v>
      </c>
      <c r="CJ58" s="902"/>
      <c r="CK58" s="902"/>
      <c r="CL58" s="904" t="s">
        <v>90</v>
      </c>
      <c r="CM58" s="903"/>
      <c r="CN58" s="903"/>
      <c r="CO58" s="903"/>
      <c r="CP58" s="903"/>
      <c r="CQ58" s="39"/>
      <c r="CR58" s="902" t="s">
        <v>3</v>
      </c>
      <c r="CS58" s="902"/>
      <c r="CT58" s="902"/>
      <c r="CU58" s="904" t="s">
        <v>92</v>
      </c>
      <c r="CV58" s="903"/>
      <c r="CW58" s="903"/>
      <c r="CX58" s="903"/>
      <c r="CY58" s="903"/>
      <c r="CZ58" s="39"/>
      <c r="DA58" s="902" t="s">
        <v>3</v>
      </c>
      <c r="DB58" s="902"/>
      <c r="DC58" s="902"/>
      <c r="DD58" s="903" t="s">
        <v>314</v>
      </c>
      <c r="DE58" s="903"/>
      <c r="DF58" s="903"/>
      <c r="DG58" s="903"/>
      <c r="DH58" s="903"/>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9"/>
      <c r="GO58" s="39"/>
      <c r="GP58" s="39"/>
      <c r="GQ58" s="39"/>
      <c r="GR58" s="39"/>
      <c r="GS58" s="39"/>
      <c r="GT58" s="39"/>
      <c r="GU58" s="39"/>
      <c r="GV58" s="39"/>
      <c r="GW58" s="39"/>
      <c r="GX58" s="39"/>
      <c r="GY58" s="39"/>
      <c r="GZ58" s="39"/>
      <c r="HA58" s="39"/>
      <c r="HB58" s="39"/>
      <c r="HC58" s="39"/>
      <c r="HD58" s="39"/>
      <c r="HE58" s="39"/>
      <c r="HF58" s="39"/>
      <c r="HG58" s="39"/>
      <c r="HH58" s="39"/>
      <c r="HI58" s="39"/>
      <c r="HJ58" s="39"/>
      <c r="HK58" s="39"/>
      <c r="HL58" s="39"/>
      <c r="HM58" s="39"/>
      <c r="HN58" s="39"/>
      <c r="HO58" s="39"/>
      <c r="HP58" s="39"/>
      <c r="HQ58" s="39"/>
      <c r="HR58" s="39"/>
      <c r="HS58" s="39"/>
      <c r="HT58" s="39"/>
      <c r="HU58" s="39"/>
      <c r="HV58" s="39"/>
      <c r="HW58" s="40"/>
    </row>
    <row r="59" spans="2:231" x14ac:dyDescent="0.25">
      <c r="B59" s="939"/>
      <c r="C59" s="39"/>
      <c r="D59" s="936"/>
      <c r="E59" s="39"/>
      <c r="F59" s="902"/>
      <c r="G59" s="902"/>
      <c r="H59" s="902"/>
      <c r="I59" s="903"/>
      <c r="J59" s="903"/>
      <c r="K59" s="903"/>
      <c r="L59" s="903"/>
      <c r="M59" s="903"/>
      <c r="N59" s="39"/>
      <c r="O59" s="902"/>
      <c r="P59" s="902"/>
      <c r="Q59" s="902"/>
      <c r="R59" s="903"/>
      <c r="S59" s="903"/>
      <c r="T59" s="903"/>
      <c r="U59" s="903"/>
      <c r="V59" s="903"/>
      <c r="W59" s="39"/>
      <c r="X59" s="902"/>
      <c r="Y59" s="902"/>
      <c r="Z59" s="902"/>
      <c r="AA59" s="903"/>
      <c r="AB59" s="903"/>
      <c r="AC59" s="903"/>
      <c r="AD59" s="903"/>
      <c r="AE59" s="903"/>
      <c r="AF59" s="39"/>
      <c r="AG59" s="902"/>
      <c r="AH59" s="902"/>
      <c r="AI59" s="902"/>
      <c r="AJ59" s="903"/>
      <c r="AK59" s="903"/>
      <c r="AL59" s="903"/>
      <c r="AM59" s="903"/>
      <c r="AN59" s="903"/>
      <c r="AO59" s="39"/>
      <c r="AP59" s="902"/>
      <c r="AQ59" s="902"/>
      <c r="AR59" s="902"/>
      <c r="AS59" s="903"/>
      <c r="AT59" s="903"/>
      <c r="AU59" s="903"/>
      <c r="AV59" s="903"/>
      <c r="AW59" s="903"/>
      <c r="AX59" s="39"/>
      <c r="AY59" s="902"/>
      <c r="AZ59" s="902"/>
      <c r="BA59" s="902"/>
      <c r="BB59" s="903"/>
      <c r="BC59" s="903"/>
      <c r="BD59" s="903"/>
      <c r="BE59" s="903"/>
      <c r="BF59" s="903"/>
      <c r="BG59" s="39"/>
      <c r="BH59" s="902"/>
      <c r="BI59" s="902"/>
      <c r="BJ59" s="902"/>
      <c r="BK59" s="903"/>
      <c r="BL59" s="903"/>
      <c r="BM59" s="903"/>
      <c r="BN59" s="903"/>
      <c r="BO59" s="903"/>
      <c r="BP59" s="39"/>
      <c r="BQ59" s="902"/>
      <c r="BR59" s="902"/>
      <c r="BS59" s="902"/>
      <c r="BT59" s="903"/>
      <c r="BU59" s="903"/>
      <c r="BV59" s="903"/>
      <c r="BW59" s="903"/>
      <c r="BX59" s="903"/>
      <c r="BY59" s="39"/>
      <c r="BZ59" s="902"/>
      <c r="CA59" s="902"/>
      <c r="CB59" s="902"/>
      <c r="CC59" s="903"/>
      <c r="CD59" s="903"/>
      <c r="CE59" s="903"/>
      <c r="CF59" s="903"/>
      <c r="CG59" s="903"/>
      <c r="CH59" s="39"/>
      <c r="CI59" s="902"/>
      <c r="CJ59" s="902"/>
      <c r="CK59" s="902"/>
      <c r="CL59" s="903"/>
      <c r="CM59" s="903"/>
      <c r="CN59" s="903"/>
      <c r="CO59" s="903"/>
      <c r="CP59" s="903"/>
      <c r="CQ59" s="39"/>
      <c r="CR59" s="902"/>
      <c r="CS59" s="902"/>
      <c r="CT59" s="902"/>
      <c r="CU59" s="903"/>
      <c r="CV59" s="903"/>
      <c r="CW59" s="903"/>
      <c r="CX59" s="903"/>
      <c r="CY59" s="903"/>
      <c r="CZ59" s="39"/>
      <c r="DA59" s="902"/>
      <c r="DB59" s="902"/>
      <c r="DC59" s="902"/>
      <c r="DD59" s="903"/>
      <c r="DE59" s="903"/>
      <c r="DF59" s="903"/>
      <c r="DG59" s="903"/>
      <c r="DH59" s="903"/>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c r="FS59" s="39"/>
      <c r="FT59" s="39"/>
      <c r="FU59" s="39"/>
      <c r="FV59" s="39"/>
      <c r="FW59" s="39"/>
      <c r="FX59" s="39"/>
      <c r="FY59" s="39"/>
      <c r="FZ59" s="39"/>
      <c r="GA59" s="39"/>
      <c r="GB59" s="39"/>
      <c r="GC59" s="39"/>
      <c r="GD59" s="39"/>
      <c r="GE59" s="39"/>
      <c r="GF59" s="39"/>
      <c r="GG59" s="39"/>
      <c r="GH59" s="39"/>
      <c r="GI59" s="39"/>
      <c r="GJ59" s="39"/>
      <c r="GK59" s="39"/>
      <c r="GL59" s="39"/>
      <c r="GM59" s="39"/>
      <c r="GN59" s="39"/>
      <c r="GO59" s="39"/>
      <c r="GP59" s="39"/>
      <c r="GQ59" s="39"/>
      <c r="GR59" s="39"/>
      <c r="GS59" s="39"/>
      <c r="GT59" s="39"/>
      <c r="GU59" s="39"/>
      <c r="GV59" s="39"/>
      <c r="GW59" s="39"/>
      <c r="GX59" s="39"/>
      <c r="GY59" s="39"/>
      <c r="GZ59" s="39"/>
      <c r="HA59" s="39"/>
      <c r="HB59" s="39"/>
      <c r="HC59" s="39"/>
      <c r="HD59" s="39"/>
      <c r="HE59" s="39"/>
      <c r="HF59" s="39"/>
      <c r="HG59" s="39"/>
      <c r="HH59" s="39"/>
      <c r="HI59" s="39"/>
      <c r="HJ59" s="39"/>
      <c r="HK59" s="39"/>
      <c r="HL59" s="39"/>
      <c r="HM59" s="39"/>
      <c r="HN59" s="39"/>
      <c r="HO59" s="39"/>
      <c r="HP59" s="39"/>
      <c r="HQ59" s="39"/>
      <c r="HR59" s="39"/>
      <c r="HS59" s="39"/>
      <c r="HT59" s="39"/>
      <c r="HU59" s="39"/>
      <c r="HV59" s="39"/>
      <c r="HW59" s="40"/>
    </row>
    <row r="60" spans="2:231" x14ac:dyDescent="0.25">
      <c r="B60" s="939"/>
      <c r="C60" s="39"/>
      <c r="D60" s="936"/>
      <c r="E60" s="39"/>
      <c r="F60" s="902"/>
      <c r="G60" s="902"/>
      <c r="H60" s="902"/>
      <c r="I60" s="903"/>
      <c r="J60" s="903"/>
      <c r="K60" s="903"/>
      <c r="L60" s="903"/>
      <c r="M60" s="903"/>
      <c r="N60" s="39"/>
      <c r="O60" s="902"/>
      <c r="P60" s="902"/>
      <c r="Q60" s="902"/>
      <c r="R60" s="903"/>
      <c r="S60" s="903"/>
      <c r="T60" s="903"/>
      <c r="U60" s="903"/>
      <c r="V60" s="903"/>
      <c r="W60" s="39"/>
      <c r="X60" s="902"/>
      <c r="Y60" s="902"/>
      <c r="Z60" s="902"/>
      <c r="AA60" s="903"/>
      <c r="AB60" s="903"/>
      <c r="AC60" s="903"/>
      <c r="AD60" s="903"/>
      <c r="AE60" s="903"/>
      <c r="AF60" s="39"/>
      <c r="AG60" s="902"/>
      <c r="AH60" s="902"/>
      <c r="AI60" s="902"/>
      <c r="AJ60" s="903"/>
      <c r="AK60" s="903"/>
      <c r="AL60" s="903"/>
      <c r="AM60" s="903"/>
      <c r="AN60" s="903"/>
      <c r="AO60" s="39"/>
      <c r="AP60" s="902"/>
      <c r="AQ60" s="902"/>
      <c r="AR60" s="902"/>
      <c r="AS60" s="903"/>
      <c r="AT60" s="903"/>
      <c r="AU60" s="903"/>
      <c r="AV60" s="903"/>
      <c r="AW60" s="903"/>
      <c r="AX60" s="39"/>
      <c r="AY60" s="902"/>
      <c r="AZ60" s="902"/>
      <c r="BA60" s="902"/>
      <c r="BB60" s="903"/>
      <c r="BC60" s="903"/>
      <c r="BD60" s="903"/>
      <c r="BE60" s="903"/>
      <c r="BF60" s="903"/>
      <c r="BG60" s="39"/>
      <c r="BH60" s="902"/>
      <c r="BI60" s="902"/>
      <c r="BJ60" s="902"/>
      <c r="BK60" s="903"/>
      <c r="BL60" s="903"/>
      <c r="BM60" s="903"/>
      <c r="BN60" s="903"/>
      <c r="BO60" s="903"/>
      <c r="BP60" s="39"/>
      <c r="BQ60" s="902"/>
      <c r="BR60" s="902"/>
      <c r="BS60" s="902"/>
      <c r="BT60" s="903"/>
      <c r="BU60" s="903"/>
      <c r="BV60" s="903"/>
      <c r="BW60" s="903"/>
      <c r="BX60" s="903"/>
      <c r="BY60" s="39"/>
      <c r="BZ60" s="902"/>
      <c r="CA60" s="902"/>
      <c r="CB60" s="902"/>
      <c r="CC60" s="903"/>
      <c r="CD60" s="903"/>
      <c r="CE60" s="903"/>
      <c r="CF60" s="903"/>
      <c r="CG60" s="903"/>
      <c r="CH60" s="39"/>
      <c r="CI60" s="902"/>
      <c r="CJ60" s="902"/>
      <c r="CK60" s="902"/>
      <c r="CL60" s="903"/>
      <c r="CM60" s="903"/>
      <c r="CN60" s="903"/>
      <c r="CO60" s="903"/>
      <c r="CP60" s="903"/>
      <c r="CQ60" s="39"/>
      <c r="CR60" s="902"/>
      <c r="CS60" s="902"/>
      <c r="CT60" s="902"/>
      <c r="CU60" s="903"/>
      <c r="CV60" s="903"/>
      <c r="CW60" s="903"/>
      <c r="CX60" s="903"/>
      <c r="CY60" s="903"/>
      <c r="CZ60" s="39"/>
      <c r="DA60" s="902"/>
      <c r="DB60" s="902"/>
      <c r="DC60" s="902"/>
      <c r="DD60" s="903"/>
      <c r="DE60" s="903"/>
      <c r="DF60" s="903"/>
      <c r="DG60" s="903"/>
      <c r="DH60" s="903"/>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9"/>
      <c r="GO60" s="39"/>
      <c r="GP60" s="39"/>
      <c r="GQ60" s="39"/>
      <c r="GR60" s="39"/>
      <c r="GS60" s="39"/>
      <c r="GT60" s="39"/>
      <c r="GU60" s="39"/>
      <c r="GV60" s="39"/>
      <c r="GW60" s="39"/>
      <c r="GX60" s="39"/>
      <c r="GY60" s="39"/>
      <c r="GZ60" s="39"/>
      <c r="HA60" s="39"/>
      <c r="HB60" s="39"/>
      <c r="HC60" s="39"/>
      <c r="HD60" s="39"/>
      <c r="HE60" s="39"/>
      <c r="HF60" s="39"/>
      <c r="HG60" s="39"/>
      <c r="HH60" s="39"/>
      <c r="HI60" s="39"/>
      <c r="HJ60" s="39"/>
      <c r="HK60" s="39"/>
      <c r="HL60" s="39"/>
      <c r="HM60" s="39"/>
      <c r="HN60" s="39"/>
      <c r="HO60" s="39"/>
      <c r="HP60" s="39"/>
      <c r="HQ60" s="39"/>
      <c r="HR60" s="39"/>
      <c r="HS60" s="39"/>
      <c r="HT60" s="39"/>
      <c r="HU60" s="39"/>
      <c r="HV60" s="39"/>
      <c r="HW60" s="40"/>
    </row>
    <row r="61" spans="2:231" x14ac:dyDescent="0.25">
      <c r="B61" s="939"/>
      <c r="C61" s="39"/>
      <c r="D61" s="936"/>
      <c r="E61" s="39"/>
      <c r="F61" s="902" t="s">
        <v>4</v>
      </c>
      <c r="G61" s="902"/>
      <c r="H61" s="902"/>
      <c r="I61" s="903" t="s">
        <v>15</v>
      </c>
      <c r="J61" s="903"/>
      <c r="K61" s="903"/>
      <c r="L61" s="903"/>
      <c r="M61" s="903"/>
      <c r="N61" s="39"/>
      <c r="O61" s="902" t="s">
        <v>4</v>
      </c>
      <c r="P61" s="902"/>
      <c r="Q61" s="902"/>
      <c r="R61" s="903" t="s">
        <v>15</v>
      </c>
      <c r="S61" s="903"/>
      <c r="T61" s="903"/>
      <c r="U61" s="903"/>
      <c r="V61" s="903"/>
      <c r="W61" s="39"/>
      <c r="X61" s="902" t="s">
        <v>4</v>
      </c>
      <c r="Y61" s="902"/>
      <c r="Z61" s="902"/>
      <c r="AA61" s="903" t="s">
        <v>15</v>
      </c>
      <c r="AB61" s="903"/>
      <c r="AC61" s="903"/>
      <c r="AD61" s="903"/>
      <c r="AE61" s="903"/>
      <c r="AF61" s="39"/>
      <c r="AG61" s="902" t="s">
        <v>4</v>
      </c>
      <c r="AH61" s="902"/>
      <c r="AI61" s="902"/>
      <c r="AJ61" s="903" t="s">
        <v>15</v>
      </c>
      <c r="AK61" s="903"/>
      <c r="AL61" s="903"/>
      <c r="AM61" s="903"/>
      <c r="AN61" s="903"/>
      <c r="AO61" s="39"/>
      <c r="AP61" s="902" t="s">
        <v>4</v>
      </c>
      <c r="AQ61" s="902"/>
      <c r="AR61" s="902"/>
      <c r="AS61" s="903" t="s">
        <v>15</v>
      </c>
      <c r="AT61" s="903"/>
      <c r="AU61" s="903"/>
      <c r="AV61" s="903"/>
      <c r="AW61" s="903"/>
      <c r="AX61" s="39"/>
      <c r="AY61" s="902" t="s">
        <v>4</v>
      </c>
      <c r="AZ61" s="902"/>
      <c r="BA61" s="902"/>
      <c r="BB61" s="903" t="s">
        <v>15</v>
      </c>
      <c r="BC61" s="903"/>
      <c r="BD61" s="903"/>
      <c r="BE61" s="903"/>
      <c r="BF61" s="903"/>
      <c r="BG61" s="39"/>
      <c r="BH61" s="902" t="s">
        <v>4</v>
      </c>
      <c r="BI61" s="902"/>
      <c r="BJ61" s="902"/>
      <c r="BK61" s="903" t="s">
        <v>15</v>
      </c>
      <c r="BL61" s="903"/>
      <c r="BM61" s="903"/>
      <c r="BN61" s="903"/>
      <c r="BO61" s="903"/>
      <c r="BP61" s="39"/>
      <c r="BQ61" s="902" t="s">
        <v>4</v>
      </c>
      <c r="BR61" s="902"/>
      <c r="BS61" s="902"/>
      <c r="BT61" s="903" t="s">
        <v>15</v>
      </c>
      <c r="BU61" s="903"/>
      <c r="BV61" s="903"/>
      <c r="BW61" s="903"/>
      <c r="BX61" s="903"/>
      <c r="BY61" s="39"/>
      <c r="BZ61" s="902" t="s">
        <v>4</v>
      </c>
      <c r="CA61" s="902"/>
      <c r="CB61" s="902"/>
      <c r="CC61" s="903" t="s">
        <v>15</v>
      </c>
      <c r="CD61" s="903"/>
      <c r="CE61" s="903"/>
      <c r="CF61" s="903"/>
      <c r="CG61" s="903"/>
      <c r="CH61" s="39"/>
      <c r="CI61" s="902" t="s">
        <v>4</v>
      </c>
      <c r="CJ61" s="902"/>
      <c r="CK61" s="902"/>
      <c r="CL61" s="903" t="s">
        <v>15</v>
      </c>
      <c r="CM61" s="903"/>
      <c r="CN61" s="903"/>
      <c r="CO61" s="903"/>
      <c r="CP61" s="903"/>
      <c r="CQ61" s="39"/>
      <c r="CR61" s="902" t="s">
        <v>4</v>
      </c>
      <c r="CS61" s="902"/>
      <c r="CT61" s="902"/>
      <c r="CU61" s="903" t="s">
        <v>15</v>
      </c>
      <c r="CV61" s="903"/>
      <c r="CW61" s="903"/>
      <c r="CX61" s="903"/>
      <c r="CY61" s="903"/>
      <c r="CZ61" s="39"/>
      <c r="DA61" s="902" t="s">
        <v>4</v>
      </c>
      <c r="DB61" s="902"/>
      <c r="DC61" s="902"/>
      <c r="DD61" s="903" t="s">
        <v>15</v>
      </c>
      <c r="DE61" s="903"/>
      <c r="DF61" s="903"/>
      <c r="DG61" s="903"/>
      <c r="DH61" s="903"/>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9"/>
      <c r="GO61" s="39"/>
      <c r="GP61" s="39"/>
      <c r="GQ61" s="39"/>
      <c r="GR61" s="39"/>
      <c r="GS61" s="39"/>
      <c r="GT61" s="39"/>
      <c r="GU61" s="39"/>
      <c r="GV61" s="39"/>
      <c r="GW61" s="39"/>
      <c r="GX61" s="39"/>
      <c r="GY61" s="39"/>
      <c r="GZ61" s="39"/>
      <c r="HA61" s="39"/>
      <c r="HB61" s="39"/>
      <c r="HC61" s="39"/>
      <c r="HD61" s="39"/>
      <c r="HE61" s="39"/>
      <c r="HF61" s="39"/>
      <c r="HG61" s="39"/>
      <c r="HH61" s="39"/>
      <c r="HI61" s="39"/>
      <c r="HJ61" s="39"/>
      <c r="HK61" s="39"/>
      <c r="HL61" s="39"/>
      <c r="HM61" s="39"/>
      <c r="HN61" s="39"/>
      <c r="HO61" s="39"/>
      <c r="HP61" s="39"/>
      <c r="HQ61" s="39"/>
      <c r="HR61" s="39"/>
      <c r="HS61" s="39"/>
      <c r="HT61" s="39"/>
      <c r="HU61" s="39"/>
      <c r="HV61" s="39"/>
      <c r="HW61" s="40"/>
    </row>
    <row r="62" spans="2:231" x14ac:dyDescent="0.25">
      <c r="B62" s="939"/>
      <c r="C62" s="39"/>
      <c r="D62" s="936"/>
      <c r="E62" s="39"/>
      <c r="F62" s="902"/>
      <c r="G62" s="902"/>
      <c r="H62" s="902"/>
      <c r="I62" s="903"/>
      <c r="J62" s="903"/>
      <c r="K62" s="903"/>
      <c r="L62" s="903"/>
      <c r="M62" s="903"/>
      <c r="N62" s="39"/>
      <c r="O62" s="902"/>
      <c r="P62" s="902"/>
      <c r="Q62" s="902"/>
      <c r="R62" s="903"/>
      <c r="S62" s="903"/>
      <c r="T62" s="903"/>
      <c r="U62" s="903"/>
      <c r="V62" s="903"/>
      <c r="W62" s="39"/>
      <c r="X62" s="902"/>
      <c r="Y62" s="902"/>
      <c r="Z62" s="902"/>
      <c r="AA62" s="903"/>
      <c r="AB62" s="903"/>
      <c r="AC62" s="903"/>
      <c r="AD62" s="903"/>
      <c r="AE62" s="903"/>
      <c r="AF62" s="39"/>
      <c r="AG62" s="902"/>
      <c r="AH62" s="902"/>
      <c r="AI62" s="902"/>
      <c r="AJ62" s="903"/>
      <c r="AK62" s="903"/>
      <c r="AL62" s="903"/>
      <c r="AM62" s="903"/>
      <c r="AN62" s="903"/>
      <c r="AO62" s="39"/>
      <c r="AP62" s="902"/>
      <c r="AQ62" s="902"/>
      <c r="AR62" s="902"/>
      <c r="AS62" s="903"/>
      <c r="AT62" s="903"/>
      <c r="AU62" s="903"/>
      <c r="AV62" s="903"/>
      <c r="AW62" s="903"/>
      <c r="AX62" s="39"/>
      <c r="AY62" s="902"/>
      <c r="AZ62" s="902"/>
      <c r="BA62" s="902"/>
      <c r="BB62" s="903"/>
      <c r="BC62" s="903"/>
      <c r="BD62" s="903"/>
      <c r="BE62" s="903"/>
      <c r="BF62" s="903"/>
      <c r="BG62" s="39"/>
      <c r="BH62" s="902"/>
      <c r="BI62" s="902"/>
      <c r="BJ62" s="902"/>
      <c r="BK62" s="903"/>
      <c r="BL62" s="903"/>
      <c r="BM62" s="903"/>
      <c r="BN62" s="903"/>
      <c r="BO62" s="903"/>
      <c r="BP62" s="39"/>
      <c r="BQ62" s="902"/>
      <c r="BR62" s="902"/>
      <c r="BS62" s="902"/>
      <c r="BT62" s="903"/>
      <c r="BU62" s="903"/>
      <c r="BV62" s="903"/>
      <c r="BW62" s="903"/>
      <c r="BX62" s="903"/>
      <c r="BY62" s="39"/>
      <c r="BZ62" s="902"/>
      <c r="CA62" s="902"/>
      <c r="CB62" s="902"/>
      <c r="CC62" s="903"/>
      <c r="CD62" s="903"/>
      <c r="CE62" s="903"/>
      <c r="CF62" s="903"/>
      <c r="CG62" s="903"/>
      <c r="CH62" s="39"/>
      <c r="CI62" s="902"/>
      <c r="CJ62" s="902"/>
      <c r="CK62" s="902"/>
      <c r="CL62" s="903"/>
      <c r="CM62" s="903"/>
      <c r="CN62" s="903"/>
      <c r="CO62" s="903"/>
      <c r="CP62" s="903"/>
      <c r="CQ62" s="39"/>
      <c r="CR62" s="902"/>
      <c r="CS62" s="902"/>
      <c r="CT62" s="902"/>
      <c r="CU62" s="903"/>
      <c r="CV62" s="903"/>
      <c r="CW62" s="903"/>
      <c r="CX62" s="903"/>
      <c r="CY62" s="903"/>
      <c r="CZ62" s="39"/>
      <c r="DA62" s="902"/>
      <c r="DB62" s="902"/>
      <c r="DC62" s="902"/>
      <c r="DD62" s="903"/>
      <c r="DE62" s="903"/>
      <c r="DF62" s="903"/>
      <c r="DG62" s="903"/>
      <c r="DH62" s="903"/>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9"/>
      <c r="GO62" s="39"/>
      <c r="GP62" s="39"/>
      <c r="GQ62" s="39"/>
      <c r="GR62" s="39"/>
      <c r="GS62" s="39"/>
      <c r="GT62" s="39"/>
      <c r="GU62" s="39"/>
      <c r="GV62" s="39"/>
      <c r="GW62" s="39"/>
      <c r="GX62" s="39"/>
      <c r="GY62" s="39"/>
      <c r="GZ62" s="39"/>
      <c r="HA62" s="39"/>
      <c r="HB62" s="39"/>
      <c r="HC62" s="39"/>
      <c r="HD62" s="39"/>
      <c r="HE62" s="39"/>
      <c r="HF62" s="39"/>
      <c r="HG62" s="39"/>
      <c r="HH62" s="39"/>
      <c r="HI62" s="39"/>
      <c r="HJ62" s="39"/>
      <c r="HK62" s="39"/>
      <c r="HL62" s="39"/>
      <c r="HM62" s="39"/>
      <c r="HN62" s="39"/>
      <c r="HO62" s="39"/>
      <c r="HP62" s="39"/>
      <c r="HQ62" s="39"/>
      <c r="HR62" s="39"/>
      <c r="HS62" s="39"/>
      <c r="HT62" s="39"/>
      <c r="HU62" s="39"/>
      <c r="HV62" s="39"/>
      <c r="HW62" s="40"/>
    </row>
    <row r="63" spans="2:231" x14ac:dyDescent="0.25">
      <c r="B63" s="939"/>
      <c r="C63" s="39"/>
      <c r="D63" s="936"/>
      <c r="E63" s="39"/>
      <c r="F63" s="902"/>
      <c r="G63" s="902"/>
      <c r="H63" s="902"/>
      <c r="I63" s="903"/>
      <c r="J63" s="903"/>
      <c r="K63" s="903"/>
      <c r="L63" s="903"/>
      <c r="M63" s="903"/>
      <c r="N63" s="39"/>
      <c r="O63" s="902"/>
      <c r="P63" s="902"/>
      <c r="Q63" s="902"/>
      <c r="R63" s="903"/>
      <c r="S63" s="903"/>
      <c r="T63" s="903"/>
      <c r="U63" s="903"/>
      <c r="V63" s="903"/>
      <c r="W63" s="39"/>
      <c r="X63" s="902"/>
      <c r="Y63" s="902"/>
      <c r="Z63" s="902"/>
      <c r="AA63" s="903"/>
      <c r="AB63" s="903"/>
      <c r="AC63" s="903"/>
      <c r="AD63" s="903"/>
      <c r="AE63" s="903"/>
      <c r="AF63" s="39"/>
      <c r="AG63" s="902"/>
      <c r="AH63" s="902"/>
      <c r="AI63" s="902"/>
      <c r="AJ63" s="903"/>
      <c r="AK63" s="903"/>
      <c r="AL63" s="903"/>
      <c r="AM63" s="903"/>
      <c r="AN63" s="903"/>
      <c r="AO63" s="39"/>
      <c r="AP63" s="902"/>
      <c r="AQ63" s="902"/>
      <c r="AR63" s="902"/>
      <c r="AS63" s="903"/>
      <c r="AT63" s="903"/>
      <c r="AU63" s="903"/>
      <c r="AV63" s="903"/>
      <c r="AW63" s="903"/>
      <c r="AX63" s="39"/>
      <c r="AY63" s="902"/>
      <c r="AZ63" s="902"/>
      <c r="BA63" s="902"/>
      <c r="BB63" s="903"/>
      <c r="BC63" s="903"/>
      <c r="BD63" s="903"/>
      <c r="BE63" s="903"/>
      <c r="BF63" s="903"/>
      <c r="BG63" s="39"/>
      <c r="BH63" s="902"/>
      <c r="BI63" s="902"/>
      <c r="BJ63" s="902"/>
      <c r="BK63" s="903"/>
      <c r="BL63" s="903"/>
      <c r="BM63" s="903"/>
      <c r="BN63" s="903"/>
      <c r="BO63" s="903"/>
      <c r="BP63" s="39"/>
      <c r="BQ63" s="902"/>
      <c r="BR63" s="902"/>
      <c r="BS63" s="902"/>
      <c r="BT63" s="903"/>
      <c r="BU63" s="903"/>
      <c r="BV63" s="903"/>
      <c r="BW63" s="903"/>
      <c r="BX63" s="903"/>
      <c r="BY63" s="39"/>
      <c r="BZ63" s="902"/>
      <c r="CA63" s="902"/>
      <c r="CB63" s="902"/>
      <c r="CC63" s="903"/>
      <c r="CD63" s="903"/>
      <c r="CE63" s="903"/>
      <c r="CF63" s="903"/>
      <c r="CG63" s="903"/>
      <c r="CH63" s="39"/>
      <c r="CI63" s="902"/>
      <c r="CJ63" s="902"/>
      <c r="CK63" s="902"/>
      <c r="CL63" s="903"/>
      <c r="CM63" s="903"/>
      <c r="CN63" s="903"/>
      <c r="CO63" s="903"/>
      <c r="CP63" s="903"/>
      <c r="CQ63" s="39"/>
      <c r="CR63" s="902"/>
      <c r="CS63" s="902"/>
      <c r="CT63" s="902"/>
      <c r="CU63" s="903"/>
      <c r="CV63" s="903"/>
      <c r="CW63" s="903"/>
      <c r="CX63" s="903"/>
      <c r="CY63" s="903"/>
      <c r="CZ63" s="39"/>
      <c r="DA63" s="902"/>
      <c r="DB63" s="902"/>
      <c r="DC63" s="902"/>
      <c r="DD63" s="903"/>
      <c r="DE63" s="903"/>
      <c r="DF63" s="903"/>
      <c r="DG63" s="903"/>
      <c r="DH63" s="903"/>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9"/>
      <c r="GO63" s="39"/>
      <c r="GP63" s="39"/>
      <c r="GQ63" s="39"/>
      <c r="GR63" s="39"/>
      <c r="GS63" s="39"/>
      <c r="GT63" s="39"/>
      <c r="GU63" s="39"/>
      <c r="GV63" s="39"/>
      <c r="GW63" s="39"/>
      <c r="GX63" s="39"/>
      <c r="GY63" s="39"/>
      <c r="GZ63" s="39"/>
      <c r="HA63" s="39"/>
      <c r="HB63" s="39"/>
      <c r="HC63" s="39"/>
      <c r="HD63" s="39"/>
      <c r="HE63" s="39"/>
      <c r="HF63" s="39"/>
      <c r="HG63" s="39"/>
      <c r="HH63" s="39"/>
      <c r="HI63" s="39"/>
      <c r="HJ63" s="39"/>
      <c r="HK63" s="39"/>
      <c r="HL63" s="39"/>
      <c r="HM63" s="39"/>
      <c r="HN63" s="39"/>
      <c r="HO63" s="39"/>
      <c r="HP63" s="39"/>
      <c r="HQ63" s="39"/>
      <c r="HR63" s="39"/>
      <c r="HS63" s="39"/>
      <c r="HT63" s="39"/>
      <c r="HU63" s="39"/>
      <c r="HV63" s="39"/>
      <c r="HW63" s="40"/>
    </row>
    <row r="64" spans="2:231" x14ac:dyDescent="0.25">
      <c r="B64" s="939"/>
      <c r="C64" s="39"/>
      <c r="D64" s="936"/>
      <c r="E64" s="39"/>
      <c r="F64" s="902" t="s">
        <v>5</v>
      </c>
      <c r="G64" s="902"/>
      <c r="H64" s="902"/>
      <c r="I64" s="903" t="s">
        <v>115</v>
      </c>
      <c r="J64" s="903"/>
      <c r="K64" s="903"/>
      <c r="L64" s="903"/>
      <c r="M64" s="903"/>
      <c r="N64" s="39"/>
      <c r="O64" s="902" t="s">
        <v>5</v>
      </c>
      <c r="P64" s="902"/>
      <c r="Q64" s="902"/>
      <c r="R64" s="903" t="s">
        <v>116</v>
      </c>
      <c r="S64" s="903"/>
      <c r="T64" s="903"/>
      <c r="U64" s="903"/>
      <c r="V64" s="903"/>
      <c r="W64" s="39"/>
      <c r="X64" s="902" t="s">
        <v>5</v>
      </c>
      <c r="Y64" s="902"/>
      <c r="Z64" s="902"/>
      <c r="AA64" s="903" t="s">
        <v>117</v>
      </c>
      <c r="AB64" s="903"/>
      <c r="AC64" s="903"/>
      <c r="AD64" s="903"/>
      <c r="AE64" s="903"/>
      <c r="AF64" s="39"/>
      <c r="AG64" s="902" t="s">
        <v>5</v>
      </c>
      <c r="AH64" s="902"/>
      <c r="AI64" s="902"/>
      <c r="AJ64" s="903" t="s">
        <v>605</v>
      </c>
      <c r="AK64" s="903"/>
      <c r="AL64" s="903"/>
      <c r="AM64" s="903"/>
      <c r="AN64" s="903"/>
      <c r="AO64" s="39"/>
      <c r="AP64" s="902" t="s">
        <v>5</v>
      </c>
      <c r="AQ64" s="902"/>
      <c r="AR64" s="902"/>
      <c r="AS64" s="903" t="s">
        <v>118</v>
      </c>
      <c r="AT64" s="903"/>
      <c r="AU64" s="903"/>
      <c r="AV64" s="903"/>
      <c r="AW64" s="903"/>
      <c r="AX64" s="39"/>
      <c r="AY64" s="902" t="s">
        <v>5</v>
      </c>
      <c r="AZ64" s="902"/>
      <c r="BA64" s="902"/>
      <c r="BB64" s="903" t="s">
        <v>121</v>
      </c>
      <c r="BC64" s="903"/>
      <c r="BD64" s="903"/>
      <c r="BE64" s="903"/>
      <c r="BF64" s="903"/>
      <c r="BG64" s="39"/>
      <c r="BH64" s="902" t="s">
        <v>5</v>
      </c>
      <c r="BI64" s="902"/>
      <c r="BJ64" s="902"/>
      <c r="BK64" s="903" t="s">
        <v>86</v>
      </c>
      <c r="BL64" s="903"/>
      <c r="BM64" s="903"/>
      <c r="BN64" s="903"/>
      <c r="BO64" s="903"/>
      <c r="BP64" s="39"/>
      <c r="BQ64" s="902" t="s">
        <v>5</v>
      </c>
      <c r="BR64" s="902"/>
      <c r="BS64" s="902"/>
      <c r="BT64" s="903" t="s">
        <v>84</v>
      </c>
      <c r="BU64" s="903"/>
      <c r="BV64" s="903"/>
      <c r="BW64" s="903"/>
      <c r="BX64" s="903"/>
      <c r="BY64" s="39"/>
      <c r="BZ64" s="902" t="s">
        <v>5</v>
      </c>
      <c r="CA64" s="902"/>
      <c r="CB64" s="902"/>
      <c r="CC64" s="903" t="s">
        <v>87</v>
      </c>
      <c r="CD64" s="903"/>
      <c r="CE64" s="903"/>
      <c r="CF64" s="903"/>
      <c r="CG64" s="903"/>
      <c r="CH64" s="39"/>
      <c r="CI64" s="902" t="s">
        <v>5</v>
      </c>
      <c r="CJ64" s="902"/>
      <c r="CK64" s="902"/>
      <c r="CL64" s="903" t="s">
        <v>89</v>
      </c>
      <c r="CM64" s="903"/>
      <c r="CN64" s="903"/>
      <c r="CO64" s="903"/>
      <c r="CP64" s="903"/>
      <c r="CQ64" s="39"/>
      <c r="CR64" s="902" t="s">
        <v>5</v>
      </c>
      <c r="CS64" s="902"/>
      <c r="CT64" s="902"/>
      <c r="CU64" s="903" t="s">
        <v>93</v>
      </c>
      <c r="CV64" s="903"/>
      <c r="CW64" s="903"/>
      <c r="CX64" s="903"/>
      <c r="CY64" s="903"/>
      <c r="CZ64" s="39"/>
      <c r="DA64" s="902" t="s">
        <v>5</v>
      </c>
      <c r="DB64" s="902"/>
      <c r="DC64" s="902"/>
      <c r="DD64" s="903" t="s">
        <v>110</v>
      </c>
      <c r="DE64" s="903"/>
      <c r="DF64" s="903"/>
      <c r="DG64" s="903"/>
      <c r="DH64" s="903"/>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9"/>
      <c r="GO64" s="39"/>
      <c r="GP64" s="39"/>
      <c r="GQ64" s="39"/>
      <c r="GR64" s="39"/>
      <c r="GS64" s="39"/>
      <c r="GT64" s="39"/>
      <c r="GU64" s="39"/>
      <c r="GV64" s="39"/>
      <c r="GW64" s="39"/>
      <c r="GX64" s="39"/>
      <c r="GY64" s="39"/>
      <c r="GZ64" s="39"/>
      <c r="HA64" s="39"/>
      <c r="HB64" s="39"/>
      <c r="HC64" s="39"/>
      <c r="HD64" s="39"/>
      <c r="HE64" s="39"/>
      <c r="HF64" s="39"/>
      <c r="HG64" s="39"/>
      <c r="HH64" s="39"/>
      <c r="HI64" s="39"/>
      <c r="HJ64" s="39"/>
      <c r="HK64" s="39"/>
      <c r="HL64" s="39"/>
      <c r="HM64" s="39"/>
      <c r="HN64" s="39"/>
      <c r="HO64" s="39"/>
      <c r="HP64" s="39"/>
      <c r="HQ64" s="39"/>
      <c r="HR64" s="39"/>
      <c r="HS64" s="39"/>
      <c r="HT64" s="39"/>
      <c r="HU64" s="39"/>
      <c r="HV64" s="39"/>
      <c r="HW64" s="40"/>
    </row>
    <row r="65" spans="2:231" x14ac:dyDescent="0.25">
      <c r="B65" s="939"/>
      <c r="C65" s="39"/>
      <c r="D65" s="936"/>
      <c r="E65" s="39"/>
      <c r="F65" s="902"/>
      <c r="G65" s="902"/>
      <c r="H65" s="902"/>
      <c r="I65" s="903"/>
      <c r="J65" s="903"/>
      <c r="K65" s="903"/>
      <c r="L65" s="903"/>
      <c r="M65" s="903"/>
      <c r="N65" s="39"/>
      <c r="O65" s="902"/>
      <c r="P65" s="902"/>
      <c r="Q65" s="902"/>
      <c r="R65" s="903"/>
      <c r="S65" s="903"/>
      <c r="T65" s="903"/>
      <c r="U65" s="903"/>
      <c r="V65" s="903"/>
      <c r="W65" s="39"/>
      <c r="X65" s="902"/>
      <c r="Y65" s="902"/>
      <c r="Z65" s="902"/>
      <c r="AA65" s="903"/>
      <c r="AB65" s="903"/>
      <c r="AC65" s="903"/>
      <c r="AD65" s="903"/>
      <c r="AE65" s="903"/>
      <c r="AF65" s="39"/>
      <c r="AG65" s="902"/>
      <c r="AH65" s="902"/>
      <c r="AI65" s="902"/>
      <c r="AJ65" s="903"/>
      <c r="AK65" s="903"/>
      <c r="AL65" s="903"/>
      <c r="AM65" s="903"/>
      <c r="AN65" s="903"/>
      <c r="AO65" s="39"/>
      <c r="AP65" s="902"/>
      <c r="AQ65" s="902"/>
      <c r="AR65" s="902"/>
      <c r="AS65" s="903"/>
      <c r="AT65" s="903"/>
      <c r="AU65" s="903"/>
      <c r="AV65" s="903"/>
      <c r="AW65" s="903"/>
      <c r="AX65" s="39"/>
      <c r="AY65" s="902"/>
      <c r="AZ65" s="902"/>
      <c r="BA65" s="902"/>
      <c r="BB65" s="903"/>
      <c r="BC65" s="903"/>
      <c r="BD65" s="903"/>
      <c r="BE65" s="903"/>
      <c r="BF65" s="903"/>
      <c r="BG65" s="39"/>
      <c r="BH65" s="902"/>
      <c r="BI65" s="902"/>
      <c r="BJ65" s="902"/>
      <c r="BK65" s="903"/>
      <c r="BL65" s="903"/>
      <c r="BM65" s="903"/>
      <c r="BN65" s="903"/>
      <c r="BO65" s="903"/>
      <c r="BP65" s="39"/>
      <c r="BQ65" s="902"/>
      <c r="BR65" s="902"/>
      <c r="BS65" s="902"/>
      <c r="BT65" s="903"/>
      <c r="BU65" s="903"/>
      <c r="BV65" s="903"/>
      <c r="BW65" s="903"/>
      <c r="BX65" s="903"/>
      <c r="BY65" s="39"/>
      <c r="BZ65" s="902"/>
      <c r="CA65" s="902"/>
      <c r="CB65" s="902"/>
      <c r="CC65" s="903"/>
      <c r="CD65" s="903"/>
      <c r="CE65" s="903"/>
      <c r="CF65" s="903"/>
      <c r="CG65" s="903"/>
      <c r="CH65" s="39"/>
      <c r="CI65" s="902"/>
      <c r="CJ65" s="902"/>
      <c r="CK65" s="902"/>
      <c r="CL65" s="903"/>
      <c r="CM65" s="903"/>
      <c r="CN65" s="903"/>
      <c r="CO65" s="903"/>
      <c r="CP65" s="903"/>
      <c r="CQ65" s="39"/>
      <c r="CR65" s="902"/>
      <c r="CS65" s="902"/>
      <c r="CT65" s="902"/>
      <c r="CU65" s="903"/>
      <c r="CV65" s="903"/>
      <c r="CW65" s="903"/>
      <c r="CX65" s="903"/>
      <c r="CY65" s="903"/>
      <c r="CZ65" s="39"/>
      <c r="DA65" s="902"/>
      <c r="DB65" s="902"/>
      <c r="DC65" s="902"/>
      <c r="DD65" s="903"/>
      <c r="DE65" s="903"/>
      <c r="DF65" s="903"/>
      <c r="DG65" s="903"/>
      <c r="DH65" s="903"/>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c r="GV65" s="39"/>
      <c r="GW65" s="39"/>
      <c r="GX65" s="39"/>
      <c r="GY65" s="39"/>
      <c r="GZ65" s="39"/>
      <c r="HA65" s="39"/>
      <c r="HB65" s="39"/>
      <c r="HC65" s="39"/>
      <c r="HD65" s="39"/>
      <c r="HE65" s="39"/>
      <c r="HF65" s="39"/>
      <c r="HG65" s="39"/>
      <c r="HH65" s="39"/>
      <c r="HI65" s="39"/>
      <c r="HJ65" s="39"/>
      <c r="HK65" s="39"/>
      <c r="HL65" s="39"/>
      <c r="HM65" s="39"/>
      <c r="HN65" s="39"/>
      <c r="HO65" s="39"/>
      <c r="HP65" s="39"/>
      <c r="HQ65" s="39"/>
      <c r="HR65" s="39"/>
      <c r="HS65" s="39"/>
      <c r="HT65" s="39"/>
      <c r="HU65" s="39"/>
      <c r="HV65" s="39"/>
      <c r="HW65" s="40"/>
    </row>
    <row r="66" spans="2:231" x14ac:dyDescent="0.25">
      <c r="B66" s="939"/>
      <c r="C66" s="39"/>
      <c r="D66" s="936"/>
      <c r="E66" s="39"/>
      <c r="F66" s="902"/>
      <c r="G66" s="902"/>
      <c r="H66" s="902"/>
      <c r="I66" s="903"/>
      <c r="J66" s="903"/>
      <c r="K66" s="903"/>
      <c r="L66" s="903"/>
      <c r="M66" s="903"/>
      <c r="N66" s="39"/>
      <c r="O66" s="902"/>
      <c r="P66" s="902"/>
      <c r="Q66" s="902"/>
      <c r="R66" s="903"/>
      <c r="S66" s="903"/>
      <c r="T66" s="903"/>
      <c r="U66" s="903"/>
      <c r="V66" s="903"/>
      <c r="W66" s="39"/>
      <c r="X66" s="902"/>
      <c r="Y66" s="902"/>
      <c r="Z66" s="902"/>
      <c r="AA66" s="903"/>
      <c r="AB66" s="903"/>
      <c r="AC66" s="903"/>
      <c r="AD66" s="903"/>
      <c r="AE66" s="903"/>
      <c r="AF66" s="39"/>
      <c r="AG66" s="902"/>
      <c r="AH66" s="902"/>
      <c r="AI66" s="902"/>
      <c r="AJ66" s="903"/>
      <c r="AK66" s="903"/>
      <c r="AL66" s="903"/>
      <c r="AM66" s="903"/>
      <c r="AN66" s="903"/>
      <c r="AO66" s="39"/>
      <c r="AP66" s="902"/>
      <c r="AQ66" s="902"/>
      <c r="AR66" s="902"/>
      <c r="AS66" s="903"/>
      <c r="AT66" s="903"/>
      <c r="AU66" s="903"/>
      <c r="AV66" s="903"/>
      <c r="AW66" s="903"/>
      <c r="AX66" s="39"/>
      <c r="AY66" s="902"/>
      <c r="AZ66" s="902"/>
      <c r="BA66" s="902"/>
      <c r="BB66" s="903"/>
      <c r="BC66" s="903"/>
      <c r="BD66" s="903"/>
      <c r="BE66" s="903"/>
      <c r="BF66" s="903"/>
      <c r="BG66" s="39"/>
      <c r="BH66" s="902"/>
      <c r="BI66" s="902"/>
      <c r="BJ66" s="902"/>
      <c r="BK66" s="903"/>
      <c r="BL66" s="903"/>
      <c r="BM66" s="903"/>
      <c r="BN66" s="903"/>
      <c r="BO66" s="903"/>
      <c r="BP66" s="39"/>
      <c r="BQ66" s="902"/>
      <c r="BR66" s="902"/>
      <c r="BS66" s="902"/>
      <c r="BT66" s="903"/>
      <c r="BU66" s="903"/>
      <c r="BV66" s="903"/>
      <c r="BW66" s="903"/>
      <c r="BX66" s="903"/>
      <c r="BY66" s="39"/>
      <c r="BZ66" s="902"/>
      <c r="CA66" s="902"/>
      <c r="CB66" s="902"/>
      <c r="CC66" s="903"/>
      <c r="CD66" s="903"/>
      <c r="CE66" s="903"/>
      <c r="CF66" s="903"/>
      <c r="CG66" s="903"/>
      <c r="CH66" s="39"/>
      <c r="CI66" s="902"/>
      <c r="CJ66" s="902"/>
      <c r="CK66" s="902"/>
      <c r="CL66" s="903"/>
      <c r="CM66" s="903"/>
      <c r="CN66" s="903"/>
      <c r="CO66" s="903"/>
      <c r="CP66" s="903"/>
      <c r="CQ66" s="39"/>
      <c r="CR66" s="902"/>
      <c r="CS66" s="902"/>
      <c r="CT66" s="902"/>
      <c r="CU66" s="903"/>
      <c r="CV66" s="903"/>
      <c r="CW66" s="903"/>
      <c r="CX66" s="903"/>
      <c r="CY66" s="903"/>
      <c r="CZ66" s="39"/>
      <c r="DA66" s="902"/>
      <c r="DB66" s="902"/>
      <c r="DC66" s="902"/>
      <c r="DD66" s="903"/>
      <c r="DE66" s="903"/>
      <c r="DF66" s="903"/>
      <c r="DG66" s="903"/>
      <c r="DH66" s="903"/>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9"/>
      <c r="GO66" s="39"/>
      <c r="GP66" s="39"/>
      <c r="GQ66" s="39"/>
      <c r="GR66" s="39"/>
      <c r="GS66" s="39"/>
      <c r="GT66" s="39"/>
      <c r="GU66" s="39"/>
      <c r="GV66" s="39"/>
      <c r="GW66" s="39"/>
      <c r="GX66" s="39"/>
      <c r="GY66" s="39"/>
      <c r="GZ66" s="39"/>
      <c r="HA66" s="39"/>
      <c r="HB66" s="39"/>
      <c r="HC66" s="39"/>
      <c r="HD66" s="39"/>
      <c r="HE66" s="39"/>
      <c r="HF66" s="39"/>
      <c r="HG66" s="39"/>
      <c r="HH66" s="39"/>
      <c r="HI66" s="39"/>
      <c r="HJ66" s="39"/>
      <c r="HK66" s="39"/>
      <c r="HL66" s="39"/>
      <c r="HM66" s="39"/>
      <c r="HN66" s="39"/>
      <c r="HO66" s="39"/>
      <c r="HP66" s="39"/>
      <c r="HQ66" s="39"/>
      <c r="HR66" s="39"/>
      <c r="HS66" s="39"/>
      <c r="HT66" s="39"/>
      <c r="HU66" s="39"/>
      <c r="HV66" s="39"/>
      <c r="HW66" s="40"/>
    </row>
    <row r="67" spans="2:231" x14ac:dyDescent="0.25">
      <c r="B67" s="939"/>
      <c r="C67" s="39"/>
      <c r="D67" s="936"/>
      <c r="E67" s="39"/>
      <c r="F67" s="902" t="s">
        <v>6</v>
      </c>
      <c r="G67" s="902"/>
      <c r="H67" s="902"/>
      <c r="I67" s="903" t="s">
        <v>9</v>
      </c>
      <c r="J67" s="903"/>
      <c r="K67" s="903"/>
      <c r="L67" s="903"/>
      <c r="M67" s="903"/>
      <c r="N67" s="39"/>
      <c r="O67" s="902" t="s">
        <v>6</v>
      </c>
      <c r="P67" s="902"/>
      <c r="Q67" s="902"/>
      <c r="R67" s="903" t="s">
        <v>9</v>
      </c>
      <c r="S67" s="903"/>
      <c r="T67" s="903"/>
      <c r="U67" s="903"/>
      <c r="V67" s="903"/>
      <c r="W67" s="39"/>
      <c r="X67" s="902" t="s">
        <v>6</v>
      </c>
      <c r="Y67" s="902"/>
      <c r="Z67" s="902"/>
      <c r="AA67" s="903" t="s">
        <v>9</v>
      </c>
      <c r="AB67" s="903"/>
      <c r="AC67" s="903"/>
      <c r="AD67" s="903"/>
      <c r="AE67" s="903"/>
      <c r="AF67" s="39"/>
      <c r="AG67" s="902" t="s">
        <v>6</v>
      </c>
      <c r="AH67" s="902"/>
      <c r="AI67" s="902"/>
      <c r="AJ67" s="903" t="s">
        <v>9</v>
      </c>
      <c r="AK67" s="903"/>
      <c r="AL67" s="903"/>
      <c r="AM67" s="903"/>
      <c r="AN67" s="903"/>
      <c r="AO67" s="39"/>
      <c r="AP67" s="902" t="s">
        <v>6</v>
      </c>
      <c r="AQ67" s="902"/>
      <c r="AR67" s="902"/>
      <c r="AS67" s="903" t="s">
        <v>9</v>
      </c>
      <c r="AT67" s="903"/>
      <c r="AU67" s="903"/>
      <c r="AV67" s="903"/>
      <c r="AW67" s="903"/>
      <c r="AX67" s="39"/>
      <c r="AY67" s="902" t="s">
        <v>6</v>
      </c>
      <c r="AZ67" s="902"/>
      <c r="BA67" s="902"/>
      <c r="BB67" s="903" t="s">
        <v>9</v>
      </c>
      <c r="BC67" s="903"/>
      <c r="BD67" s="903"/>
      <c r="BE67" s="903"/>
      <c r="BF67" s="903"/>
      <c r="BG67" s="39"/>
      <c r="BH67" s="902" t="s">
        <v>6</v>
      </c>
      <c r="BI67" s="902"/>
      <c r="BJ67" s="902"/>
      <c r="BK67" s="903" t="s">
        <v>9</v>
      </c>
      <c r="BL67" s="903"/>
      <c r="BM67" s="903"/>
      <c r="BN67" s="903"/>
      <c r="BO67" s="903"/>
      <c r="BP67" s="39"/>
      <c r="BQ67" s="902" t="s">
        <v>6</v>
      </c>
      <c r="BR67" s="902"/>
      <c r="BS67" s="902"/>
      <c r="BT67" s="903" t="s">
        <v>9</v>
      </c>
      <c r="BU67" s="903"/>
      <c r="BV67" s="903"/>
      <c r="BW67" s="903"/>
      <c r="BX67" s="903"/>
      <c r="BY67" s="39"/>
      <c r="BZ67" s="902" t="s">
        <v>6</v>
      </c>
      <c r="CA67" s="902"/>
      <c r="CB67" s="902"/>
      <c r="CC67" s="903" t="s">
        <v>9</v>
      </c>
      <c r="CD67" s="903"/>
      <c r="CE67" s="903"/>
      <c r="CF67" s="903"/>
      <c r="CG67" s="903"/>
      <c r="CH67" s="39"/>
      <c r="CI67" s="902" t="s">
        <v>6</v>
      </c>
      <c r="CJ67" s="902"/>
      <c r="CK67" s="902"/>
      <c r="CL67" s="903" t="s">
        <v>9</v>
      </c>
      <c r="CM67" s="903"/>
      <c r="CN67" s="903"/>
      <c r="CO67" s="903"/>
      <c r="CP67" s="903"/>
      <c r="CQ67" s="39"/>
      <c r="CR67" s="902" t="s">
        <v>6</v>
      </c>
      <c r="CS67" s="902"/>
      <c r="CT67" s="902"/>
      <c r="CU67" s="903" t="s">
        <v>9</v>
      </c>
      <c r="CV67" s="903"/>
      <c r="CW67" s="903"/>
      <c r="CX67" s="903"/>
      <c r="CY67" s="903"/>
      <c r="CZ67" s="39"/>
      <c r="DA67" s="902" t="s">
        <v>6</v>
      </c>
      <c r="DB67" s="902"/>
      <c r="DC67" s="902"/>
      <c r="DD67" s="903" t="s">
        <v>9</v>
      </c>
      <c r="DE67" s="903"/>
      <c r="DF67" s="903"/>
      <c r="DG67" s="903"/>
      <c r="DH67" s="903"/>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9"/>
      <c r="GO67" s="39"/>
      <c r="GP67" s="39"/>
      <c r="GQ67" s="39"/>
      <c r="GR67" s="39"/>
      <c r="GS67" s="39"/>
      <c r="GT67" s="39"/>
      <c r="GU67" s="39"/>
      <c r="GV67" s="39"/>
      <c r="GW67" s="39"/>
      <c r="GX67" s="39"/>
      <c r="GY67" s="39"/>
      <c r="GZ67" s="39"/>
      <c r="HA67" s="39"/>
      <c r="HB67" s="39"/>
      <c r="HC67" s="39"/>
      <c r="HD67" s="39"/>
      <c r="HE67" s="39"/>
      <c r="HF67" s="39"/>
      <c r="HG67" s="39"/>
      <c r="HH67" s="39"/>
      <c r="HI67" s="39"/>
      <c r="HJ67" s="39"/>
      <c r="HK67" s="39"/>
      <c r="HL67" s="39"/>
      <c r="HM67" s="39"/>
      <c r="HN67" s="39"/>
      <c r="HO67" s="39"/>
      <c r="HP67" s="39"/>
      <c r="HQ67" s="39"/>
      <c r="HR67" s="39"/>
      <c r="HS67" s="39"/>
      <c r="HT67" s="39"/>
      <c r="HU67" s="39"/>
      <c r="HV67" s="39"/>
      <c r="HW67" s="40"/>
    </row>
    <row r="68" spans="2:231" x14ac:dyDescent="0.25">
      <c r="B68" s="939"/>
      <c r="C68" s="39"/>
      <c r="D68" s="936"/>
      <c r="E68" s="39"/>
      <c r="F68" s="902"/>
      <c r="G68" s="902"/>
      <c r="H68" s="902"/>
      <c r="I68" s="903"/>
      <c r="J68" s="903"/>
      <c r="K68" s="903"/>
      <c r="L68" s="903"/>
      <c r="M68" s="903"/>
      <c r="N68" s="39"/>
      <c r="O68" s="902"/>
      <c r="P68" s="902"/>
      <c r="Q68" s="902"/>
      <c r="R68" s="903"/>
      <c r="S68" s="903"/>
      <c r="T68" s="903"/>
      <c r="U68" s="903"/>
      <c r="V68" s="903"/>
      <c r="W68" s="39"/>
      <c r="X68" s="902"/>
      <c r="Y68" s="902"/>
      <c r="Z68" s="902"/>
      <c r="AA68" s="903"/>
      <c r="AB68" s="903"/>
      <c r="AC68" s="903"/>
      <c r="AD68" s="903"/>
      <c r="AE68" s="903"/>
      <c r="AF68" s="39"/>
      <c r="AG68" s="902"/>
      <c r="AH68" s="902"/>
      <c r="AI68" s="902"/>
      <c r="AJ68" s="903"/>
      <c r="AK68" s="903"/>
      <c r="AL68" s="903"/>
      <c r="AM68" s="903"/>
      <c r="AN68" s="903"/>
      <c r="AO68" s="39"/>
      <c r="AP68" s="902"/>
      <c r="AQ68" s="902"/>
      <c r="AR68" s="902"/>
      <c r="AS68" s="903"/>
      <c r="AT68" s="903"/>
      <c r="AU68" s="903"/>
      <c r="AV68" s="903"/>
      <c r="AW68" s="903"/>
      <c r="AX68" s="39"/>
      <c r="AY68" s="902"/>
      <c r="AZ68" s="902"/>
      <c r="BA68" s="902"/>
      <c r="BB68" s="903"/>
      <c r="BC68" s="903"/>
      <c r="BD68" s="903"/>
      <c r="BE68" s="903"/>
      <c r="BF68" s="903"/>
      <c r="BG68" s="39"/>
      <c r="BH68" s="902"/>
      <c r="BI68" s="902"/>
      <c r="BJ68" s="902"/>
      <c r="BK68" s="903"/>
      <c r="BL68" s="903"/>
      <c r="BM68" s="903"/>
      <c r="BN68" s="903"/>
      <c r="BO68" s="903"/>
      <c r="BP68" s="39"/>
      <c r="BQ68" s="902"/>
      <c r="BR68" s="902"/>
      <c r="BS68" s="902"/>
      <c r="BT68" s="903"/>
      <c r="BU68" s="903"/>
      <c r="BV68" s="903"/>
      <c r="BW68" s="903"/>
      <c r="BX68" s="903"/>
      <c r="BY68" s="39"/>
      <c r="BZ68" s="902"/>
      <c r="CA68" s="902"/>
      <c r="CB68" s="902"/>
      <c r="CC68" s="903"/>
      <c r="CD68" s="903"/>
      <c r="CE68" s="903"/>
      <c r="CF68" s="903"/>
      <c r="CG68" s="903"/>
      <c r="CH68" s="39"/>
      <c r="CI68" s="902"/>
      <c r="CJ68" s="902"/>
      <c r="CK68" s="902"/>
      <c r="CL68" s="903"/>
      <c r="CM68" s="903"/>
      <c r="CN68" s="903"/>
      <c r="CO68" s="903"/>
      <c r="CP68" s="903"/>
      <c r="CQ68" s="39"/>
      <c r="CR68" s="902"/>
      <c r="CS68" s="902"/>
      <c r="CT68" s="902"/>
      <c r="CU68" s="903"/>
      <c r="CV68" s="903"/>
      <c r="CW68" s="903"/>
      <c r="CX68" s="903"/>
      <c r="CY68" s="903"/>
      <c r="CZ68" s="39"/>
      <c r="DA68" s="902"/>
      <c r="DB68" s="902"/>
      <c r="DC68" s="902"/>
      <c r="DD68" s="903"/>
      <c r="DE68" s="903"/>
      <c r="DF68" s="903"/>
      <c r="DG68" s="903"/>
      <c r="DH68" s="903"/>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9"/>
      <c r="GO68" s="39"/>
      <c r="GP68" s="39"/>
      <c r="GQ68" s="39"/>
      <c r="GR68" s="39"/>
      <c r="GS68" s="39"/>
      <c r="GT68" s="39"/>
      <c r="GU68" s="39"/>
      <c r="GV68" s="39"/>
      <c r="GW68" s="39"/>
      <c r="GX68" s="39"/>
      <c r="GY68" s="39"/>
      <c r="GZ68" s="39"/>
      <c r="HA68" s="39"/>
      <c r="HB68" s="39"/>
      <c r="HC68" s="39"/>
      <c r="HD68" s="39"/>
      <c r="HE68" s="39"/>
      <c r="HF68" s="39"/>
      <c r="HG68" s="39"/>
      <c r="HH68" s="39"/>
      <c r="HI68" s="39"/>
      <c r="HJ68" s="39"/>
      <c r="HK68" s="39"/>
      <c r="HL68" s="39"/>
      <c r="HM68" s="39"/>
      <c r="HN68" s="39"/>
      <c r="HO68" s="39"/>
      <c r="HP68" s="39"/>
      <c r="HQ68" s="39"/>
      <c r="HR68" s="39"/>
      <c r="HS68" s="39"/>
      <c r="HT68" s="39"/>
      <c r="HU68" s="39"/>
      <c r="HV68" s="39"/>
      <c r="HW68" s="40"/>
    </row>
    <row r="69" spans="2:231" x14ac:dyDescent="0.25">
      <c r="B69" s="939"/>
      <c r="C69" s="39"/>
      <c r="D69" s="936"/>
      <c r="E69" s="39"/>
      <c r="F69" s="902"/>
      <c r="G69" s="902"/>
      <c r="H69" s="902"/>
      <c r="I69" s="903"/>
      <c r="J69" s="903"/>
      <c r="K69" s="903"/>
      <c r="L69" s="903"/>
      <c r="M69" s="903"/>
      <c r="N69" s="39"/>
      <c r="O69" s="902"/>
      <c r="P69" s="902"/>
      <c r="Q69" s="902"/>
      <c r="R69" s="903"/>
      <c r="S69" s="903"/>
      <c r="T69" s="903"/>
      <c r="U69" s="903"/>
      <c r="V69" s="903"/>
      <c r="W69" s="39"/>
      <c r="X69" s="902"/>
      <c r="Y69" s="902"/>
      <c r="Z69" s="902"/>
      <c r="AA69" s="903"/>
      <c r="AB69" s="903"/>
      <c r="AC69" s="903"/>
      <c r="AD69" s="903"/>
      <c r="AE69" s="903"/>
      <c r="AF69" s="39"/>
      <c r="AG69" s="902"/>
      <c r="AH69" s="902"/>
      <c r="AI69" s="902"/>
      <c r="AJ69" s="903"/>
      <c r="AK69" s="903"/>
      <c r="AL69" s="903"/>
      <c r="AM69" s="903"/>
      <c r="AN69" s="903"/>
      <c r="AO69" s="39"/>
      <c r="AP69" s="902"/>
      <c r="AQ69" s="902"/>
      <c r="AR69" s="902"/>
      <c r="AS69" s="903"/>
      <c r="AT69" s="903"/>
      <c r="AU69" s="903"/>
      <c r="AV69" s="903"/>
      <c r="AW69" s="903"/>
      <c r="AX69" s="39"/>
      <c r="AY69" s="902"/>
      <c r="AZ69" s="902"/>
      <c r="BA69" s="902"/>
      <c r="BB69" s="903"/>
      <c r="BC69" s="903"/>
      <c r="BD69" s="903"/>
      <c r="BE69" s="903"/>
      <c r="BF69" s="903"/>
      <c r="BG69" s="39"/>
      <c r="BH69" s="902"/>
      <c r="BI69" s="902"/>
      <c r="BJ69" s="902"/>
      <c r="BK69" s="903"/>
      <c r="BL69" s="903"/>
      <c r="BM69" s="903"/>
      <c r="BN69" s="903"/>
      <c r="BO69" s="903"/>
      <c r="BP69" s="39"/>
      <c r="BQ69" s="902"/>
      <c r="BR69" s="902"/>
      <c r="BS69" s="902"/>
      <c r="BT69" s="903"/>
      <c r="BU69" s="903"/>
      <c r="BV69" s="903"/>
      <c r="BW69" s="903"/>
      <c r="BX69" s="903"/>
      <c r="BY69" s="39"/>
      <c r="BZ69" s="902"/>
      <c r="CA69" s="902"/>
      <c r="CB69" s="902"/>
      <c r="CC69" s="903"/>
      <c r="CD69" s="903"/>
      <c r="CE69" s="903"/>
      <c r="CF69" s="903"/>
      <c r="CG69" s="903"/>
      <c r="CH69" s="39"/>
      <c r="CI69" s="902"/>
      <c r="CJ69" s="902"/>
      <c r="CK69" s="902"/>
      <c r="CL69" s="903"/>
      <c r="CM69" s="903"/>
      <c r="CN69" s="903"/>
      <c r="CO69" s="903"/>
      <c r="CP69" s="903"/>
      <c r="CQ69" s="39"/>
      <c r="CR69" s="902"/>
      <c r="CS69" s="902"/>
      <c r="CT69" s="902"/>
      <c r="CU69" s="903"/>
      <c r="CV69" s="903"/>
      <c r="CW69" s="903"/>
      <c r="CX69" s="903"/>
      <c r="CY69" s="903"/>
      <c r="CZ69" s="39"/>
      <c r="DA69" s="902"/>
      <c r="DB69" s="902"/>
      <c r="DC69" s="902"/>
      <c r="DD69" s="903"/>
      <c r="DE69" s="903"/>
      <c r="DF69" s="903"/>
      <c r="DG69" s="903"/>
      <c r="DH69" s="903"/>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9"/>
      <c r="GO69" s="39"/>
      <c r="GP69" s="39"/>
      <c r="GQ69" s="39"/>
      <c r="GR69" s="39"/>
      <c r="GS69" s="39"/>
      <c r="GT69" s="39"/>
      <c r="GU69" s="39"/>
      <c r="GV69" s="39"/>
      <c r="GW69" s="39"/>
      <c r="GX69" s="39"/>
      <c r="GY69" s="39"/>
      <c r="GZ69" s="39"/>
      <c r="HA69" s="39"/>
      <c r="HB69" s="39"/>
      <c r="HC69" s="39"/>
      <c r="HD69" s="39"/>
      <c r="HE69" s="39"/>
      <c r="HF69" s="39"/>
      <c r="HG69" s="39"/>
      <c r="HH69" s="39"/>
      <c r="HI69" s="39"/>
      <c r="HJ69" s="39"/>
      <c r="HK69" s="39"/>
      <c r="HL69" s="39"/>
      <c r="HM69" s="39"/>
      <c r="HN69" s="39"/>
      <c r="HO69" s="39"/>
      <c r="HP69" s="39"/>
      <c r="HQ69" s="39"/>
      <c r="HR69" s="39"/>
      <c r="HS69" s="39"/>
      <c r="HT69" s="39"/>
      <c r="HU69" s="39"/>
      <c r="HV69" s="39"/>
      <c r="HW69" s="40"/>
    </row>
    <row r="70" spans="2:231" x14ac:dyDescent="0.25">
      <c r="B70" s="939"/>
      <c r="C70" s="39"/>
      <c r="D70" s="936"/>
      <c r="E70" s="39"/>
      <c r="F70" s="902" t="s">
        <v>7</v>
      </c>
      <c r="G70" s="902"/>
      <c r="H70" s="902"/>
      <c r="I70" s="903" t="s">
        <v>553</v>
      </c>
      <c r="J70" s="903"/>
      <c r="K70" s="903"/>
      <c r="L70" s="903"/>
      <c r="M70" s="903"/>
      <c r="N70" s="39"/>
      <c r="O70" s="902" t="s">
        <v>7</v>
      </c>
      <c r="P70" s="902"/>
      <c r="Q70" s="902"/>
      <c r="R70" s="903" t="s">
        <v>602</v>
      </c>
      <c r="S70" s="903"/>
      <c r="T70" s="903"/>
      <c r="U70" s="903"/>
      <c r="V70" s="903"/>
      <c r="W70" s="39"/>
      <c r="X70" s="902" t="s">
        <v>7</v>
      </c>
      <c r="Y70" s="902"/>
      <c r="Z70" s="902"/>
      <c r="AA70" s="903" t="s">
        <v>603</v>
      </c>
      <c r="AB70" s="903"/>
      <c r="AC70" s="903"/>
      <c r="AD70" s="903"/>
      <c r="AE70" s="903"/>
      <c r="AF70" s="39"/>
      <c r="AG70" s="902" t="s">
        <v>7</v>
      </c>
      <c r="AH70" s="902"/>
      <c r="AI70" s="902"/>
      <c r="AJ70" s="903" t="s">
        <v>606</v>
      </c>
      <c r="AK70" s="903"/>
      <c r="AL70" s="903"/>
      <c r="AM70" s="903"/>
      <c r="AN70" s="903"/>
      <c r="AO70" s="39"/>
      <c r="AP70" s="902" t="s">
        <v>7</v>
      </c>
      <c r="AQ70" s="902"/>
      <c r="AR70" s="902"/>
      <c r="AS70" s="903" t="s">
        <v>608</v>
      </c>
      <c r="AT70" s="903"/>
      <c r="AU70" s="903"/>
      <c r="AV70" s="903"/>
      <c r="AW70" s="903"/>
      <c r="AX70" s="39"/>
      <c r="AY70" s="902" t="s">
        <v>7</v>
      </c>
      <c r="AZ70" s="902"/>
      <c r="BA70" s="902"/>
      <c r="BB70" s="903" t="s">
        <v>612</v>
      </c>
      <c r="BC70" s="903"/>
      <c r="BD70" s="903"/>
      <c r="BE70" s="903"/>
      <c r="BF70" s="903"/>
      <c r="BG70" s="39"/>
      <c r="BH70" s="902" t="s">
        <v>7</v>
      </c>
      <c r="BI70" s="902"/>
      <c r="BJ70" s="902"/>
      <c r="BK70" s="903" t="s">
        <v>495</v>
      </c>
      <c r="BL70" s="903"/>
      <c r="BM70" s="903"/>
      <c r="BN70" s="903"/>
      <c r="BO70" s="903"/>
      <c r="BP70" s="39"/>
      <c r="BQ70" s="902" t="s">
        <v>7</v>
      </c>
      <c r="BR70" s="902"/>
      <c r="BS70" s="902"/>
      <c r="BT70" s="903" t="s">
        <v>596</v>
      </c>
      <c r="BU70" s="903"/>
      <c r="BV70" s="903"/>
      <c r="BW70" s="903"/>
      <c r="BX70" s="903"/>
      <c r="BY70" s="39"/>
      <c r="BZ70" s="902" t="s">
        <v>7</v>
      </c>
      <c r="CA70" s="902"/>
      <c r="CB70" s="902"/>
      <c r="CC70" s="903" t="s">
        <v>597</v>
      </c>
      <c r="CD70" s="903"/>
      <c r="CE70" s="903"/>
      <c r="CF70" s="903"/>
      <c r="CG70" s="903"/>
      <c r="CH70" s="39"/>
      <c r="CI70" s="902" t="s">
        <v>7</v>
      </c>
      <c r="CJ70" s="902"/>
      <c r="CK70" s="902"/>
      <c r="CL70" s="903" t="s">
        <v>598</v>
      </c>
      <c r="CM70" s="903"/>
      <c r="CN70" s="903"/>
      <c r="CO70" s="903"/>
      <c r="CP70" s="903"/>
      <c r="CQ70" s="39"/>
      <c r="CR70" s="902" t="s">
        <v>7</v>
      </c>
      <c r="CS70" s="902"/>
      <c r="CT70" s="902"/>
      <c r="CU70" s="903" t="s">
        <v>499</v>
      </c>
      <c r="CV70" s="903"/>
      <c r="CW70" s="903"/>
      <c r="CX70" s="903"/>
      <c r="CY70" s="903"/>
      <c r="CZ70" s="39"/>
      <c r="DA70" s="902" t="s">
        <v>7</v>
      </c>
      <c r="DB70" s="902"/>
      <c r="DC70" s="902"/>
      <c r="DD70" s="903" t="s">
        <v>601</v>
      </c>
      <c r="DE70" s="903"/>
      <c r="DF70" s="903"/>
      <c r="DG70" s="903"/>
      <c r="DH70" s="903"/>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9"/>
      <c r="GO70" s="39"/>
      <c r="GP70" s="39"/>
      <c r="GQ70" s="39"/>
      <c r="GR70" s="39"/>
      <c r="GS70" s="39"/>
      <c r="GT70" s="39"/>
      <c r="GU70" s="39"/>
      <c r="GV70" s="39"/>
      <c r="GW70" s="39"/>
      <c r="GX70" s="39"/>
      <c r="GY70" s="39"/>
      <c r="GZ70" s="39"/>
      <c r="HA70" s="39"/>
      <c r="HB70" s="39"/>
      <c r="HC70" s="39"/>
      <c r="HD70" s="39"/>
      <c r="HE70" s="39"/>
      <c r="HF70" s="39"/>
      <c r="HG70" s="39"/>
      <c r="HH70" s="39"/>
      <c r="HI70" s="39"/>
      <c r="HJ70" s="39"/>
      <c r="HK70" s="39"/>
      <c r="HL70" s="39"/>
      <c r="HM70" s="39"/>
      <c r="HN70" s="39"/>
      <c r="HO70" s="39"/>
      <c r="HP70" s="39"/>
      <c r="HQ70" s="39"/>
      <c r="HR70" s="39"/>
      <c r="HS70" s="39"/>
      <c r="HT70" s="39"/>
      <c r="HU70" s="39"/>
      <c r="HV70" s="39"/>
      <c r="HW70" s="40"/>
    </row>
    <row r="71" spans="2:231" x14ac:dyDescent="0.25">
      <c r="B71" s="939"/>
      <c r="C71" s="39"/>
      <c r="D71" s="936"/>
      <c r="E71" s="39"/>
      <c r="F71" s="902"/>
      <c r="G71" s="902"/>
      <c r="H71" s="902"/>
      <c r="I71" s="903"/>
      <c r="J71" s="903"/>
      <c r="K71" s="903"/>
      <c r="L71" s="903"/>
      <c r="M71" s="903"/>
      <c r="N71" s="39"/>
      <c r="O71" s="902"/>
      <c r="P71" s="902"/>
      <c r="Q71" s="902"/>
      <c r="R71" s="903"/>
      <c r="S71" s="903"/>
      <c r="T71" s="903"/>
      <c r="U71" s="903"/>
      <c r="V71" s="903"/>
      <c r="W71" s="39"/>
      <c r="X71" s="902"/>
      <c r="Y71" s="902"/>
      <c r="Z71" s="902"/>
      <c r="AA71" s="903"/>
      <c r="AB71" s="903"/>
      <c r="AC71" s="903"/>
      <c r="AD71" s="903"/>
      <c r="AE71" s="903"/>
      <c r="AF71" s="39"/>
      <c r="AG71" s="902"/>
      <c r="AH71" s="902"/>
      <c r="AI71" s="902"/>
      <c r="AJ71" s="903"/>
      <c r="AK71" s="903"/>
      <c r="AL71" s="903"/>
      <c r="AM71" s="903"/>
      <c r="AN71" s="903"/>
      <c r="AO71" s="39"/>
      <c r="AP71" s="902"/>
      <c r="AQ71" s="902"/>
      <c r="AR71" s="902"/>
      <c r="AS71" s="903"/>
      <c r="AT71" s="903"/>
      <c r="AU71" s="903"/>
      <c r="AV71" s="903"/>
      <c r="AW71" s="903"/>
      <c r="AX71" s="39"/>
      <c r="AY71" s="902"/>
      <c r="AZ71" s="902"/>
      <c r="BA71" s="902"/>
      <c r="BB71" s="903"/>
      <c r="BC71" s="903"/>
      <c r="BD71" s="903"/>
      <c r="BE71" s="903"/>
      <c r="BF71" s="903"/>
      <c r="BG71" s="39"/>
      <c r="BH71" s="902"/>
      <c r="BI71" s="902"/>
      <c r="BJ71" s="902"/>
      <c r="BK71" s="903"/>
      <c r="BL71" s="903"/>
      <c r="BM71" s="903"/>
      <c r="BN71" s="903"/>
      <c r="BO71" s="903"/>
      <c r="BP71" s="39"/>
      <c r="BQ71" s="902"/>
      <c r="BR71" s="902"/>
      <c r="BS71" s="902"/>
      <c r="BT71" s="903"/>
      <c r="BU71" s="903"/>
      <c r="BV71" s="903"/>
      <c r="BW71" s="903"/>
      <c r="BX71" s="903"/>
      <c r="BY71" s="39"/>
      <c r="BZ71" s="902"/>
      <c r="CA71" s="902"/>
      <c r="CB71" s="902"/>
      <c r="CC71" s="903"/>
      <c r="CD71" s="903"/>
      <c r="CE71" s="903"/>
      <c r="CF71" s="903"/>
      <c r="CG71" s="903"/>
      <c r="CH71" s="39"/>
      <c r="CI71" s="902"/>
      <c r="CJ71" s="902"/>
      <c r="CK71" s="902"/>
      <c r="CL71" s="903"/>
      <c r="CM71" s="903"/>
      <c r="CN71" s="903"/>
      <c r="CO71" s="903"/>
      <c r="CP71" s="903"/>
      <c r="CQ71" s="39"/>
      <c r="CR71" s="902"/>
      <c r="CS71" s="902"/>
      <c r="CT71" s="902"/>
      <c r="CU71" s="903"/>
      <c r="CV71" s="903"/>
      <c r="CW71" s="903"/>
      <c r="CX71" s="903"/>
      <c r="CY71" s="903"/>
      <c r="CZ71" s="39"/>
      <c r="DA71" s="902"/>
      <c r="DB71" s="902"/>
      <c r="DC71" s="902"/>
      <c r="DD71" s="903"/>
      <c r="DE71" s="903"/>
      <c r="DF71" s="903"/>
      <c r="DG71" s="903"/>
      <c r="DH71" s="903"/>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40"/>
    </row>
    <row r="72" spans="2:231" ht="16.5" thickBot="1" x14ac:dyDescent="0.3">
      <c r="B72" s="939"/>
      <c r="C72" s="39"/>
      <c r="D72" s="937"/>
      <c r="E72" s="39"/>
      <c r="F72" s="902"/>
      <c r="G72" s="902"/>
      <c r="H72" s="902"/>
      <c r="I72" s="903"/>
      <c r="J72" s="903"/>
      <c r="K72" s="903"/>
      <c r="L72" s="903"/>
      <c r="M72" s="903"/>
      <c r="N72" s="39"/>
      <c r="O72" s="902"/>
      <c r="P72" s="902"/>
      <c r="Q72" s="902"/>
      <c r="R72" s="903"/>
      <c r="S72" s="903"/>
      <c r="T72" s="903"/>
      <c r="U72" s="903"/>
      <c r="V72" s="903"/>
      <c r="W72" s="39"/>
      <c r="X72" s="902"/>
      <c r="Y72" s="902"/>
      <c r="Z72" s="902"/>
      <c r="AA72" s="903"/>
      <c r="AB72" s="903"/>
      <c r="AC72" s="903"/>
      <c r="AD72" s="903"/>
      <c r="AE72" s="903"/>
      <c r="AF72" s="39"/>
      <c r="AG72" s="902"/>
      <c r="AH72" s="902"/>
      <c r="AI72" s="902"/>
      <c r="AJ72" s="903"/>
      <c r="AK72" s="903"/>
      <c r="AL72" s="903"/>
      <c r="AM72" s="903"/>
      <c r="AN72" s="903"/>
      <c r="AO72" s="39"/>
      <c r="AP72" s="902"/>
      <c r="AQ72" s="902"/>
      <c r="AR72" s="902"/>
      <c r="AS72" s="903"/>
      <c r="AT72" s="903"/>
      <c r="AU72" s="903"/>
      <c r="AV72" s="903"/>
      <c r="AW72" s="903"/>
      <c r="AX72" s="39"/>
      <c r="AY72" s="902"/>
      <c r="AZ72" s="902"/>
      <c r="BA72" s="902"/>
      <c r="BB72" s="903"/>
      <c r="BC72" s="903"/>
      <c r="BD72" s="903"/>
      <c r="BE72" s="903"/>
      <c r="BF72" s="903"/>
      <c r="BG72" s="39"/>
      <c r="BH72" s="902"/>
      <c r="BI72" s="902"/>
      <c r="BJ72" s="902"/>
      <c r="BK72" s="903"/>
      <c r="BL72" s="903"/>
      <c r="BM72" s="903"/>
      <c r="BN72" s="903"/>
      <c r="BO72" s="903"/>
      <c r="BP72" s="39"/>
      <c r="BQ72" s="902"/>
      <c r="BR72" s="902"/>
      <c r="BS72" s="902"/>
      <c r="BT72" s="903"/>
      <c r="BU72" s="903"/>
      <c r="BV72" s="903"/>
      <c r="BW72" s="903"/>
      <c r="BX72" s="903"/>
      <c r="BY72" s="39"/>
      <c r="BZ72" s="902"/>
      <c r="CA72" s="902"/>
      <c r="CB72" s="902"/>
      <c r="CC72" s="903"/>
      <c r="CD72" s="903"/>
      <c r="CE72" s="903"/>
      <c r="CF72" s="903"/>
      <c r="CG72" s="903"/>
      <c r="CH72" s="39"/>
      <c r="CI72" s="902"/>
      <c r="CJ72" s="902"/>
      <c r="CK72" s="902"/>
      <c r="CL72" s="903"/>
      <c r="CM72" s="903"/>
      <c r="CN72" s="903"/>
      <c r="CO72" s="903"/>
      <c r="CP72" s="903"/>
      <c r="CQ72" s="39"/>
      <c r="CR72" s="902"/>
      <c r="CS72" s="902"/>
      <c r="CT72" s="902"/>
      <c r="CU72" s="903"/>
      <c r="CV72" s="903"/>
      <c r="CW72" s="903"/>
      <c r="CX72" s="903"/>
      <c r="CY72" s="903"/>
      <c r="CZ72" s="39"/>
      <c r="DA72" s="902"/>
      <c r="DB72" s="902"/>
      <c r="DC72" s="902"/>
      <c r="DD72" s="903"/>
      <c r="DE72" s="903"/>
      <c r="DF72" s="903"/>
      <c r="DG72" s="903"/>
      <c r="DH72" s="903"/>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9"/>
      <c r="GO72" s="39"/>
      <c r="GP72" s="39"/>
      <c r="GQ72" s="39"/>
      <c r="GR72" s="39"/>
      <c r="GS72" s="39"/>
      <c r="GT72" s="39"/>
      <c r="GU72" s="39"/>
      <c r="GV72" s="39"/>
      <c r="GW72" s="39"/>
      <c r="GX72" s="39"/>
      <c r="GY72" s="39"/>
      <c r="GZ72" s="39"/>
      <c r="HA72" s="39"/>
      <c r="HB72" s="39"/>
      <c r="HC72" s="39"/>
      <c r="HD72" s="39"/>
      <c r="HE72" s="39"/>
      <c r="HF72" s="39"/>
      <c r="HG72" s="39"/>
      <c r="HH72" s="39"/>
      <c r="HI72" s="39"/>
      <c r="HJ72" s="39"/>
      <c r="HK72" s="39"/>
      <c r="HL72" s="39"/>
      <c r="HM72" s="39"/>
      <c r="HN72" s="39"/>
      <c r="HO72" s="39"/>
      <c r="HP72" s="39"/>
      <c r="HQ72" s="39"/>
      <c r="HR72" s="39"/>
      <c r="HS72" s="39"/>
      <c r="HT72" s="39"/>
      <c r="HU72" s="39"/>
      <c r="HV72" s="39"/>
      <c r="HW72" s="40"/>
    </row>
    <row r="73" spans="2:231" x14ac:dyDescent="0.25">
      <c r="B73" s="9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t="s">
        <v>54</v>
      </c>
      <c r="AZ73" s="39"/>
      <c r="BA73" s="39"/>
      <c r="BB73" s="39"/>
      <c r="BC73" s="39"/>
      <c r="BD73" s="39"/>
      <c r="BE73" s="39"/>
      <c r="BF73" s="39"/>
      <c r="BG73" s="39"/>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40"/>
    </row>
    <row r="74" spans="2:231" ht="16.5" thickBot="1" x14ac:dyDescent="0.3">
      <c r="B74" s="9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t="s">
        <v>122</v>
      </c>
      <c r="AZ74" s="39"/>
      <c r="BA74" s="39"/>
      <c r="BB74" s="39"/>
      <c r="BC74" s="39"/>
      <c r="BD74" s="39"/>
      <c r="BE74" s="39"/>
      <c r="BF74" s="39"/>
      <c r="BG74" s="39"/>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40"/>
    </row>
    <row r="75" spans="2:231" ht="15.75" customHeight="1" x14ac:dyDescent="0.25">
      <c r="B75" s="939"/>
      <c r="C75" s="39"/>
      <c r="D75" s="938" t="s">
        <v>55</v>
      </c>
      <c r="E75" s="39"/>
      <c r="F75" s="906" t="s">
        <v>8</v>
      </c>
      <c r="G75" s="906"/>
      <c r="H75" s="906"/>
      <c r="I75" s="906"/>
      <c r="J75" s="906"/>
      <c r="K75" s="906"/>
      <c r="L75" s="906"/>
      <c r="M75" s="906"/>
      <c r="N75" s="39"/>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9"/>
      <c r="GO75" s="39"/>
      <c r="GP75" s="39"/>
      <c r="GQ75" s="39"/>
      <c r="GR75" s="39"/>
      <c r="GS75" s="39"/>
      <c r="GT75" s="39"/>
      <c r="GU75" s="39"/>
      <c r="GV75" s="39"/>
      <c r="GW75" s="39"/>
      <c r="GX75" s="39"/>
      <c r="GY75" s="39"/>
      <c r="GZ75" s="39"/>
      <c r="HA75" s="39"/>
      <c r="HB75" s="39"/>
      <c r="HC75" s="39"/>
      <c r="HD75" s="39"/>
      <c r="HE75" s="39"/>
      <c r="HF75" s="39"/>
      <c r="HG75" s="39"/>
      <c r="HH75" s="39"/>
      <c r="HI75" s="39"/>
      <c r="HJ75" s="39"/>
      <c r="HK75" s="39"/>
      <c r="HL75" s="39"/>
      <c r="HM75" s="39"/>
      <c r="HN75" s="39"/>
      <c r="HO75" s="39"/>
      <c r="HP75" s="39"/>
      <c r="HQ75" s="39"/>
      <c r="HR75" s="39"/>
      <c r="HS75" s="39"/>
      <c r="HT75" s="39"/>
      <c r="HU75" s="39"/>
      <c r="HV75" s="39"/>
      <c r="HW75" s="40"/>
    </row>
    <row r="76" spans="2:231" x14ac:dyDescent="0.25">
      <c r="B76" s="939"/>
      <c r="C76" s="39"/>
      <c r="D76" s="939"/>
      <c r="E76" s="39"/>
      <c r="F76" s="905" t="s">
        <v>0</v>
      </c>
      <c r="G76" s="905"/>
      <c r="H76" s="905"/>
      <c r="I76" s="905" t="s">
        <v>1</v>
      </c>
      <c r="J76" s="905"/>
      <c r="K76" s="905"/>
      <c r="L76" s="905"/>
      <c r="M76" s="905"/>
      <c r="N76" s="39"/>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9"/>
      <c r="GO76" s="39"/>
      <c r="GP76" s="39"/>
      <c r="GQ76" s="39"/>
      <c r="GR76" s="39"/>
      <c r="GS76" s="39"/>
      <c r="GT76" s="39"/>
      <c r="GU76" s="39"/>
      <c r="GV76" s="39"/>
      <c r="GW76" s="39"/>
      <c r="GX76" s="39"/>
      <c r="GY76" s="39"/>
      <c r="GZ76" s="39"/>
      <c r="HA76" s="39"/>
      <c r="HB76" s="39"/>
      <c r="HC76" s="39"/>
      <c r="HD76" s="39"/>
      <c r="HE76" s="39"/>
      <c r="HF76" s="39"/>
      <c r="HG76" s="39"/>
      <c r="HH76" s="39"/>
      <c r="HI76" s="39"/>
      <c r="HJ76" s="39"/>
      <c r="HK76" s="39"/>
      <c r="HL76" s="39"/>
      <c r="HM76" s="39"/>
      <c r="HN76" s="39"/>
      <c r="HO76" s="39"/>
      <c r="HP76" s="39"/>
      <c r="HQ76" s="39"/>
      <c r="HR76" s="39"/>
      <c r="HS76" s="39"/>
      <c r="HT76" s="39"/>
      <c r="HU76" s="39"/>
      <c r="HV76" s="39"/>
      <c r="HW76" s="40"/>
    </row>
    <row r="77" spans="2:231" x14ac:dyDescent="0.25">
      <c r="B77" s="939"/>
      <c r="C77" s="39"/>
      <c r="D77" s="939"/>
      <c r="E77" s="39"/>
      <c r="F77" s="902" t="s">
        <v>2</v>
      </c>
      <c r="G77" s="902"/>
      <c r="H77" s="902"/>
      <c r="I77" s="903" t="s">
        <v>126</v>
      </c>
      <c r="J77" s="903"/>
      <c r="K77" s="903"/>
      <c r="L77" s="903"/>
      <c r="M77" s="903"/>
      <c r="N77" s="39"/>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9"/>
      <c r="GO77" s="39"/>
      <c r="GP77" s="39"/>
      <c r="GQ77" s="39"/>
      <c r="GR77" s="39"/>
      <c r="GS77" s="39"/>
      <c r="GT77" s="39"/>
      <c r="GU77" s="39"/>
      <c r="GV77" s="39"/>
      <c r="GW77" s="39"/>
      <c r="GX77" s="39"/>
      <c r="GY77" s="39"/>
      <c r="GZ77" s="39"/>
      <c r="HA77" s="39"/>
      <c r="HB77" s="39"/>
      <c r="HC77" s="39"/>
      <c r="HD77" s="39"/>
      <c r="HE77" s="39"/>
      <c r="HF77" s="39"/>
      <c r="HG77" s="39"/>
      <c r="HH77" s="39"/>
      <c r="HI77" s="39"/>
      <c r="HJ77" s="39"/>
      <c r="HK77" s="39"/>
      <c r="HL77" s="39"/>
      <c r="HM77" s="39"/>
      <c r="HN77" s="39"/>
      <c r="HO77" s="39"/>
      <c r="HP77" s="39"/>
      <c r="HQ77" s="39"/>
      <c r="HR77" s="39"/>
      <c r="HS77" s="39"/>
      <c r="HT77" s="39"/>
      <c r="HU77" s="39"/>
      <c r="HV77" s="39"/>
      <c r="HW77" s="40"/>
    </row>
    <row r="78" spans="2:231" x14ac:dyDescent="0.25">
      <c r="B78" s="939"/>
      <c r="C78" s="39"/>
      <c r="D78" s="939"/>
      <c r="E78" s="39"/>
      <c r="F78" s="902"/>
      <c r="G78" s="902"/>
      <c r="H78" s="902"/>
      <c r="I78" s="903"/>
      <c r="J78" s="903"/>
      <c r="K78" s="903"/>
      <c r="L78" s="903"/>
      <c r="M78" s="903"/>
      <c r="N78" s="39"/>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9"/>
      <c r="GO78" s="39"/>
      <c r="GP78" s="39"/>
      <c r="GQ78" s="39"/>
      <c r="GR78" s="39"/>
      <c r="GS78" s="39"/>
      <c r="GT78" s="39"/>
      <c r="GU78" s="39"/>
      <c r="GV78" s="39"/>
      <c r="GW78" s="39"/>
      <c r="GX78" s="39"/>
      <c r="GY78" s="39"/>
      <c r="GZ78" s="39"/>
      <c r="HA78" s="39"/>
      <c r="HB78" s="39"/>
      <c r="HC78" s="39"/>
      <c r="HD78" s="39"/>
      <c r="HE78" s="39"/>
      <c r="HF78" s="39"/>
      <c r="HG78" s="39"/>
      <c r="HH78" s="39"/>
      <c r="HI78" s="39"/>
      <c r="HJ78" s="39"/>
      <c r="HK78" s="39"/>
      <c r="HL78" s="39"/>
      <c r="HM78" s="39"/>
      <c r="HN78" s="39"/>
      <c r="HO78" s="39"/>
      <c r="HP78" s="39"/>
      <c r="HQ78" s="39"/>
      <c r="HR78" s="39"/>
      <c r="HS78" s="39"/>
      <c r="HT78" s="39"/>
      <c r="HU78" s="39"/>
      <c r="HV78" s="39"/>
      <c r="HW78" s="40"/>
    </row>
    <row r="79" spans="2:231" x14ac:dyDescent="0.25">
      <c r="B79" s="939"/>
      <c r="C79" s="39"/>
      <c r="D79" s="939"/>
      <c r="E79" s="39"/>
      <c r="F79" s="902"/>
      <c r="G79" s="902"/>
      <c r="H79" s="902"/>
      <c r="I79" s="903"/>
      <c r="J79" s="903"/>
      <c r="K79" s="903"/>
      <c r="L79" s="903"/>
      <c r="M79" s="903"/>
      <c r="N79" s="39"/>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39"/>
      <c r="GT79" s="39"/>
      <c r="GU79" s="39"/>
      <c r="GV79" s="39"/>
      <c r="GW79" s="39"/>
      <c r="GX79" s="39"/>
      <c r="GY79" s="39"/>
      <c r="GZ79" s="39"/>
      <c r="HA79" s="39"/>
      <c r="HB79" s="39"/>
      <c r="HC79" s="39"/>
      <c r="HD79" s="39"/>
      <c r="HE79" s="39"/>
      <c r="HF79" s="39"/>
      <c r="HG79" s="39"/>
      <c r="HH79" s="39"/>
      <c r="HI79" s="39"/>
      <c r="HJ79" s="39"/>
      <c r="HK79" s="39"/>
      <c r="HL79" s="39"/>
      <c r="HM79" s="39"/>
      <c r="HN79" s="39"/>
      <c r="HO79" s="39"/>
      <c r="HP79" s="39"/>
      <c r="HQ79" s="39"/>
      <c r="HR79" s="39"/>
      <c r="HS79" s="39"/>
      <c r="HT79" s="39"/>
      <c r="HU79" s="39"/>
      <c r="HV79" s="39"/>
      <c r="HW79" s="40"/>
    </row>
    <row r="80" spans="2:231" x14ac:dyDescent="0.25">
      <c r="B80" s="939"/>
      <c r="C80" s="39"/>
      <c r="D80" s="939"/>
      <c r="E80" s="39"/>
      <c r="F80" s="905" t="s">
        <v>0</v>
      </c>
      <c r="G80" s="905"/>
      <c r="H80" s="905"/>
      <c r="I80" s="905" t="s">
        <v>1</v>
      </c>
      <c r="J80" s="905"/>
      <c r="K80" s="905"/>
      <c r="L80" s="905"/>
      <c r="M80" s="905"/>
      <c r="N80" s="39"/>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9"/>
      <c r="GO80" s="39"/>
      <c r="GP80" s="39"/>
      <c r="GQ80" s="39"/>
      <c r="GR80" s="39"/>
      <c r="GS80" s="39"/>
      <c r="GT80" s="39"/>
      <c r="GU80" s="39"/>
      <c r="GV80" s="39"/>
      <c r="GW80" s="39"/>
      <c r="GX80" s="39"/>
      <c r="GY80" s="39"/>
      <c r="GZ80" s="39"/>
      <c r="HA80" s="39"/>
      <c r="HB80" s="39"/>
      <c r="HC80" s="39"/>
      <c r="HD80" s="39"/>
      <c r="HE80" s="39"/>
      <c r="HF80" s="39"/>
      <c r="HG80" s="39"/>
      <c r="HH80" s="39"/>
      <c r="HI80" s="39"/>
      <c r="HJ80" s="39"/>
      <c r="HK80" s="39"/>
      <c r="HL80" s="39"/>
      <c r="HM80" s="39"/>
      <c r="HN80" s="39"/>
      <c r="HO80" s="39"/>
      <c r="HP80" s="39"/>
      <c r="HQ80" s="39"/>
      <c r="HR80" s="39"/>
      <c r="HS80" s="39"/>
      <c r="HT80" s="39"/>
      <c r="HU80" s="39"/>
      <c r="HV80" s="39"/>
      <c r="HW80" s="40"/>
    </row>
    <row r="81" spans="2:231" x14ac:dyDescent="0.25">
      <c r="B81" s="939"/>
      <c r="C81" s="39"/>
      <c r="D81" s="939"/>
      <c r="E81" s="39"/>
      <c r="F81" s="902" t="s">
        <v>3</v>
      </c>
      <c r="G81" s="902"/>
      <c r="H81" s="902"/>
      <c r="I81" s="903" t="s">
        <v>127</v>
      </c>
      <c r="J81" s="903"/>
      <c r="K81" s="903"/>
      <c r="L81" s="903"/>
      <c r="M81" s="903"/>
      <c r="N81" s="39"/>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9"/>
      <c r="GO81" s="39"/>
      <c r="GP81" s="39"/>
      <c r="GQ81" s="39"/>
      <c r="GR81" s="39"/>
      <c r="GS81" s="39"/>
      <c r="GT81" s="39"/>
      <c r="GU81" s="39"/>
      <c r="GV81" s="39"/>
      <c r="GW81" s="39"/>
      <c r="GX81" s="39"/>
      <c r="GY81" s="39"/>
      <c r="GZ81" s="39"/>
      <c r="HA81" s="39"/>
      <c r="HB81" s="39"/>
      <c r="HC81" s="39"/>
      <c r="HD81" s="39"/>
      <c r="HE81" s="39"/>
      <c r="HF81" s="39"/>
      <c r="HG81" s="39"/>
      <c r="HH81" s="39"/>
      <c r="HI81" s="39"/>
      <c r="HJ81" s="39"/>
      <c r="HK81" s="39"/>
      <c r="HL81" s="39"/>
      <c r="HM81" s="39"/>
      <c r="HN81" s="39"/>
      <c r="HO81" s="39"/>
      <c r="HP81" s="39"/>
      <c r="HQ81" s="39"/>
      <c r="HR81" s="39"/>
      <c r="HS81" s="39"/>
      <c r="HT81" s="39"/>
      <c r="HU81" s="39"/>
      <c r="HV81" s="39"/>
      <c r="HW81" s="40"/>
    </row>
    <row r="82" spans="2:231" x14ac:dyDescent="0.25">
      <c r="B82" s="939"/>
      <c r="C82" s="39"/>
      <c r="D82" s="939"/>
      <c r="E82" s="39"/>
      <c r="F82" s="902"/>
      <c r="G82" s="902"/>
      <c r="H82" s="902"/>
      <c r="I82" s="903"/>
      <c r="J82" s="903"/>
      <c r="K82" s="903"/>
      <c r="L82" s="903"/>
      <c r="M82" s="903"/>
      <c r="N82" s="39"/>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9"/>
      <c r="GO82" s="39"/>
      <c r="GP82" s="39"/>
      <c r="GQ82" s="39"/>
      <c r="GR82" s="39"/>
      <c r="GS82" s="39"/>
      <c r="GT82" s="39"/>
      <c r="GU82" s="39"/>
      <c r="GV82" s="39"/>
      <c r="GW82" s="39"/>
      <c r="GX82" s="39"/>
      <c r="GY82" s="39"/>
      <c r="GZ82" s="39"/>
      <c r="HA82" s="39"/>
      <c r="HB82" s="39"/>
      <c r="HC82" s="39"/>
      <c r="HD82" s="39"/>
      <c r="HE82" s="39"/>
      <c r="HF82" s="39"/>
      <c r="HG82" s="39"/>
      <c r="HH82" s="39"/>
      <c r="HI82" s="39"/>
      <c r="HJ82" s="39"/>
      <c r="HK82" s="39"/>
      <c r="HL82" s="39"/>
      <c r="HM82" s="39"/>
      <c r="HN82" s="39"/>
      <c r="HO82" s="39"/>
      <c r="HP82" s="39"/>
      <c r="HQ82" s="39"/>
      <c r="HR82" s="39"/>
      <c r="HS82" s="39"/>
      <c r="HT82" s="39"/>
      <c r="HU82" s="39"/>
      <c r="HV82" s="39"/>
      <c r="HW82" s="40"/>
    </row>
    <row r="83" spans="2:231" x14ac:dyDescent="0.25">
      <c r="B83" s="939"/>
      <c r="C83" s="39"/>
      <c r="D83" s="939"/>
      <c r="E83" s="39"/>
      <c r="F83" s="902"/>
      <c r="G83" s="902"/>
      <c r="H83" s="902"/>
      <c r="I83" s="903"/>
      <c r="J83" s="903"/>
      <c r="K83" s="903"/>
      <c r="L83" s="903"/>
      <c r="M83" s="903"/>
      <c r="N83" s="39"/>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9"/>
      <c r="GO83" s="39"/>
      <c r="GP83" s="39"/>
      <c r="GQ83" s="39"/>
      <c r="GR83" s="39"/>
      <c r="GS83" s="39"/>
      <c r="GT83" s="39"/>
      <c r="GU83" s="39"/>
      <c r="GV83" s="39"/>
      <c r="GW83" s="39"/>
      <c r="GX83" s="39"/>
      <c r="GY83" s="39"/>
      <c r="GZ83" s="39"/>
      <c r="HA83" s="39"/>
      <c r="HB83" s="39"/>
      <c r="HC83" s="39"/>
      <c r="HD83" s="39"/>
      <c r="HE83" s="39"/>
      <c r="HF83" s="39"/>
      <c r="HG83" s="39"/>
      <c r="HH83" s="39"/>
      <c r="HI83" s="39"/>
      <c r="HJ83" s="39"/>
      <c r="HK83" s="39"/>
      <c r="HL83" s="39"/>
      <c r="HM83" s="39"/>
      <c r="HN83" s="39"/>
      <c r="HO83" s="39"/>
      <c r="HP83" s="39"/>
      <c r="HQ83" s="39"/>
      <c r="HR83" s="39"/>
      <c r="HS83" s="39"/>
      <c r="HT83" s="39"/>
      <c r="HU83" s="39"/>
      <c r="HV83" s="39"/>
      <c r="HW83" s="40"/>
    </row>
    <row r="84" spans="2:231" x14ac:dyDescent="0.25">
      <c r="B84" s="939"/>
      <c r="C84" s="39"/>
      <c r="D84" s="939"/>
      <c r="E84" s="39"/>
      <c r="F84" s="902" t="s">
        <v>4</v>
      </c>
      <c r="G84" s="902"/>
      <c r="H84" s="902"/>
      <c r="I84" s="903" t="s">
        <v>15</v>
      </c>
      <c r="J84" s="903"/>
      <c r="K84" s="903"/>
      <c r="L84" s="903"/>
      <c r="M84" s="903"/>
      <c r="N84" s="39"/>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9"/>
      <c r="GO84" s="39"/>
      <c r="GP84" s="39"/>
      <c r="GQ84" s="39"/>
      <c r="GR84" s="39"/>
      <c r="GS84" s="39"/>
      <c r="GT84" s="39"/>
      <c r="GU84" s="39"/>
      <c r="GV84" s="39"/>
      <c r="GW84" s="39"/>
      <c r="GX84" s="39"/>
      <c r="GY84" s="39"/>
      <c r="GZ84" s="39"/>
      <c r="HA84" s="39"/>
      <c r="HB84" s="39"/>
      <c r="HC84" s="39"/>
      <c r="HD84" s="39"/>
      <c r="HE84" s="39"/>
      <c r="HF84" s="39"/>
      <c r="HG84" s="39"/>
      <c r="HH84" s="39"/>
      <c r="HI84" s="39"/>
      <c r="HJ84" s="39"/>
      <c r="HK84" s="39"/>
      <c r="HL84" s="39"/>
      <c r="HM84" s="39"/>
      <c r="HN84" s="39"/>
      <c r="HO84" s="39"/>
      <c r="HP84" s="39"/>
      <c r="HQ84" s="39"/>
      <c r="HR84" s="39"/>
      <c r="HS84" s="39"/>
      <c r="HT84" s="39"/>
      <c r="HU84" s="39"/>
      <c r="HV84" s="39"/>
      <c r="HW84" s="40"/>
    </row>
    <row r="85" spans="2:231" x14ac:dyDescent="0.25">
      <c r="B85" s="939"/>
      <c r="C85" s="39"/>
      <c r="D85" s="939"/>
      <c r="E85" s="39"/>
      <c r="F85" s="902"/>
      <c r="G85" s="902"/>
      <c r="H85" s="902"/>
      <c r="I85" s="903"/>
      <c r="J85" s="903"/>
      <c r="K85" s="903"/>
      <c r="L85" s="903"/>
      <c r="M85" s="903"/>
      <c r="N85" s="39"/>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9"/>
      <c r="GO85" s="39"/>
      <c r="GP85" s="39"/>
      <c r="GQ85" s="39"/>
      <c r="GR85" s="39"/>
      <c r="GS85" s="39"/>
      <c r="GT85" s="39"/>
      <c r="GU85" s="39"/>
      <c r="GV85" s="39"/>
      <c r="GW85" s="39"/>
      <c r="GX85" s="39"/>
      <c r="GY85" s="39"/>
      <c r="GZ85" s="39"/>
      <c r="HA85" s="39"/>
      <c r="HB85" s="39"/>
      <c r="HC85" s="39"/>
      <c r="HD85" s="39"/>
      <c r="HE85" s="39"/>
      <c r="HF85" s="39"/>
      <c r="HG85" s="39"/>
      <c r="HH85" s="39"/>
      <c r="HI85" s="39"/>
      <c r="HJ85" s="39"/>
      <c r="HK85" s="39"/>
      <c r="HL85" s="39"/>
      <c r="HM85" s="39"/>
      <c r="HN85" s="39"/>
      <c r="HO85" s="39"/>
      <c r="HP85" s="39"/>
      <c r="HQ85" s="39"/>
      <c r="HR85" s="39"/>
      <c r="HS85" s="39"/>
      <c r="HT85" s="39"/>
      <c r="HU85" s="39"/>
      <c r="HV85" s="39"/>
      <c r="HW85" s="40"/>
    </row>
    <row r="86" spans="2:231" x14ac:dyDescent="0.25">
      <c r="B86" s="939"/>
      <c r="C86" s="39"/>
      <c r="D86" s="939"/>
      <c r="E86" s="39"/>
      <c r="F86" s="902"/>
      <c r="G86" s="902"/>
      <c r="H86" s="902"/>
      <c r="I86" s="903"/>
      <c r="J86" s="903"/>
      <c r="K86" s="903"/>
      <c r="L86" s="903"/>
      <c r="M86" s="903"/>
      <c r="N86" s="39"/>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40"/>
    </row>
    <row r="87" spans="2:231" x14ac:dyDescent="0.25">
      <c r="B87" s="939"/>
      <c r="C87" s="39"/>
      <c r="D87" s="939"/>
      <c r="E87" s="39"/>
      <c r="F87" s="902" t="s">
        <v>5</v>
      </c>
      <c r="G87" s="902"/>
      <c r="H87" s="902"/>
      <c r="I87" s="903" t="s">
        <v>128</v>
      </c>
      <c r="J87" s="903"/>
      <c r="K87" s="903"/>
      <c r="L87" s="903"/>
      <c r="M87" s="903"/>
      <c r="N87" s="39"/>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9"/>
      <c r="GO87" s="39"/>
      <c r="GP87" s="39"/>
      <c r="GQ87" s="39"/>
      <c r="GR87" s="39"/>
      <c r="GS87" s="39"/>
      <c r="GT87" s="39"/>
      <c r="GU87" s="39"/>
      <c r="GV87" s="39"/>
      <c r="GW87" s="39"/>
      <c r="GX87" s="39"/>
      <c r="GY87" s="39"/>
      <c r="GZ87" s="39"/>
      <c r="HA87" s="39"/>
      <c r="HB87" s="39"/>
      <c r="HC87" s="39"/>
      <c r="HD87" s="39"/>
      <c r="HE87" s="39"/>
      <c r="HF87" s="39"/>
      <c r="HG87" s="39"/>
      <c r="HH87" s="39"/>
      <c r="HI87" s="39"/>
      <c r="HJ87" s="39"/>
      <c r="HK87" s="39"/>
      <c r="HL87" s="39"/>
      <c r="HM87" s="39"/>
      <c r="HN87" s="39"/>
      <c r="HO87" s="39"/>
      <c r="HP87" s="39"/>
      <c r="HQ87" s="39"/>
      <c r="HR87" s="39"/>
      <c r="HS87" s="39"/>
      <c r="HT87" s="39"/>
      <c r="HU87" s="39"/>
      <c r="HV87" s="39"/>
      <c r="HW87" s="40"/>
    </row>
    <row r="88" spans="2:231" x14ac:dyDescent="0.25">
      <c r="B88" s="939"/>
      <c r="C88" s="39"/>
      <c r="D88" s="939"/>
      <c r="E88" s="39"/>
      <c r="F88" s="902"/>
      <c r="G88" s="902"/>
      <c r="H88" s="902"/>
      <c r="I88" s="903"/>
      <c r="J88" s="903"/>
      <c r="K88" s="903"/>
      <c r="L88" s="903"/>
      <c r="M88" s="903"/>
      <c r="N88" s="39"/>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9"/>
      <c r="GO88" s="39"/>
      <c r="GP88" s="39"/>
      <c r="GQ88" s="39"/>
      <c r="GR88" s="39"/>
      <c r="GS88" s="39"/>
      <c r="GT88" s="39"/>
      <c r="GU88" s="39"/>
      <c r="GV88" s="39"/>
      <c r="GW88" s="39"/>
      <c r="GX88" s="39"/>
      <c r="GY88" s="39"/>
      <c r="GZ88" s="39"/>
      <c r="HA88" s="39"/>
      <c r="HB88" s="39"/>
      <c r="HC88" s="39"/>
      <c r="HD88" s="39"/>
      <c r="HE88" s="39"/>
      <c r="HF88" s="39"/>
      <c r="HG88" s="39"/>
      <c r="HH88" s="39"/>
      <c r="HI88" s="39"/>
      <c r="HJ88" s="39"/>
      <c r="HK88" s="39"/>
      <c r="HL88" s="39"/>
      <c r="HM88" s="39"/>
      <c r="HN88" s="39"/>
      <c r="HO88" s="39"/>
      <c r="HP88" s="39"/>
      <c r="HQ88" s="39"/>
      <c r="HR88" s="39"/>
      <c r="HS88" s="39"/>
      <c r="HT88" s="39"/>
      <c r="HU88" s="39"/>
      <c r="HV88" s="39"/>
      <c r="HW88" s="40"/>
    </row>
    <row r="89" spans="2:231" x14ac:dyDescent="0.25">
      <c r="B89" s="939"/>
      <c r="C89" s="39"/>
      <c r="D89" s="939"/>
      <c r="E89" s="39"/>
      <c r="F89" s="902"/>
      <c r="G89" s="902"/>
      <c r="H89" s="902"/>
      <c r="I89" s="903"/>
      <c r="J89" s="903"/>
      <c r="K89" s="903"/>
      <c r="L89" s="903"/>
      <c r="M89" s="903"/>
      <c r="N89" s="39"/>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9"/>
      <c r="GO89" s="39"/>
      <c r="GP89" s="39"/>
      <c r="GQ89" s="39"/>
      <c r="GR89" s="39"/>
      <c r="GS89" s="39"/>
      <c r="GT89" s="39"/>
      <c r="GU89" s="39"/>
      <c r="GV89" s="39"/>
      <c r="GW89" s="39"/>
      <c r="GX89" s="39"/>
      <c r="GY89" s="39"/>
      <c r="GZ89" s="39"/>
      <c r="HA89" s="39"/>
      <c r="HB89" s="39"/>
      <c r="HC89" s="39"/>
      <c r="HD89" s="39"/>
      <c r="HE89" s="39"/>
      <c r="HF89" s="39"/>
      <c r="HG89" s="39"/>
      <c r="HH89" s="39"/>
      <c r="HI89" s="39"/>
      <c r="HJ89" s="39"/>
      <c r="HK89" s="39"/>
      <c r="HL89" s="39"/>
      <c r="HM89" s="39"/>
      <c r="HN89" s="39"/>
      <c r="HO89" s="39"/>
      <c r="HP89" s="39"/>
      <c r="HQ89" s="39"/>
      <c r="HR89" s="39"/>
      <c r="HS89" s="39"/>
      <c r="HT89" s="39"/>
      <c r="HU89" s="39"/>
      <c r="HV89" s="39"/>
      <c r="HW89" s="40"/>
    </row>
    <row r="90" spans="2:231" x14ac:dyDescent="0.25">
      <c r="B90" s="939"/>
      <c r="C90" s="39"/>
      <c r="D90" s="939"/>
      <c r="E90" s="39"/>
      <c r="F90" s="902" t="s">
        <v>6</v>
      </c>
      <c r="G90" s="902"/>
      <c r="H90" s="902"/>
      <c r="I90" s="903" t="s">
        <v>9</v>
      </c>
      <c r="J90" s="903"/>
      <c r="K90" s="903"/>
      <c r="L90" s="903"/>
      <c r="M90" s="903"/>
      <c r="N90" s="39"/>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9"/>
      <c r="GO90" s="39"/>
      <c r="GP90" s="39"/>
      <c r="GQ90" s="39"/>
      <c r="GR90" s="39"/>
      <c r="GS90" s="39"/>
      <c r="GT90" s="39"/>
      <c r="GU90" s="39"/>
      <c r="GV90" s="39"/>
      <c r="GW90" s="39"/>
      <c r="GX90" s="39"/>
      <c r="GY90" s="39"/>
      <c r="GZ90" s="39"/>
      <c r="HA90" s="39"/>
      <c r="HB90" s="39"/>
      <c r="HC90" s="39"/>
      <c r="HD90" s="39"/>
      <c r="HE90" s="39"/>
      <c r="HF90" s="39"/>
      <c r="HG90" s="39"/>
      <c r="HH90" s="39"/>
      <c r="HI90" s="39"/>
      <c r="HJ90" s="39"/>
      <c r="HK90" s="39"/>
      <c r="HL90" s="39"/>
      <c r="HM90" s="39"/>
      <c r="HN90" s="39"/>
      <c r="HO90" s="39"/>
      <c r="HP90" s="39"/>
      <c r="HQ90" s="39"/>
      <c r="HR90" s="39"/>
      <c r="HS90" s="39"/>
      <c r="HT90" s="39"/>
      <c r="HU90" s="39"/>
      <c r="HV90" s="39"/>
      <c r="HW90" s="40"/>
    </row>
    <row r="91" spans="2:231" x14ac:dyDescent="0.25">
      <c r="B91" s="939"/>
      <c r="C91" s="39"/>
      <c r="D91" s="939"/>
      <c r="E91" s="39"/>
      <c r="F91" s="902"/>
      <c r="G91" s="902"/>
      <c r="H91" s="902"/>
      <c r="I91" s="903"/>
      <c r="J91" s="903"/>
      <c r="K91" s="903"/>
      <c r="L91" s="903"/>
      <c r="M91" s="903"/>
      <c r="N91" s="39"/>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9"/>
      <c r="GO91" s="39"/>
      <c r="GP91" s="39"/>
      <c r="GQ91" s="39"/>
      <c r="GR91" s="39"/>
      <c r="GS91" s="39"/>
      <c r="GT91" s="39"/>
      <c r="GU91" s="39"/>
      <c r="GV91" s="39"/>
      <c r="GW91" s="39"/>
      <c r="GX91" s="39"/>
      <c r="GY91" s="39"/>
      <c r="GZ91" s="39"/>
      <c r="HA91" s="39"/>
      <c r="HB91" s="39"/>
      <c r="HC91" s="39"/>
      <c r="HD91" s="39"/>
      <c r="HE91" s="39"/>
      <c r="HF91" s="39"/>
      <c r="HG91" s="39"/>
      <c r="HH91" s="39"/>
      <c r="HI91" s="39"/>
      <c r="HJ91" s="39"/>
      <c r="HK91" s="39"/>
      <c r="HL91" s="39"/>
      <c r="HM91" s="39"/>
      <c r="HN91" s="39"/>
      <c r="HO91" s="39"/>
      <c r="HP91" s="39"/>
      <c r="HQ91" s="39"/>
      <c r="HR91" s="39"/>
      <c r="HS91" s="39"/>
      <c r="HT91" s="39"/>
      <c r="HU91" s="39"/>
      <c r="HV91" s="39"/>
      <c r="HW91" s="40"/>
    </row>
    <row r="92" spans="2:231" x14ac:dyDescent="0.25">
      <c r="B92" s="939"/>
      <c r="C92" s="39"/>
      <c r="D92" s="939"/>
      <c r="E92" s="39"/>
      <c r="F92" s="902"/>
      <c r="G92" s="902"/>
      <c r="H92" s="902"/>
      <c r="I92" s="903"/>
      <c r="J92" s="903"/>
      <c r="K92" s="903"/>
      <c r="L92" s="903"/>
      <c r="M92" s="903"/>
      <c r="N92" s="39"/>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9"/>
      <c r="GO92" s="39"/>
      <c r="GP92" s="39"/>
      <c r="GQ92" s="39"/>
      <c r="GR92" s="39"/>
      <c r="GS92" s="39"/>
      <c r="GT92" s="39"/>
      <c r="GU92" s="39"/>
      <c r="GV92" s="39"/>
      <c r="GW92" s="39"/>
      <c r="GX92" s="39"/>
      <c r="GY92" s="39"/>
      <c r="GZ92" s="39"/>
      <c r="HA92" s="39"/>
      <c r="HB92" s="39"/>
      <c r="HC92" s="39"/>
      <c r="HD92" s="39"/>
      <c r="HE92" s="39"/>
      <c r="HF92" s="39"/>
      <c r="HG92" s="39"/>
      <c r="HH92" s="39"/>
      <c r="HI92" s="39"/>
      <c r="HJ92" s="39"/>
      <c r="HK92" s="39"/>
      <c r="HL92" s="39"/>
      <c r="HM92" s="39"/>
      <c r="HN92" s="39"/>
      <c r="HO92" s="39"/>
      <c r="HP92" s="39"/>
      <c r="HQ92" s="39"/>
      <c r="HR92" s="39"/>
      <c r="HS92" s="39"/>
      <c r="HT92" s="39"/>
      <c r="HU92" s="39"/>
      <c r="HV92" s="39"/>
      <c r="HW92" s="40"/>
    </row>
    <row r="93" spans="2:231" x14ac:dyDescent="0.25">
      <c r="B93" s="939"/>
      <c r="C93" s="39"/>
      <c r="D93" s="939"/>
      <c r="E93" s="39"/>
      <c r="F93" s="902" t="s">
        <v>7</v>
      </c>
      <c r="G93" s="902"/>
      <c r="H93" s="902"/>
      <c r="I93" s="903" t="s">
        <v>614</v>
      </c>
      <c r="J93" s="903"/>
      <c r="K93" s="903"/>
      <c r="L93" s="903"/>
      <c r="M93" s="903"/>
      <c r="N93" s="39"/>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9"/>
      <c r="GO93" s="39"/>
      <c r="GP93" s="39"/>
      <c r="GQ93" s="39"/>
      <c r="GR93" s="39"/>
      <c r="GS93" s="39"/>
      <c r="GT93" s="39"/>
      <c r="GU93" s="39"/>
      <c r="GV93" s="39"/>
      <c r="GW93" s="39"/>
      <c r="GX93" s="39"/>
      <c r="GY93" s="39"/>
      <c r="GZ93" s="39"/>
      <c r="HA93" s="39"/>
      <c r="HB93" s="39"/>
      <c r="HC93" s="39"/>
      <c r="HD93" s="39"/>
      <c r="HE93" s="39"/>
      <c r="HF93" s="39"/>
      <c r="HG93" s="39"/>
      <c r="HH93" s="39"/>
      <c r="HI93" s="39"/>
      <c r="HJ93" s="39"/>
      <c r="HK93" s="39"/>
      <c r="HL93" s="39"/>
      <c r="HM93" s="39"/>
      <c r="HN93" s="39"/>
      <c r="HO93" s="39"/>
      <c r="HP93" s="39"/>
      <c r="HQ93" s="39"/>
      <c r="HR93" s="39"/>
      <c r="HS93" s="39"/>
      <c r="HT93" s="39"/>
      <c r="HU93" s="39"/>
      <c r="HV93" s="39"/>
      <c r="HW93" s="40"/>
    </row>
    <row r="94" spans="2:231" x14ac:dyDescent="0.25">
      <c r="B94" s="939"/>
      <c r="C94" s="39"/>
      <c r="D94" s="939"/>
      <c r="E94" s="39"/>
      <c r="F94" s="902"/>
      <c r="G94" s="902"/>
      <c r="H94" s="902"/>
      <c r="I94" s="903"/>
      <c r="J94" s="903"/>
      <c r="K94" s="903"/>
      <c r="L94" s="903"/>
      <c r="M94" s="903"/>
      <c r="N94" s="39"/>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9"/>
      <c r="GO94" s="39"/>
      <c r="GP94" s="39"/>
      <c r="GQ94" s="39"/>
      <c r="GR94" s="39"/>
      <c r="GS94" s="39"/>
      <c r="GT94" s="39"/>
      <c r="GU94" s="39"/>
      <c r="GV94" s="39"/>
      <c r="GW94" s="39"/>
      <c r="GX94" s="39"/>
      <c r="GY94" s="39"/>
      <c r="GZ94" s="39"/>
      <c r="HA94" s="39"/>
      <c r="HB94" s="39"/>
      <c r="HC94" s="39"/>
      <c r="HD94" s="39"/>
      <c r="HE94" s="39"/>
      <c r="HF94" s="39"/>
      <c r="HG94" s="39"/>
      <c r="HH94" s="39"/>
      <c r="HI94" s="39"/>
      <c r="HJ94" s="39"/>
      <c r="HK94" s="39"/>
      <c r="HL94" s="39"/>
      <c r="HM94" s="39"/>
      <c r="HN94" s="39"/>
      <c r="HO94" s="39"/>
      <c r="HP94" s="39"/>
      <c r="HQ94" s="39"/>
      <c r="HR94" s="39"/>
      <c r="HS94" s="39"/>
      <c r="HT94" s="39"/>
      <c r="HU94" s="39"/>
      <c r="HV94" s="39"/>
      <c r="HW94" s="40"/>
    </row>
    <row r="95" spans="2:231" ht="16.5" thickBot="1" x14ac:dyDescent="0.3">
      <c r="B95" s="939"/>
      <c r="C95" s="39"/>
      <c r="D95" s="940"/>
      <c r="E95" s="39"/>
      <c r="F95" s="902"/>
      <c r="G95" s="902"/>
      <c r="H95" s="902"/>
      <c r="I95" s="903"/>
      <c r="J95" s="903"/>
      <c r="K95" s="903"/>
      <c r="L95" s="903"/>
      <c r="M95" s="903"/>
      <c r="N95" s="39"/>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39"/>
      <c r="GJ95" s="39"/>
      <c r="GK95" s="39"/>
      <c r="GL95" s="39"/>
      <c r="GM95" s="39"/>
      <c r="GN95" s="39"/>
      <c r="GO95" s="39"/>
      <c r="GP95" s="39"/>
      <c r="GQ95" s="39"/>
      <c r="GR95" s="39"/>
      <c r="GS95" s="39"/>
      <c r="GT95" s="39"/>
      <c r="GU95" s="39"/>
      <c r="GV95" s="39"/>
      <c r="GW95" s="39"/>
      <c r="GX95" s="39"/>
      <c r="GY95" s="39"/>
      <c r="GZ95" s="39"/>
      <c r="HA95" s="39"/>
      <c r="HB95" s="39"/>
      <c r="HC95" s="39"/>
      <c r="HD95" s="39"/>
      <c r="HE95" s="39"/>
      <c r="HF95" s="39"/>
      <c r="HG95" s="39"/>
      <c r="HH95" s="39"/>
      <c r="HI95" s="39"/>
      <c r="HJ95" s="39"/>
      <c r="HK95" s="39"/>
      <c r="HL95" s="39"/>
      <c r="HM95" s="39"/>
      <c r="HN95" s="39"/>
      <c r="HO95" s="39"/>
      <c r="HP95" s="39"/>
      <c r="HQ95" s="39"/>
      <c r="HR95" s="39"/>
      <c r="HS95" s="39"/>
      <c r="HT95" s="39"/>
      <c r="HU95" s="39"/>
      <c r="HV95" s="39"/>
      <c r="HW95" s="40"/>
    </row>
    <row r="96" spans="2:231" x14ac:dyDescent="0.25">
      <c r="B96" s="9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39"/>
      <c r="GJ96" s="39"/>
      <c r="GK96" s="39"/>
      <c r="GL96" s="39"/>
      <c r="GM96" s="39"/>
      <c r="GN96" s="39"/>
      <c r="GO96" s="39"/>
      <c r="GP96" s="39"/>
      <c r="GQ96" s="39"/>
      <c r="GR96" s="39"/>
      <c r="GS96" s="39"/>
      <c r="GT96" s="39"/>
      <c r="GU96" s="39"/>
      <c r="GV96" s="39"/>
      <c r="GW96" s="39"/>
      <c r="GX96" s="39"/>
      <c r="GY96" s="39"/>
      <c r="GZ96" s="39"/>
      <c r="HA96" s="39"/>
      <c r="HB96" s="39"/>
      <c r="HC96" s="39"/>
      <c r="HD96" s="39"/>
      <c r="HE96" s="39"/>
      <c r="HF96" s="39"/>
      <c r="HG96" s="39"/>
      <c r="HH96" s="39"/>
      <c r="HI96" s="39"/>
      <c r="HJ96" s="39"/>
      <c r="HK96" s="39"/>
      <c r="HL96" s="39"/>
      <c r="HM96" s="39"/>
      <c r="HN96" s="39"/>
      <c r="HO96" s="39"/>
      <c r="HP96" s="39"/>
      <c r="HQ96" s="39"/>
      <c r="HR96" s="39"/>
      <c r="HS96" s="39"/>
      <c r="HT96" s="39"/>
      <c r="HU96" s="39"/>
      <c r="HV96" s="39"/>
      <c r="HW96" s="40"/>
    </row>
    <row r="97" spans="2:231" ht="16.5" thickBot="1" x14ac:dyDescent="0.3">
      <c r="B97" s="9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9"/>
      <c r="GO97" s="39"/>
      <c r="GP97" s="39"/>
      <c r="GQ97" s="39"/>
      <c r="GR97" s="39"/>
      <c r="GS97" s="39"/>
      <c r="GT97" s="39"/>
      <c r="GU97" s="39"/>
      <c r="GV97" s="39"/>
      <c r="GW97" s="39"/>
      <c r="GX97" s="39"/>
      <c r="GY97" s="39"/>
      <c r="GZ97" s="39"/>
      <c r="HA97" s="39"/>
      <c r="HB97" s="39"/>
      <c r="HC97" s="39"/>
      <c r="HD97" s="39"/>
      <c r="HE97" s="39"/>
      <c r="HF97" s="39"/>
      <c r="HG97" s="39"/>
      <c r="HH97" s="39"/>
      <c r="HI97" s="39"/>
      <c r="HJ97" s="39"/>
      <c r="HK97" s="39"/>
      <c r="HL97" s="39"/>
      <c r="HM97" s="39"/>
      <c r="HN97" s="39"/>
      <c r="HO97" s="39"/>
      <c r="HP97" s="39"/>
      <c r="HQ97" s="39"/>
      <c r="HR97" s="39"/>
      <c r="HS97" s="39"/>
      <c r="HT97" s="39"/>
      <c r="HU97" s="39"/>
      <c r="HV97" s="39"/>
      <c r="HW97" s="40"/>
    </row>
    <row r="98" spans="2:231" ht="15.75" customHeight="1" x14ac:dyDescent="0.25">
      <c r="B98" s="939"/>
      <c r="C98" s="39"/>
      <c r="D98" s="935" t="s">
        <v>170</v>
      </c>
      <c r="E98" s="39"/>
      <c r="F98" s="906" t="s">
        <v>8</v>
      </c>
      <c r="G98" s="906"/>
      <c r="H98" s="906"/>
      <c r="I98" s="906"/>
      <c r="J98" s="906"/>
      <c r="K98" s="906"/>
      <c r="L98" s="906"/>
      <c r="M98" s="906"/>
      <c r="N98" s="39"/>
      <c r="O98" s="906" t="s">
        <v>8</v>
      </c>
      <c r="P98" s="906"/>
      <c r="Q98" s="906"/>
      <c r="R98" s="906"/>
      <c r="S98" s="906"/>
      <c r="T98" s="906"/>
      <c r="U98" s="906"/>
      <c r="V98" s="906"/>
      <c r="W98" s="39"/>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39"/>
      <c r="GJ98" s="39"/>
      <c r="GK98" s="39"/>
      <c r="GL98" s="39"/>
      <c r="GM98" s="39"/>
      <c r="GN98" s="39"/>
      <c r="GO98" s="39"/>
      <c r="GP98" s="39"/>
      <c r="GQ98" s="39"/>
      <c r="GR98" s="39"/>
      <c r="GS98" s="39"/>
      <c r="GT98" s="39"/>
      <c r="GU98" s="39"/>
      <c r="GV98" s="39"/>
      <c r="GW98" s="39"/>
      <c r="GX98" s="39"/>
      <c r="GY98" s="39"/>
      <c r="GZ98" s="39"/>
      <c r="HA98" s="39"/>
      <c r="HB98" s="39"/>
      <c r="HC98" s="39"/>
      <c r="HD98" s="39"/>
      <c r="HE98" s="39"/>
      <c r="HF98" s="39"/>
      <c r="HG98" s="39"/>
      <c r="HH98" s="39"/>
      <c r="HI98" s="39"/>
      <c r="HJ98" s="39"/>
      <c r="HK98" s="39"/>
      <c r="HL98" s="39"/>
      <c r="HM98" s="39"/>
      <c r="HN98" s="39"/>
      <c r="HO98" s="39"/>
      <c r="HP98" s="39"/>
      <c r="HQ98" s="39"/>
      <c r="HR98" s="39"/>
      <c r="HS98" s="39"/>
      <c r="HT98" s="39"/>
      <c r="HU98" s="39"/>
      <c r="HV98" s="39"/>
      <c r="HW98" s="40"/>
    </row>
    <row r="99" spans="2:231" x14ac:dyDescent="0.25">
      <c r="B99" s="939"/>
      <c r="C99" s="39"/>
      <c r="D99" s="936"/>
      <c r="E99" s="39"/>
      <c r="F99" s="905" t="s">
        <v>0</v>
      </c>
      <c r="G99" s="905"/>
      <c r="H99" s="905"/>
      <c r="I99" s="905" t="s">
        <v>1</v>
      </c>
      <c r="J99" s="905"/>
      <c r="K99" s="905"/>
      <c r="L99" s="905"/>
      <c r="M99" s="905"/>
      <c r="N99" s="39"/>
      <c r="O99" s="905" t="s">
        <v>0</v>
      </c>
      <c r="P99" s="905"/>
      <c r="Q99" s="905"/>
      <c r="R99" s="905" t="s">
        <v>1</v>
      </c>
      <c r="S99" s="905"/>
      <c r="T99" s="905"/>
      <c r="U99" s="905"/>
      <c r="V99" s="905"/>
      <c r="W99" s="39"/>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9"/>
      <c r="GO99" s="39"/>
      <c r="GP99" s="39"/>
      <c r="GQ99" s="39"/>
      <c r="GR99" s="39"/>
      <c r="GS99" s="39"/>
      <c r="GT99" s="39"/>
      <c r="GU99" s="39"/>
      <c r="GV99" s="39"/>
      <c r="GW99" s="39"/>
      <c r="GX99" s="39"/>
      <c r="GY99" s="39"/>
      <c r="GZ99" s="39"/>
      <c r="HA99" s="39"/>
      <c r="HB99" s="39"/>
      <c r="HC99" s="39"/>
      <c r="HD99" s="39"/>
      <c r="HE99" s="39"/>
      <c r="HF99" s="39"/>
      <c r="HG99" s="39"/>
      <c r="HH99" s="39"/>
      <c r="HI99" s="39"/>
      <c r="HJ99" s="39"/>
      <c r="HK99" s="39"/>
      <c r="HL99" s="39"/>
      <c r="HM99" s="39"/>
      <c r="HN99" s="39"/>
      <c r="HO99" s="39"/>
      <c r="HP99" s="39"/>
      <c r="HQ99" s="39"/>
      <c r="HR99" s="39"/>
      <c r="HS99" s="39"/>
      <c r="HT99" s="39"/>
      <c r="HU99" s="39"/>
      <c r="HV99" s="39"/>
      <c r="HW99" s="40"/>
    </row>
    <row r="100" spans="2:231" x14ac:dyDescent="0.25">
      <c r="B100" s="939"/>
      <c r="C100" s="39"/>
      <c r="D100" s="936"/>
      <c r="E100" s="39"/>
      <c r="F100" s="902" t="s">
        <v>2</v>
      </c>
      <c r="G100" s="902"/>
      <c r="H100" s="902"/>
      <c r="I100" s="903" t="s">
        <v>318</v>
      </c>
      <c r="J100" s="903"/>
      <c r="K100" s="903"/>
      <c r="L100" s="903"/>
      <c r="M100" s="903"/>
      <c r="N100" s="39"/>
      <c r="O100" s="902" t="s">
        <v>2</v>
      </c>
      <c r="P100" s="902"/>
      <c r="Q100" s="902"/>
      <c r="R100" s="903" t="s">
        <v>512</v>
      </c>
      <c r="S100" s="903"/>
      <c r="T100" s="903"/>
      <c r="U100" s="903"/>
      <c r="V100" s="903"/>
      <c r="W100" s="39"/>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9"/>
      <c r="GO100" s="39"/>
      <c r="GP100" s="39"/>
      <c r="GQ100" s="39"/>
      <c r="GR100" s="39"/>
      <c r="GS100" s="39"/>
      <c r="GT100" s="39"/>
      <c r="GU100" s="39"/>
      <c r="GV100" s="39"/>
      <c r="GW100" s="39"/>
      <c r="GX100" s="39"/>
      <c r="GY100" s="39"/>
      <c r="GZ100" s="39"/>
      <c r="HA100" s="39"/>
      <c r="HB100" s="39"/>
      <c r="HC100" s="39"/>
      <c r="HD100" s="39"/>
      <c r="HE100" s="39"/>
      <c r="HF100" s="39"/>
      <c r="HG100" s="39"/>
      <c r="HH100" s="39"/>
      <c r="HI100" s="39"/>
      <c r="HJ100" s="39"/>
      <c r="HK100" s="39"/>
      <c r="HL100" s="39"/>
      <c r="HM100" s="39"/>
      <c r="HN100" s="39"/>
      <c r="HO100" s="39"/>
      <c r="HP100" s="39"/>
      <c r="HQ100" s="39"/>
      <c r="HR100" s="39"/>
      <c r="HS100" s="39"/>
      <c r="HT100" s="39"/>
      <c r="HU100" s="39"/>
      <c r="HV100" s="39"/>
      <c r="HW100" s="40"/>
    </row>
    <row r="101" spans="2:231" x14ac:dyDescent="0.25">
      <c r="B101" s="939"/>
      <c r="C101" s="39"/>
      <c r="D101" s="936"/>
      <c r="E101" s="39"/>
      <c r="F101" s="902"/>
      <c r="G101" s="902"/>
      <c r="H101" s="902"/>
      <c r="I101" s="903"/>
      <c r="J101" s="903"/>
      <c r="K101" s="903"/>
      <c r="L101" s="903"/>
      <c r="M101" s="903"/>
      <c r="N101" s="39"/>
      <c r="O101" s="902"/>
      <c r="P101" s="902"/>
      <c r="Q101" s="902"/>
      <c r="R101" s="903"/>
      <c r="S101" s="903"/>
      <c r="T101" s="903"/>
      <c r="U101" s="903"/>
      <c r="V101" s="903"/>
      <c r="W101" s="39"/>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9"/>
      <c r="GO101" s="39"/>
      <c r="GP101" s="39"/>
      <c r="GQ101" s="39"/>
      <c r="GR101" s="39"/>
      <c r="GS101" s="39"/>
      <c r="GT101" s="39"/>
      <c r="GU101" s="39"/>
      <c r="GV101" s="39"/>
      <c r="GW101" s="39"/>
      <c r="GX101" s="39"/>
      <c r="GY101" s="39"/>
      <c r="GZ101" s="39"/>
      <c r="HA101" s="39"/>
      <c r="HB101" s="39"/>
      <c r="HC101" s="39"/>
      <c r="HD101" s="39"/>
      <c r="HE101" s="39"/>
      <c r="HF101" s="39"/>
      <c r="HG101" s="39"/>
      <c r="HH101" s="39"/>
      <c r="HI101" s="39"/>
      <c r="HJ101" s="39"/>
      <c r="HK101" s="39"/>
      <c r="HL101" s="39"/>
      <c r="HM101" s="39"/>
      <c r="HN101" s="39"/>
      <c r="HO101" s="39"/>
      <c r="HP101" s="39"/>
      <c r="HQ101" s="39"/>
      <c r="HR101" s="39"/>
      <c r="HS101" s="39"/>
      <c r="HT101" s="39"/>
      <c r="HU101" s="39"/>
      <c r="HV101" s="39"/>
      <c r="HW101" s="40"/>
    </row>
    <row r="102" spans="2:231" x14ac:dyDescent="0.25">
      <c r="B102" s="939"/>
      <c r="C102" s="39"/>
      <c r="D102" s="936"/>
      <c r="E102" s="39"/>
      <c r="F102" s="902"/>
      <c r="G102" s="902"/>
      <c r="H102" s="902"/>
      <c r="I102" s="903"/>
      <c r="J102" s="903"/>
      <c r="K102" s="903"/>
      <c r="L102" s="903"/>
      <c r="M102" s="903"/>
      <c r="N102" s="39"/>
      <c r="O102" s="902"/>
      <c r="P102" s="902"/>
      <c r="Q102" s="902"/>
      <c r="R102" s="903"/>
      <c r="S102" s="903"/>
      <c r="T102" s="903"/>
      <c r="U102" s="903"/>
      <c r="V102" s="903"/>
      <c r="W102" s="39"/>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9"/>
      <c r="GO102" s="39"/>
      <c r="GP102" s="39"/>
      <c r="GQ102" s="39"/>
      <c r="GR102" s="39"/>
      <c r="GS102" s="39"/>
      <c r="GT102" s="39"/>
      <c r="GU102" s="39"/>
      <c r="GV102" s="39"/>
      <c r="GW102" s="39"/>
      <c r="GX102" s="39"/>
      <c r="GY102" s="39"/>
      <c r="GZ102" s="39"/>
      <c r="HA102" s="39"/>
      <c r="HB102" s="39"/>
      <c r="HC102" s="39"/>
      <c r="HD102" s="39"/>
      <c r="HE102" s="39"/>
      <c r="HF102" s="39"/>
      <c r="HG102" s="39"/>
      <c r="HH102" s="39"/>
      <c r="HI102" s="39"/>
      <c r="HJ102" s="39"/>
      <c r="HK102" s="39"/>
      <c r="HL102" s="39"/>
      <c r="HM102" s="39"/>
      <c r="HN102" s="39"/>
      <c r="HO102" s="39"/>
      <c r="HP102" s="39"/>
      <c r="HQ102" s="39"/>
      <c r="HR102" s="39"/>
      <c r="HS102" s="39"/>
      <c r="HT102" s="39"/>
      <c r="HU102" s="39"/>
      <c r="HV102" s="39"/>
      <c r="HW102" s="40"/>
    </row>
    <row r="103" spans="2:231" x14ac:dyDescent="0.25">
      <c r="B103" s="939"/>
      <c r="C103" s="39"/>
      <c r="D103" s="936"/>
      <c r="E103" s="39"/>
      <c r="F103" s="905" t="s">
        <v>0</v>
      </c>
      <c r="G103" s="905"/>
      <c r="H103" s="905"/>
      <c r="I103" s="905" t="s">
        <v>1</v>
      </c>
      <c r="J103" s="905"/>
      <c r="K103" s="905"/>
      <c r="L103" s="905"/>
      <c r="M103" s="905"/>
      <c r="N103" s="39"/>
      <c r="O103" s="905" t="s">
        <v>0</v>
      </c>
      <c r="P103" s="905"/>
      <c r="Q103" s="905"/>
      <c r="R103" s="905" t="s">
        <v>1</v>
      </c>
      <c r="S103" s="905"/>
      <c r="T103" s="905"/>
      <c r="U103" s="905"/>
      <c r="V103" s="905"/>
      <c r="W103" s="39"/>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9"/>
      <c r="GO103" s="39"/>
      <c r="GP103" s="39"/>
      <c r="GQ103" s="39"/>
      <c r="GR103" s="39"/>
      <c r="GS103" s="39"/>
      <c r="GT103" s="39"/>
      <c r="GU103" s="39"/>
      <c r="GV103" s="39"/>
      <c r="GW103" s="39"/>
      <c r="GX103" s="39"/>
      <c r="GY103" s="39"/>
      <c r="GZ103" s="39"/>
      <c r="HA103" s="39"/>
      <c r="HB103" s="39"/>
      <c r="HC103" s="39"/>
      <c r="HD103" s="39"/>
      <c r="HE103" s="39"/>
      <c r="HF103" s="39"/>
      <c r="HG103" s="39"/>
      <c r="HH103" s="39"/>
      <c r="HI103" s="39"/>
      <c r="HJ103" s="39"/>
      <c r="HK103" s="39"/>
      <c r="HL103" s="39"/>
      <c r="HM103" s="39"/>
      <c r="HN103" s="39"/>
      <c r="HO103" s="39"/>
      <c r="HP103" s="39"/>
      <c r="HQ103" s="39"/>
      <c r="HR103" s="39"/>
      <c r="HS103" s="39"/>
      <c r="HT103" s="39"/>
      <c r="HU103" s="39"/>
      <c r="HV103" s="39"/>
      <c r="HW103" s="40"/>
    </row>
    <row r="104" spans="2:231" ht="15.75" customHeight="1" x14ac:dyDescent="0.25">
      <c r="B104" s="939"/>
      <c r="C104" s="39"/>
      <c r="D104" s="936"/>
      <c r="E104" s="39"/>
      <c r="F104" s="902" t="s">
        <v>3</v>
      </c>
      <c r="G104" s="902"/>
      <c r="H104" s="902"/>
      <c r="I104" s="904" t="s">
        <v>318</v>
      </c>
      <c r="J104" s="903"/>
      <c r="K104" s="903"/>
      <c r="L104" s="903"/>
      <c r="M104" s="903"/>
      <c r="N104" s="39"/>
      <c r="O104" s="902" t="s">
        <v>3</v>
      </c>
      <c r="P104" s="902"/>
      <c r="Q104" s="902"/>
      <c r="R104" s="904" t="s">
        <v>319</v>
      </c>
      <c r="S104" s="903"/>
      <c r="T104" s="903"/>
      <c r="U104" s="903"/>
      <c r="V104" s="903"/>
      <c r="W104" s="39"/>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39"/>
      <c r="GM104" s="39"/>
      <c r="GN104" s="39"/>
      <c r="GO104" s="39"/>
      <c r="GP104" s="39"/>
      <c r="GQ104" s="39"/>
      <c r="GR104" s="39"/>
      <c r="GS104" s="39"/>
      <c r="GT104" s="39"/>
      <c r="GU104" s="39"/>
      <c r="GV104" s="39"/>
      <c r="GW104" s="39"/>
      <c r="GX104" s="39"/>
      <c r="GY104" s="39"/>
      <c r="GZ104" s="39"/>
      <c r="HA104" s="39"/>
      <c r="HB104" s="39"/>
      <c r="HC104" s="39"/>
      <c r="HD104" s="39"/>
      <c r="HE104" s="39"/>
      <c r="HF104" s="39"/>
      <c r="HG104" s="39"/>
      <c r="HH104" s="39"/>
      <c r="HI104" s="39"/>
      <c r="HJ104" s="39"/>
      <c r="HK104" s="39"/>
      <c r="HL104" s="39"/>
      <c r="HM104" s="39"/>
      <c r="HN104" s="39"/>
      <c r="HO104" s="39"/>
      <c r="HP104" s="39"/>
      <c r="HQ104" s="39"/>
      <c r="HR104" s="39"/>
      <c r="HS104" s="39"/>
      <c r="HT104" s="39"/>
      <c r="HU104" s="39"/>
      <c r="HV104" s="39"/>
      <c r="HW104" s="40"/>
    </row>
    <row r="105" spans="2:231" x14ac:dyDescent="0.25">
      <c r="B105" s="939"/>
      <c r="C105" s="39"/>
      <c r="D105" s="936"/>
      <c r="E105" s="39"/>
      <c r="F105" s="902"/>
      <c r="G105" s="902"/>
      <c r="H105" s="902"/>
      <c r="I105" s="903"/>
      <c r="J105" s="903"/>
      <c r="K105" s="903"/>
      <c r="L105" s="903"/>
      <c r="M105" s="903"/>
      <c r="N105" s="39"/>
      <c r="O105" s="902"/>
      <c r="P105" s="902"/>
      <c r="Q105" s="902"/>
      <c r="R105" s="903"/>
      <c r="S105" s="903"/>
      <c r="T105" s="903"/>
      <c r="U105" s="903"/>
      <c r="V105" s="903"/>
      <c r="W105" s="39"/>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9"/>
      <c r="GO105" s="39"/>
      <c r="GP105" s="39"/>
      <c r="GQ105" s="39"/>
      <c r="GR105" s="39"/>
      <c r="GS105" s="39"/>
      <c r="GT105" s="39"/>
      <c r="GU105" s="39"/>
      <c r="GV105" s="39"/>
      <c r="GW105" s="39"/>
      <c r="GX105" s="39"/>
      <c r="GY105" s="39"/>
      <c r="GZ105" s="39"/>
      <c r="HA105" s="39"/>
      <c r="HB105" s="39"/>
      <c r="HC105" s="39"/>
      <c r="HD105" s="39"/>
      <c r="HE105" s="39"/>
      <c r="HF105" s="39"/>
      <c r="HG105" s="39"/>
      <c r="HH105" s="39"/>
      <c r="HI105" s="39"/>
      <c r="HJ105" s="39"/>
      <c r="HK105" s="39"/>
      <c r="HL105" s="39"/>
      <c r="HM105" s="39"/>
      <c r="HN105" s="39"/>
      <c r="HO105" s="39"/>
      <c r="HP105" s="39"/>
      <c r="HQ105" s="39"/>
      <c r="HR105" s="39"/>
      <c r="HS105" s="39"/>
      <c r="HT105" s="39"/>
      <c r="HU105" s="39"/>
      <c r="HV105" s="39"/>
      <c r="HW105" s="40"/>
    </row>
    <row r="106" spans="2:231" x14ac:dyDescent="0.25">
      <c r="B106" s="939"/>
      <c r="C106" s="39"/>
      <c r="D106" s="936"/>
      <c r="E106" s="39"/>
      <c r="F106" s="902"/>
      <c r="G106" s="902"/>
      <c r="H106" s="902"/>
      <c r="I106" s="903"/>
      <c r="J106" s="903"/>
      <c r="K106" s="903"/>
      <c r="L106" s="903"/>
      <c r="M106" s="903"/>
      <c r="N106" s="39"/>
      <c r="O106" s="902"/>
      <c r="P106" s="902"/>
      <c r="Q106" s="902"/>
      <c r="R106" s="903"/>
      <c r="S106" s="903"/>
      <c r="T106" s="903"/>
      <c r="U106" s="903"/>
      <c r="V106" s="903"/>
      <c r="W106" s="39"/>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9"/>
      <c r="GO106" s="39"/>
      <c r="GP106" s="39"/>
      <c r="GQ106" s="39"/>
      <c r="GR106" s="39"/>
      <c r="GS106" s="39"/>
      <c r="GT106" s="39"/>
      <c r="GU106" s="39"/>
      <c r="GV106" s="39"/>
      <c r="GW106" s="39"/>
      <c r="GX106" s="39"/>
      <c r="GY106" s="39"/>
      <c r="GZ106" s="39"/>
      <c r="HA106" s="39"/>
      <c r="HB106" s="39"/>
      <c r="HC106" s="39"/>
      <c r="HD106" s="39"/>
      <c r="HE106" s="39"/>
      <c r="HF106" s="39"/>
      <c r="HG106" s="39"/>
      <c r="HH106" s="39"/>
      <c r="HI106" s="39"/>
      <c r="HJ106" s="39"/>
      <c r="HK106" s="39"/>
      <c r="HL106" s="39"/>
      <c r="HM106" s="39"/>
      <c r="HN106" s="39"/>
      <c r="HO106" s="39"/>
      <c r="HP106" s="39"/>
      <c r="HQ106" s="39"/>
      <c r="HR106" s="39"/>
      <c r="HS106" s="39"/>
      <c r="HT106" s="39"/>
      <c r="HU106" s="39"/>
      <c r="HV106" s="39"/>
      <c r="HW106" s="40"/>
    </row>
    <row r="107" spans="2:231" x14ac:dyDescent="0.25">
      <c r="B107" s="939"/>
      <c r="C107" s="39"/>
      <c r="D107" s="936"/>
      <c r="E107" s="39"/>
      <c r="F107" s="902" t="s">
        <v>4</v>
      </c>
      <c r="G107" s="902"/>
      <c r="H107" s="902"/>
      <c r="I107" s="903" t="s">
        <v>15</v>
      </c>
      <c r="J107" s="903"/>
      <c r="K107" s="903"/>
      <c r="L107" s="903"/>
      <c r="M107" s="903"/>
      <c r="N107" s="39"/>
      <c r="O107" s="902" t="s">
        <v>4</v>
      </c>
      <c r="P107" s="902"/>
      <c r="Q107" s="902"/>
      <c r="R107" s="903" t="s">
        <v>15</v>
      </c>
      <c r="S107" s="903"/>
      <c r="T107" s="903"/>
      <c r="U107" s="903"/>
      <c r="V107" s="903"/>
      <c r="W107" s="39"/>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9"/>
      <c r="GO107" s="39"/>
      <c r="GP107" s="39"/>
      <c r="GQ107" s="39"/>
      <c r="GR107" s="39"/>
      <c r="GS107" s="39"/>
      <c r="GT107" s="39"/>
      <c r="GU107" s="39"/>
      <c r="GV107" s="39"/>
      <c r="GW107" s="39"/>
      <c r="GX107" s="39"/>
      <c r="GY107" s="39"/>
      <c r="GZ107" s="39"/>
      <c r="HA107" s="39"/>
      <c r="HB107" s="39"/>
      <c r="HC107" s="39"/>
      <c r="HD107" s="39"/>
      <c r="HE107" s="39"/>
      <c r="HF107" s="39"/>
      <c r="HG107" s="39"/>
      <c r="HH107" s="39"/>
      <c r="HI107" s="39"/>
      <c r="HJ107" s="39"/>
      <c r="HK107" s="39"/>
      <c r="HL107" s="39"/>
      <c r="HM107" s="39"/>
      <c r="HN107" s="39"/>
      <c r="HO107" s="39"/>
      <c r="HP107" s="39"/>
      <c r="HQ107" s="39"/>
      <c r="HR107" s="39"/>
      <c r="HS107" s="39"/>
      <c r="HT107" s="39"/>
      <c r="HU107" s="39"/>
      <c r="HV107" s="39"/>
      <c r="HW107" s="40"/>
    </row>
    <row r="108" spans="2:231" x14ac:dyDescent="0.25">
      <c r="B108" s="939"/>
      <c r="C108" s="39"/>
      <c r="D108" s="936"/>
      <c r="E108" s="39"/>
      <c r="F108" s="902"/>
      <c r="G108" s="902"/>
      <c r="H108" s="902"/>
      <c r="I108" s="903"/>
      <c r="J108" s="903"/>
      <c r="K108" s="903"/>
      <c r="L108" s="903"/>
      <c r="M108" s="903"/>
      <c r="N108" s="39"/>
      <c r="O108" s="902"/>
      <c r="P108" s="902"/>
      <c r="Q108" s="902"/>
      <c r="R108" s="903"/>
      <c r="S108" s="903"/>
      <c r="T108" s="903"/>
      <c r="U108" s="903"/>
      <c r="V108" s="903"/>
      <c r="W108" s="39"/>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9"/>
      <c r="GO108" s="39"/>
      <c r="GP108" s="39"/>
      <c r="GQ108" s="39"/>
      <c r="GR108" s="39"/>
      <c r="GS108" s="39"/>
      <c r="GT108" s="39"/>
      <c r="GU108" s="39"/>
      <c r="GV108" s="39"/>
      <c r="GW108" s="39"/>
      <c r="GX108" s="39"/>
      <c r="GY108" s="39"/>
      <c r="GZ108" s="39"/>
      <c r="HA108" s="39"/>
      <c r="HB108" s="39"/>
      <c r="HC108" s="39"/>
      <c r="HD108" s="39"/>
      <c r="HE108" s="39"/>
      <c r="HF108" s="39"/>
      <c r="HG108" s="39"/>
      <c r="HH108" s="39"/>
      <c r="HI108" s="39"/>
      <c r="HJ108" s="39"/>
      <c r="HK108" s="39"/>
      <c r="HL108" s="39"/>
      <c r="HM108" s="39"/>
      <c r="HN108" s="39"/>
      <c r="HO108" s="39"/>
      <c r="HP108" s="39"/>
      <c r="HQ108" s="39"/>
      <c r="HR108" s="39"/>
      <c r="HS108" s="39"/>
      <c r="HT108" s="39"/>
      <c r="HU108" s="39"/>
      <c r="HV108" s="39"/>
      <c r="HW108" s="40"/>
    </row>
    <row r="109" spans="2:231" x14ac:dyDescent="0.25">
      <c r="B109" s="939"/>
      <c r="C109" s="39"/>
      <c r="D109" s="936"/>
      <c r="E109" s="39"/>
      <c r="F109" s="902"/>
      <c r="G109" s="902"/>
      <c r="H109" s="902"/>
      <c r="I109" s="903"/>
      <c r="J109" s="903"/>
      <c r="K109" s="903"/>
      <c r="L109" s="903"/>
      <c r="M109" s="903"/>
      <c r="N109" s="39"/>
      <c r="O109" s="902"/>
      <c r="P109" s="902"/>
      <c r="Q109" s="902"/>
      <c r="R109" s="903"/>
      <c r="S109" s="903"/>
      <c r="T109" s="903"/>
      <c r="U109" s="903"/>
      <c r="V109" s="903"/>
      <c r="W109" s="39"/>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9"/>
      <c r="GO109" s="39"/>
      <c r="GP109" s="39"/>
      <c r="GQ109" s="39"/>
      <c r="GR109" s="39"/>
      <c r="GS109" s="39"/>
      <c r="GT109" s="39"/>
      <c r="GU109" s="39"/>
      <c r="GV109" s="39"/>
      <c r="GW109" s="39"/>
      <c r="GX109" s="39"/>
      <c r="GY109" s="39"/>
      <c r="GZ109" s="39"/>
      <c r="HA109" s="39"/>
      <c r="HB109" s="39"/>
      <c r="HC109" s="39"/>
      <c r="HD109" s="39"/>
      <c r="HE109" s="39"/>
      <c r="HF109" s="39"/>
      <c r="HG109" s="39"/>
      <c r="HH109" s="39"/>
      <c r="HI109" s="39"/>
      <c r="HJ109" s="39"/>
      <c r="HK109" s="39"/>
      <c r="HL109" s="39"/>
      <c r="HM109" s="39"/>
      <c r="HN109" s="39"/>
      <c r="HO109" s="39"/>
      <c r="HP109" s="39"/>
      <c r="HQ109" s="39"/>
      <c r="HR109" s="39"/>
      <c r="HS109" s="39"/>
      <c r="HT109" s="39"/>
      <c r="HU109" s="39"/>
      <c r="HV109" s="39"/>
      <c r="HW109" s="40"/>
    </row>
    <row r="110" spans="2:231" x14ac:dyDescent="0.25">
      <c r="B110" s="939"/>
      <c r="C110" s="39"/>
      <c r="D110" s="936"/>
      <c r="E110" s="39"/>
      <c r="F110" s="902" t="s">
        <v>5</v>
      </c>
      <c r="G110" s="902"/>
      <c r="H110" s="902"/>
      <c r="I110" s="903" t="s">
        <v>130</v>
      </c>
      <c r="J110" s="903"/>
      <c r="K110" s="903"/>
      <c r="L110" s="903"/>
      <c r="M110" s="903"/>
      <c r="N110" s="39"/>
      <c r="O110" s="902" t="s">
        <v>5</v>
      </c>
      <c r="P110" s="902"/>
      <c r="Q110" s="902"/>
      <c r="R110" s="903" t="s">
        <v>131</v>
      </c>
      <c r="S110" s="903"/>
      <c r="T110" s="903"/>
      <c r="U110" s="903"/>
      <c r="V110" s="903"/>
      <c r="W110" s="39"/>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9"/>
      <c r="GO110" s="39"/>
      <c r="GP110" s="39"/>
      <c r="GQ110" s="39"/>
      <c r="GR110" s="39"/>
      <c r="GS110" s="39"/>
      <c r="GT110" s="39"/>
      <c r="GU110" s="39"/>
      <c r="GV110" s="39"/>
      <c r="GW110" s="39"/>
      <c r="GX110" s="39"/>
      <c r="GY110" s="39"/>
      <c r="GZ110" s="39"/>
      <c r="HA110" s="39"/>
      <c r="HB110" s="39"/>
      <c r="HC110" s="39"/>
      <c r="HD110" s="39"/>
      <c r="HE110" s="39"/>
      <c r="HF110" s="39"/>
      <c r="HG110" s="39"/>
      <c r="HH110" s="39"/>
      <c r="HI110" s="39"/>
      <c r="HJ110" s="39"/>
      <c r="HK110" s="39"/>
      <c r="HL110" s="39"/>
      <c r="HM110" s="39"/>
      <c r="HN110" s="39"/>
      <c r="HO110" s="39"/>
      <c r="HP110" s="39"/>
      <c r="HQ110" s="39"/>
      <c r="HR110" s="39"/>
      <c r="HS110" s="39"/>
      <c r="HT110" s="39"/>
      <c r="HU110" s="39"/>
      <c r="HV110" s="39"/>
      <c r="HW110" s="40"/>
    </row>
    <row r="111" spans="2:231" x14ac:dyDescent="0.25">
      <c r="B111" s="939"/>
      <c r="C111" s="39"/>
      <c r="D111" s="936"/>
      <c r="E111" s="39"/>
      <c r="F111" s="902"/>
      <c r="G111" s="902"/>
      <c r="H111" s="902"/>
      <c r="I111" s="903"/>
      <c r="J111" s="903"/>
      <c r="K111" s="903"/>
      <c r="L111" s="903"/>
      <c r="M111" s="903"/>
      <c r="N111" s="39"/>
      <c r="O111" s="902"/>
      <c r="P111" s="902"/>
      <c r="Q111" s="902"/>
      <c r="R111" s="903"/>
      <c r="S111" s="903"/>
      <c r="T111" s="903"/>
      <c r="U111" s="903"/>
      <c r="V111" s="903"/>
      <c r="W111" s="39"/>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9"/>
      <c r="GO111" s="39"/>
      <c r="GP111" s="39"/>
      <c r="GQ111" s="39"/>
      <c r="GR111" s="39"/>
      <c r="GS111" s="39"/>
      <c r="GT111" s="39"/>
      <c r="GU111" s="39"/>
      <c r="GV111" s="39"/>
      <c r="GW111" s="39"/>
      <c r="GX111" s="39"/>
      <c r="GY111" s="39"/>
      <c r="GZ111" s="39"/>
      <c r="HA111" s="39"/>
      <c r="HB111" s="39"/>
      <c r="HC111" s="39"/>
      <c r="HD111" s="39"/>
      <c r="HE111" s="39"/>
      <c r="HF111" s="39"/>
      <c r="HG111" s="39"/>
      <c r="HH111" s="39"/>
      <c r="HI111" s="39"/>
      <c r="HJ111" s="39"/>
      <c r="HK111" s="39"/>
      <c r="HL111" s="39"/>
      <c r="HM111" s="39"/>
      <c r="HN111" s="39"/>
      <c r="HO111" s="39"/>
      <c r="HP111" s="39"/>
      <c r="HQ111" s="39"/>
      <c r="HR111" s="39"/>
      <c r="HS111" s="39"/>
      <c r="HT111" s="39"/>
      <c r="HU111" s="39"/>
      <c r="HV111" s="39"/>
      <c r="HW111" s="40"/>
    </row>
    <row r="112" spans="2:231" x14ac:dyDescent="0.25">
      <c r="B112" s="939"/>
      <c r="C112" s="39"/>
      <c r="D112" s="936"/>
      <c r="E112" s="39"/>
      <c r="F112" s="902"/>
      <c r="G112" s="902"/>
      <c r="H112" s="902"/>
      <c r="I112" s="903"/>
      <c r="J112" s="903"/>
      <c r="K112" s="903"/>
      <c r="L112" s="903"/>
      <c r="M112" s="903"/>
      <c r="N112" s="39"/>
      <c r="O112" s="902"/>
      <c r="P112" s="902"/>
      <c r="Q112" s="902"/>
      <c r="R112" s="903"/>
      <c r="S112" s="903"/>
      <c r="T112" s="903"/>
      <c r="U112" s="903"/>
      <c r="V112" s="903"/>
      <c r="W112" s="39"/>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9"/>
      <c r="GO112" s="39"/>
      <c r="GP112" s="39"/>
      <c r="GQ112" s="39"/>
      <c r="GR112" s="39"/>
      <c r="GS112" s="39"/>
      <c r="GT112" s="39"/>
      <c r="GU112" s="39"/>
      <c r="GV112" s="39"/>
      <c r="GW112" s="39"/>
      <c r="GX112" s="39"/>
      <c r="GY112" s="39"/>
      <c r="GZ112" s="39"/>
      <c r="HA112" s="39"/>
      <c r="HB112" s="39"/>
      <c r="HC112" s="39"/>
      <c r="HD112" s="39"/>
      <c r="HE112" s="39"/>
      <c r="HF112" s="39"/>
      <c r="HG112" s="39"/>
      <c r="HH112" s="39"/>
      <c r="HI112" s="39"/>
      <c r="HJ112" s="39"/>
      <c r="HK112" s="39"/>
      <c r="HL112" s="39"/>
      <c r="HM112" s="39"/>
      <c r="HN112" s="39"/>
      <c r="HO112" s="39"/>
      <c r="HP112" s="39"/>
      <c r="HQ112" s="39"/>
      <c r="HR112" s="39"/>
      <c r="HS112" s="39"/>
      <c r="HT112" s="39"/>
      <c r="HU112" s="39"/>
      <c r="HV112" s="39"/>
      <c r="HW112" s="40"/>
    </row>
    <row r="113" spans="2:231" x14ac:dyDescent="0.25">
      <c r="B113" s="939"/>
      <c r="C113" s="39"/>
      <c r="D113" s="936"/>
      <c r="E113" s="39"/>
      <c r="F113" s="902" t="s">
        <v>6</v>
      </c>
      <c r="G113" s="902"/>
      <c r="H113" s="902"/>
      <c r="I113" s="903" t="s">
        <v>9</v>
      </c>
      <c r="J113" s="903"/>
      <c r="K113" s="903"/>
      <c r="L113" s="903"/>
      <c r="M113" s="903"/>
      <c r="N113" s="39"/>
      <c r="O113" s="902" t="s">
        <v>6</v>
      </c>
      <c r="P113" s="902"/>
      <c r="Q113" s="902"/>
      <c r="R113" s="903" t="s">
        <v>9</v>
      </c>
      <c r="S113" s="903"/>
      <c r="T113" s="903"/>
      <c r="U113" s="903"/>
      <c r="V113" s="903"/>
      <c r="W113" s="39"/>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9"/>
      <c r="GO113" s="39"/>
      <c r="GP113" s="39"/>
      <c r="GQ113" s="39"/>
      <c r="GR113" s="39"/>
      <c r="GS113" s="39"/>
      <c r="GT113" s="39"/>
      <c r="GU113" s="39"/>
      <c r="GV113" s="39"/>
      <c r="GW113" s="39"/>
      <c r="GX113" s="39"/>
      <c r="GY113" s="39"/>
      <c r="GZ113" s="39"/>
      <c r="HA113" s="39"/>
      <c r="HB113" s="39"/>
      <c r="HC113" s="39"/>
      <c r="HD113" s="39"/>
      <c r="HE113" s="39"/>
      <c r="HF113" s="39"/>
      <c r="HG113" s="39"/>
      <c r="HH113" s="39"/>
      <c r="HI113" s="39"/>
      <c r="HJ113" s="39"/>
      <c r="HK113" s="39"/>
      <c r="HL113" s="39"/>
      <c r="HM113" s="39"/>
      <c r="HN113" s="39"/>
      <c r="HO113" s="39"/>
      <c r="HP113" s="39"/>
      <c r="HQ113" s="39"/>
      <c r="HR113" s="39"/>
      <c r="HS113" s="39"/>
      <c r="HT113" s="39"/>
      <c r="HU113" s="39"/>
      <c r="HV113" s="39"/>
      <c r="HW113" s="40"/>
    </row>
    <row r="114" spans="2:231" x14ac:dyDescent="0.25">
      <c r="B114" s="939"/>
      <c r="C114" s="39"/>
      <c r="D114" s="936"/>
      <c r="E114" s="39"/>
      <c r="F114" s="902"/>
      <c r="G114" s="902"/>
      <c r="H114" s="902"/>
      <c r="I114" s="903"/>
      <c r="J114" s="903"/>
      <c r="K114" s="903"/>
      <c r="L114" s="903"/>
      <c r="M114" s="903"/>
      <c r="N114" s="39"/>
      <c r="O114" s="902"/>
      <c r="P114" s="902"/>
      <c r="Q114" s="902"/>
      <c r="R114" s="903"/>
      <c r="S114" s="903"/>
      <c r="T114" s="903"/>
      <c r="U114" s="903"/>
      <c r="V114" s="903"/>
      <c r="W114" s="39"/>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9"/>
      <c r="GO114" s="39"/>
      <c r="GP114" s="39"/>
      <c r="GQ114" s="39"/>
      <c r="GR114" s="39"/>
      <c r="GS114" s="39"/>
      <c r="GT114" s="39"/>
      <c r="GU114" s="39"/>
      <c r="GV114" s="39"/>
      <c r="GW114" s="39"/>
      <c r="GX114" s="39"/>
      <c r="GY114" s="39"/>
      <c r="GZ114" s="39"/>
      <c r="HA114" s="39"/>
      <c r="HB114" s="39"/>
      <c r="HC114" s="39"/>
      <c r="HD114" s="39"/>
      <c r="HE114" s="39"/>
      <c r="HF114" s="39"/>
      <c r="HG114" s="39"/>
      <c r="HH114" s="39"/>
      <c r="HI114" s="39"/>
      <c r="HJ114" s="39"/>
      <c r="HK114" s="39"/>
      <c r="HL114" s="39"/>
      <c r="HM114" s="39"/>
      <c r="HN114" s="39"/>
      <c r="HO114" s="39"/>
      <c r="HP114" s="39"/>
      <c r="HQ114" s="39"/>
      <c r="HR114" s="39"/>
      <c r="HS114" s="39"/>
      <c r="HT114" s="39"/>
      <c r="HU114" s="39"/>
      <c r="HV114" s="39"/>
      <c r="HW114" s="40"/>
    </row>
    <row r="115" spans="2:231" x14ac:dyDescent="0.25">
      <c r="B115" s="939"/>
      <c r="C115" s="39"/>
      <c r="D115" s="936"/>
      <c r="E115" s="39"/>
      <c r="F115" s="902"/>
      <c r="G115" s="902"/>
      <c r="H115" s="902"/>
      <c r="I115" s="903"/>
      <c r="J115" s="903"/>
      <c r="K115" s="903"/>
      <c r="L115" s="903"/>
      <c r="M115" s="903"/>
      <c r="N115" s="39"/>
      <c r="O115" s="902"/>
      <c r="P115" s="902"/>
      <c r="Q115" s="902"/>
      <c r="R115" s="903"/>
      <c r="S115" s="903"/>
      <c r="T115" s="903"/>
      <c r="U115" s="903"/>
      <c r="V115" s="903"/>
      <c r="W115" s="39"/>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9"/>
      <c r="GO115" s="39"/>
      <c r="GP115" s="39"/>
      <c r="GQ115" s="39"/>
      <c r="GR115" s="39"/>
      <c r="GS115" s="39"/>
      <c r="GT115" s="39"/>
      <c r="GU115" s="39"/>
      <c r="GV115" s="39"/>
      <c r="GW115" s="39"/>
      <c r="GX115" s="39"/>
      <c r="GY115" s="39"/>
      <c r="GZ115" s="39"/>
      <c r="HA115" s="39"/>
      <c r="HB115" s="39"/>
      <c r="HC115" s="39"/>
      <c r="HD115" s="39"/>
      <c r="HE115" s="39"/>
      <c r="HF115" s="39"/>
      <c r="HG115" s="39"/>
      <c r="HH115" s="39"/>
      <c r="HI115" s="39"/>
      <c r="HJ115" s="39"/>
      <c r="HK115" s="39"/>
      <c r="HL115" s="39"/>
      <c r="HM115" s="39"/>
      <c r="HN115" s="39"/>
      <c r="HO115" s="39"/>
      <c r="HP115" s="39"/>
      <c r="HQ115" s="39"/>
      <c r="HR115" s="39"/>
      <c r="HS115" s="39"/>
      <c r="HT115" s="39"/>
      <c r="HU115" s="39"/>
      <c r="HV115" s="39"/>
      <c r="HW115" s="40"/>
    </row>
    <row r="116" spans="2:231" x14ac:dyDescent="0.25">
      <c r="B116" s="939"/>
      <c r="C116" s="39"/>
      <c r="D116" s="936"/>
      <c r="E116" s="39"/>
      <c r="F116" s="902" t="s">
        <v>7</v>
      </c>
      <c r="G116" s="902"/>
      <c r="H116" s="902"/>
      <c r="I116" s="903" t="s">
        <v>509</v>
      </c>
      <c r="J116" s="903"/>
      <c r="K116" s="903"/>
      <c r="L116" s="903"/>
      <c r="M116" s="903"/>
      <c r="N116" s="39"/>
      <c r="O116" s="902" t="s">
        <v>7</v>
      </c>
      <c r="P116" s="902"/>
      <c r="Q116" s="902"/>
      <c r="R116" s="903" t="s">
        <v>513</v>
      </c>
      <c r="S116" s="903"/>
      <c r="T116" s="903"/>
      <c r="U116" s="903"/>
      <c r="V116" s="903"/>
      <c r="W116" s="39"/>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9"/>
      <c r="GO116" s="39"/>
      <c r="GP116" s="39"/>
      <c r="GQ116" s="39"/>
      <c r="GR116" s="39"/>
      <c r="GS116" s="39"/>
      <c r="GT116" s="39"/>
      <c r="GU116" s="39"/>
      <c r="GV116" s="39"/>
      <c r="GW116" s="39"/>
      <c r="GX116" s="39"/>
      <c r="GY116" s="39"/>
      <c r="GZ116" s="39"/>
      <c r="HA116" s="39"/>
      <c r="HB116" s="39"/>
      <c r="HC116" s="39"/>
      <c r="HD116" s="39"/>
      <c r="HE116" s="39"/>
      <c r="HF116" s="39"/>
      <c r="HG116" s="39"/>
      <c r="HH116" s="39"/>
      <c r="HI116" s="39"/>
      <c r="HJ116" s="39"/>
      <c r="HK116" s="39"/>
      <c r="HL116" s="39"/>
      <c r="HM116" s="39"/>
      <c r="HN116" s="39"/>
      <c r="HO116" s="39"/>
      <c r="HP116" s="39"/>
      <c r="HQ116" s="39"/>
      <c r="HR116" s="39"/>
      <c r="HS116" s="39"/>
      <c r="HT116" s="39"/>
      <c r="HU116" s="39"/>
      <c r="HV116" s="39"/>
      <c r="HW116" s="40"/>
    </row>
    <row r="117" spans="2:231" x14ac:dyDescent="0.25">
      <c r="B117" s="939"/>
      <c r="C117" s="39"/>
      <c r="D117" s="936"/>
      <c r="E117" s="39"/>
      <c r="F117" s="902"/>
      <c r="G117" s="902"/>
      <c r="H117" s="902"/>
      <c r="I117" s="903"/>
      <c r="J117" s="903"/>
      <c r="K117" s="903"/>
      <c r="L117" s="903"/>
      <c r="M117" s="903"/>
      <c r="N117" s="39"/>
      <c r="O117" s="902"/>
      <c r="P117" s="902"/>
      <c r="Q117" s="902"/>
      <c r="R117" s="903"/>
      <c r="S117" s="903"/>
      <c r="T117" s="903"/>
      <c r="U117" s="903"/>
      <c r="V117" s="903"/>
      <c r="W117" s="39"/>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9"/>
      <c r="GO117" s="39"/>
      <c r="GP117" s="39"/>
      <c r="GQ117" s="39"/>
      <c r="GR117" s="39"/>
      <c r="GS117" s="39"/>
      <c r="GT117" s="39"/>
      <c r="GU117" s="39"/>
      <c r="GV117" s="39"/>
      <c r="GW117" s="39"/>
      <c r="GX117" s="39"/>
      <c r="GY117" s="39"/>
      <c r="GZ117" s="39"/>
      <c r="HA117" s="39"/>
      <c r="HB117" s="39"/>
      <c r="HC117" s="39"/>
      <c r="HD117" s="39"/>
      <c r="HE117" s="39"/>
      <c r="HF117" s="39"/>
      <c r="HG117" s="39"/>
      <c r="HH117" s="39"/>
      <c r="HI117" s="39"/>
      <c r="HJ117" s="39"/>
      <c r="HK117" s="39"/>
      <c r="HL117" s="39"/>
      <c r="HM117" s="39"/>
      <c r="HN117" s="39"/>
      <c r="HO117" s="39"/>
      <c r="HP117" s="39"/>
      <c r="HQ117" s="39"/>
      <c r="HR117" s="39"/>
      <c r="HS117" s="39"/>
      <c r="HT117" s="39"/>
      <c r="HU117" s="39"/>
      <c r="HV117" s="39"/>
      <c r="HW117" s="40"/>
    </row>
    <row r="118" spans="2:231" ht="16.5" thickBot="1" x14ac:dyDescent="0.3">
      <c r="B118" s="939"/>
      <c r="C118" s="39"/>
      <c r="D118" s="937"/>
      <c r="E118" s="39"/>
      <c r="F118" s="902"/>
      <c r="G118" s="902"/>
      <c r="H118" s="902"/>
      <c r="I118" s="903"/>
      <c r="J118" s="903"/>
      <c r="K118" s="903"/>
      <c r="L118" s="903"/>
      <c r="M118" s="903"/>
      <c r="N118" s="39"/>
      <c r="O118" s="902"/>
      <c r="P118" s="902"/>
      <c r="Q118" s="902"/>
      <c r="R118" s="903"/>
      <c r="S118" s="903"/>
      <c r="T118" s="903"/>
      <c r="U118" s="903"/>
      <c r="V118" s="903"/>
      <c r="W118" s="39"/>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39"/>
      <c r="FY118" s="39"/>
      <c r="FZ118" s="39"/>
      <c r="GA118" s="39"/>
      <c r="GB118" s="39"/>
      <c r="GC118" s="39"/>
      <c r="GD118" s="39"/>
      <c r="GE118" s="39"/>
      <c r="GF118" s="39"/>
      <c r="GG118" s="39"/>
      <c r="GH118" s="39"/>
      <c r="GI118" s="39"/>
      <c r="GJ118" s="39"/>
      <c r="GK118" s="39"/>
      <c r="GL118" s="39"/>
      <c r="GM118" s="39"/>
      <c r="GN118" s="39"/>
      <c r="GO118" s="39"/>
      <c r="GP118" s="39"/>
      <c r="GQ118" s="39"/>
      <c r="GR118" s="39"/>
      <c r="GS118" s="39"/>
      <c r="GT118" s="39"/>
      <c r="GU118" s="39"/>
      <c r="GV118" s="39"/>
      <c r="GW118" s="39"/>
      <c r="GX118" s="39"/>
      <c r="GY118" s="39"/>
      <c r="GZ118" s="39"/>
      <c r="HA118" s="39"/>
      <c r="HB118" s="39"/>
      <c r="HC118" s="39"/>
      <c r="HD118" s="39"/>
      <c r="HE118" s="39"/>
      <c r="HF118" s="39"/>
      <c r="HG118" s="39"/>
      <c r="HH118" s="39"/>
      <c r="HI118" s="39"/>
      <c r="HJ118" s="39"/>
      <c r="HK118" s="39"/>
      <c r="HL118" s="39"/>
      <c r="HM118" s="39"/>
      <c r="HN118" s="39"/>
      <c r="HO118" s="39"/>
      <c r="HP118" s="39"/>
      <c r="HQ118" s="39"/>
      <c r="HR118" s="39"/>
      <c r="HS118" s="39"/>
      <c r="HT118" s="39"/>
      <c r="HU118" s="39"/>
      <c r="HV118" s="39"/>
      <c r="HW118" s="40"/>
    </row>
    <row r="119" spans="2:231" x14ac:dyDescent="0.25">
      <c r="B119" s="9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9"/>
      <c r="GO119" s="39"/>
      <c r="GP119" s="39"/>
      <c r="GQ119" s="39"/>
      <c r="GR119" s="39"/>
      <c r="GS119" s="39"/>
      <c r="GT119" s="39"/>
      <c r="GU119" s="39"/>
      <c r="GV119" s="39"/>
      <c r="GW119" s="39"/>
      <c r="GX119" s="39"/>
      <c r="GY119" s="39"/>
      <c r="GZ119" s="39"/>
      <c r="HA119" s="39"/>
      <c r="HB119" s="39"/>
      <c r="HC119" s="39"/>
      <c r="HD119" s="39"/>
      <c r="HE119" s="39"/>
      <c r="HF119" s="39"/>
      <c r="HG119" s="39"/>
      <c r="HH119" s="39"/>
      <c r="HI119" s="39"/>
      <c r="HJ119" s="39"/>
      <c r="HK119" s="39"/>
      <c r="HL119" s="39"/>
      <c r="HM119" s="39"/>
      <c r="HN119" s="39"/>
      <c r="HO119" s="39"/>
      <c r="HP119" s="39"/>
      <c r="HQ119" s="39"/>
      <c r="HR119" s="39"/>
      <c r="HS119" s="39"/>
      <c r="HT119" s="39"/>
      <c r="HU119" s="39"/>
      <c r="HV119" s="39"/>
      <c r="HW119" s="40"/>
    </row>
    <row r="120" spans="2:231" ht="16.5" thickBot="1" x14ac:dyDescent="0.3">
      <c r="B120" s="9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39"/>
      <c r="FY120" s="39"/>
      <c r="FZ120" s="39"/>
      <c r="GA120" s="39"/>
      <c r="GB120" s="39"/>
      <c r="GC120" s="39"/>
      <c r="GD120" s="39"/>
      <c r="GE120" s="39"/>
      <c r="GF120" s="39"/>
      <c r="GG120" s="39"/>
      <c r="GH120" s="39"/>
      <c r="GI120" s="39"/>
      <c r="GJ120" s="39"/>
      <c r="GK120" s="39"/>
      <c r="GL120" s="39"/>
      <c r="GM120" s="39"/>
      <c r="GN120" s="39"/>
      <c r="GO120" s="39"/>
      <c r="GP120" s="39"/>
      <c r="GQ120" s="39"/>
      <c r="GR120" s="39"/>
      <c r="GS120" s="39"/>
      <c r="GT120" s="39"/>
      <c r="GU120" s="39"/>
      <c r="GV120" s="39"/>
      <c r="GW120" s="39"/>
      <c r="GX120" s="39"/>
      <c r="GY120" s="39"/>
      <c r="GZ120" s="39"/>
      <c r="HA120" s="39"/>
      <c r="HB120" s="39"/>
      <c r="HC120" s="39"/>
      <c r="HD120" s="39"/>
      <c r="HE120" s="39"/>
      <c r="HF120" s="39"/>
      <c r="HG120" s="39"/>
      <c r="HH120" s="39"/>
      <c r="HI120" s="39"/>
      <c r="HJ120" s="39"/>
      <c r="HK120" s="39"/>
      <c r="HL120" s="39"/>
      <c r="HM120" s="39"/>
      <c r="HN120" s="39"/>
      <c r="HO120" s="39"/>
      <c r="HP120" s="39"/>
      <c r="HQ120" s="39"/>
      <c r="HR120" s="39"/>
      <c r="HS120" s="39"/>
      <c r="HT120" s="39"/>
      <c r="HU120" s="39"/>
      <c r="HV120" s="39"/>
      <c r="HW120" s="40"/>
    </row>
    <row r="121" spans="2:231" ht="15.75" customHeight="1" x14ac:dyDescent="0.25">
      <c r="B121" s="939"/>
      <c r="C121" s="39"/>
      <c r="D121" s="938" t="s">
        <v>56</v>
      </c>
      <c r="E121" s="39"/>
      <c r="F121" s="906" t="s">
        <v>8</v>
      </c>
      <c r="G121" s="906"/>
      <c r="H121" s="906"/>
      <c r="I121" s="906"/>
      <c r="J121" s="906"/>
      <c r="K121" s="906"/>
      <c r="L121" s="906"/>
      <c r="M121" s="906"/>
      <c r="N121" s="39"/>
      <c r="O121" s="906" t="s">
        <v>8</v>
      </c>
      <c r="P121" s="906"/>
      <c r="Q121" s="906"/>
      <c r="R121" s="906"/>
      <c r="S121" s="906"/>
      <c r="T121" s="906"/>
      <c r="U121" s="906"/>
      <c r="V121" s="906"/>
      <c r="W121" s="39"/>
      <c r="X121" s="906" t="s">
        <v>8</v>
      </c>
      <c r="Y121" s="906"/>
      <c r="Z121" s="906"/>
      <c r="AA121" s="906"/>
      <c r="AB121" s="906"/>
      <c r="AC121" s="906"/>
      <c r="AD121" s="906"/>
      <c r="AE121" s="906"/>
      <c r="AF121" s="39"/>
      <c r="AG121" s="906" t="s">
        <v>8</v>
      </c>
      <c r="AH121" s="906"/>
      <c r="AI121" s="906"/>
      <c r="AJ121" s="906"/>
      <c r="AK121" s="906"/>
      <c r="AL121" s="906"/>
      <c r="AM121" s="906"/>
      <c r="AN121" s="906"/>
      <c r="AO121" s="39"/>
      <c r="AP121" s="906" t="s">
        <v>8</v>
      </c>
      <c r="AQ121" s="906"/>
      <c r="AR121" s="906"/>
      <c r="AS121" s="906"/>
      <c r="AT121" s="906"/>
      <c r="AU121" s="906"/>
      <c r="AV121" s="906"/>
      <c r="AW121" s="906"/>
      <c r="AX121" s="39"/>
      <c r="AY121" s="906" t="s">
        <v>8</v>
      </c>
      <c r="AZ121" s="906"/>
      <c r="BA121" s="906"/>
      <c r="BB121" s="906"/>
      <c r="BC121" s="906"/>
      <c r="BD121" s="906"/>
      <c r="BE121" s="906"/>
      <c r="BF121" s="906"/>
      <c r="BG121" s="39"/>
      <c r="BH121" s="906" t="s">
        <v>8</v>
      </c>
      <c r="BI121" s="906"/>
      <c r="BJ121" s="906"/>
      <c r="BK121" s="906"/>
      <c r="BL121" s="906"/>
      <c r="BM121" s="906"/>
      <c r="BN121" s="906"/>
      <c r="BO121" s="906"/>
      <c r="BP121" s="39"/>
      <c r="BQ121" s="906" t="s">
        <v>8</v>
      </c>
      <c r="BR121" s="906"/>
      <c r="BS121" s="906"/>
      <c r="BT121" s="906"/>
      <c r="BU121" s="906"/>
      <c r="BV121" s="906"/>
      <c r="BW121" s="906"/>
      <c r="BX121" s="906"/>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39"/>
      <c r="FY121" s="39"/>
      <c r="FZ121" s="39"/>
      <c r="GA121" s="39"/>
      <c r="GB121" s="39"/>
      <c r="GC121" s="39"/>
      <c r="GD121" s="39"/>
      <c r="GE121" s="39"/>
      <c r="GF121" s="39"/>
      <c r="GG121" s="39"/>
      <c r="GH121" s="39"/>
      <c r="GI121" s="39"/>
      <c r="GJ121" s="39"/>
      <c r="GK121" s="39"/>
      <c r="GL121" s="39"/>
      <c r="GM121" s="39"/>
      <c r="GN121" s="39"/>
      <c r="GO121" s="39"/>
      <c r="GP121" s="39"/>
      <c r="GQ121" s="39"/>
      <c r="GR121" s="39"/>
      <c r="GS121" s="39"/>
      <c r="GT121" s="39"/>
      <c r="GU121" s="39"/>
      <c r="GV121" s="39"/>
      <c r="GW121" s="39"/>
      <c r="GX121" s="39"/>
      <c r="GY121" s="39"/>
      <c r="GZ121" s="39"/>
      <c r="HA121" s="39"/>
      <c r="HB121" s="39"/>
      <c r="HC121" s="39"/>
      <c r="HD121" s="39"/>
      <c r="HE121" s="39"/>
      <c r="HF121" s="39"/>
      <c r="HG121" s="39"/>
      <c r="HH121" s="39"/>
      <c r="HI121" s="39"/>
      <c r="HJ121" s="39"/>
      <c r="HK121" s="39"/>
      <c r="HL121" s="39"/>
      <c r="HM121" s="39"/>
      <c r="HN121" s="39"/>
      <c r="HO121" s="39"/>
      <c r="HP121" s="39"/>
      <c r="HQ121" s="39"/>
      <c r="HR121" s="39"/>
      <c r="HS121" s="39"/>
      <c r="HT121" s="39"/>
      <c r="HU121" s="39"/>
      <c r="HV121" s="39"/>
      <c r="HW121" s="40"/>
    </row>
    <row r="122" spans="2:231" x14ac:dyDescent="0.25">
      <c r="B122" s="939"/>
      <c r="C122" s="39"/>
      <c r="D122" s="939"/>
      <c r="E122" s="39"/>
      <c r="F122" s="905" t="s">
        <v>0</v>
      </c>
      <c r="G122" s="905"/>
      <c r="H122" s="905"/>
      <c r="I122" s="905" t="s">
        <v>1</v>
      </c>
      <c r="J122" s="905"/>
      <c r="K122" s="905"/>
      <c r="L122" s="905"/>
      <c r="M122" s="905"/>
      <c r="N122" s="39"/>
      <c r="O122" s="905" t="s">
        <v>0</v>
      </c>
      <c r="P122" s="905"/>
      <c r="Q122" s="905"/>
      <c r="R122" s="905" t="s">
        <v>1</v>
      </c>
      <c r="S122" s="905"/>
      <c r="T122" s="905"/>
      <c r="U122" s="905"/>
      <c r="V122" s="905"/>
      <c r="W122" s="39"/>
      <c r="X122" s="905" t="s">
        <v>0</v>
      </c>
      <c r="Y122" s="905"/>
      <c r="Z122" s="905"/>
      <c r="AA122" s="905" t="s">
        <v>1</v>
      </c>
      <c r="AB122" s="905"/>
      <c r="AC122" s="905"/>
      <c r="AD122" s="905"/>
      <c r="AE122" s="905"/>
      <c r="AF122" s="39"/>
      <c r="AG122" s="905" t="s">
        <v>0</v>
      </c>
      <c r="AH122" s="905"/>
      <c r="AI122" s="905"/>
      <c r="AJ122" s="905" t="s">
        <v>1</v>
      </c>
      <c r="AK122" s="905"/>
      <c r="AL122" s="905"/>
      <c r="AM122" s="905"/>
      <c r="AN122" s="905"/>
      <c r="AO122" s="39"/>
      <c r="AP122" s="905" t="s">
        <v>0</v>
      </c>
      <c r="AQ122" s="905"/>
      <c r="AR122" s="905"/>
      <c r="AS122" s="905" t="s">
        <v>1</v>
      </c>
      <c r="AT122" s="905"/>
      <c r="AU122" s="905"/>
      <c r="AV122" s="905"/>
      <c r="AW122" s="905"/>
      <c r="AX122" s="39"/>
      <c r="AY122" s="905" t="s">
        <v>0</v>
      </c>
      <c r="AZ122" s="905"/>
      <c r="BA122" s="905"/>
      <c r="BB122" s="905" t="s">
        <v>1</v>
      </c>
      <c r="BC122" s="905"/>
      <c r="BD122" s="905"/>
      <c r="BE122" s="905"/>
      <c r="BF122" s="905"/>
      <c r="BG122" s="39"/>
      <c r="BH122" s="905" t="s">
        <v>0</v>
      </c>
      <c r="BI122" s="905"/>
      <c r="BJ122" s="905"/>
      <c r="BK122" s="905" t="s">
        <v>1</v>
      </c>
      <c r="BL122" s="905"/>
      <c r="BM122" s="905"/>
      <c r="BN122" s="905"/>
      <c r="BO122" s="905"/>
      <c r="BP122" s="39"/>
      <c r="BQ122" s="905" t="s">
        <v>0</v>
      </c>
      <c r="BR122" s="905"/>
      <c r="BS122" s="905"/>
      <c r="BT122" s="905" t="s">
        <v>1</v>
      </c>
      <c r="BU122" s="905"/>
      <c r="BV122" s="905"/>
      <c r="BW122" s="905"/>
      <c r="BX122" s="905"/>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9"/>
      <c r="GO122" s="39"/>
      <c r="GP122" s="39"/>
      <c r="GQ122" s="39"/>
      <c r="GR122" s="39"/>
      <c r="GS122" s="39"/>
      <c r="GT122" s="39"/>
      <c r="GU122" s="39"/>
      <c r="GV122" s="39"/>
      <c r="GW122" s="39"/>
      <c r="GX122" s="39"/>
      <c r="GY122" s="39"/>
      <c r="GZ122" s="39"/>
      <c r="HA122" s="39"/>
      <c r="HB122" s="39"/>
      <c r="HC122" s="39"/>
      <c r="HD122" s="39"/>
      <c r="HE122" s="39"/>
      <c r="HF122" s="39"/>
      <c r="HG122" s="39"/>
      <c r="HH122" s="39"/>
      <c r="HI122" s="39"/>
      <c r="HJ122" s="39"/>
      <c r="HK122" s="39"/>
      <c r="HL122" s="39"/>
      <c r="HM122" s="39"/>
      <c r="HN122" s="39"/>
      <c r="HO122" s="39"/>
      <c r="HP122" s="39"/>
      <c r="HQ122" s="39"/>
      <c r="HR122" s="39"/>
      <c r="HS122" s="39"/>
      <c r="HT122" s="39"/>
      <c r="HU122" s="39"/>
      <c r="HV122" s="39"/>
      <c r="HW122" s="40"/>
    </row>
    <row r="123" spans="2:231" x14ac:dyDescent="0.25">
      <c r="B123" s="939"/>
      <c r="C123" s="39"/>
      <c r="D123" s="939"/>
      <c r="E123" s="39"/>
      <c r="F123" s="902" t="s">
        <v>2</v>
      </c>
      <c r="G123" s="902"/>
      <c r="H123" s="902"/>
      <c r="I123" s="903" t="s">
        <v>139</v>
      </c>
      <c r="J123" s="903"/>
      <c r="K123" s="903"/>
      <c r="L123" s="903"/>
      <c r="M123" s="903"/>
      <c r="N123" s="39"/>
      <c r="O123" s="902" t="s">
        <v>2</v>
      </c>
      <c r="P123" s="902"/>
      <c r="Q123" s="902"/>
      <c r="R123" s="903" t="s">
        <v>140</v>
      </c>
      <c r="S123" s="903"/>
      <c r="T123" s="903"/>
      <c r="U123" s="903"/>
      <c r="V123" s="903"/>
      <c r="W123" s="39"/>
      <c r="X123" s="902" t="s">
        <v>2</v>
      </c>
      <c r="Y123" s="902"/>
      <c r="Z123" s="902"/>
      <c r="AA123" s="903" t="s">
        <v>141</v>
      </c>
      <c r="AB123" s="903"/>
      <c r="AC123" s="903"/>
      <c r="AD123" s="903"/>
      <c r="AE123" s="903"/>
      <c r="AF123" s="39"/>
      <c r="AG123" s="902" t="s">
        <v>2</v>
      </c>
      <c r="AH123" s="902"/>
      <c r="AI123" s="902"/>
      <c r="AJ123" s="903" t="s">
        <v>142</v>
      </c>
      <c r="AK123" s="903"/>
      <c r="AL123" s="903"/>
      <c r="AM123" s="903"/>
      <c r="AN123" s="903"/>
      <c r="AO123" s="39"/>
      <c r="AP123" s="902" t="s">
        <v>2</v>
      </c>
      <c r="AQ123" s="902"/>
      <c r="AR123" s="902"/>
      <c r="AS123" s="903" t="s">
        <v>143</v>
      </c>
      <c r="AT123" s="903"/>
      <c r="AU123" s="903"/>
      <c r="AV123" s="903"/>
      <c r="AW123" s="903"/>
      <c r="AX123" s="39"/>
      <c r="AY123" s="902" t="s">
        <v>2</v>
      </c>
      <c r="AZ123" s="902"/>
      <c r="BA123" s="902"/>
      <c r="BB123" s="903" t="s">
        <v>145</v>
      </c>
      <c r="BC123" s="903"/>
      <c r="BD123" s="903"/>
      <c r="BE123" s="903"/>
      <c r="BF123" s="903"/>
      <c r="BG123" s="39"/>
      <c r="BH123" s="902" t="s">
        <v>2</v>
      </c>
      <c r="BI123" s="902"/>
      <c r="BJ123" s="902"/>
      <c r="BK123" s="903" t="s">
        <v>146</v>
      </c>
      <c r="BL123" s="903"/>
      <c r="BM123" s="903"/>
      <c r="BN123" s="903"/>
      <c r="BO123" s="903"/>
      <c r="BP123" s="39"/>
      <c r="BQ123" s="902" t="s">
        <v>2</v>
      </c>
      <c r="BR123" s="902"/>
      <c r="BS123" s="902"/>
      <c r="BT123" s="903" t="s">
        <v>144</v>
      </c>
      <c r="BU123" s="903"/>
      <c r="BV123" s="903"/>
      <c r="BW123" s="903"/>
      <c r="BX123" s="903"/>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9"/>
      <c r="GO123" s="39"/>
      <c r="GP123" s="39"/>
      <c r="GQ123" s="39"/>
      <c r="GR123" s="39"/>
      <c r="GS123" s="39"/>
      <c r="GT123" s="39"/>
      <c r="GU123" s="39"/>
      <c r="GV123" s="39"/>
      <c r="GW123" s="39"/>
      <c r="GX123" s="39"/>
      <c r="GY123" s="39"/>
      <c r="GZ123" s="39"/>
      <c r="HA123" s="39"/>
      <c r="HB123" s="39"/>
      <c r="HC123" s="39"/>
      <c r="HD123" s="39"/>
      <c r="HE123" s="39"/>
      <c r="HF123" s="39"/>
      <c r="HG123" s="39"/>
      <c r="HH123" s="39"/>
      <c r="HI123" s="39"/>
      <c r="HJ123" s="39"/>
      <c r="HK123" s="39"/>
      <c r="HL123" s="39"/>
      <c r="HM123" s="39"/>
      <c r="HN123" s="39"/>
      <c r="HO123" s="39"/>
      <c r="HP123" s="39"/>
      <c r="HQ123" s="39"/>
      <c r="HR123" s="39"/>
      <c r="HS123" s="39"/>
      <c r="HT123" s="39"/>
      <c r="HU123" s="39"/>
      <c r="HV123" s="39"/>
      <c r="HW123" s="40"/>
    </row>
    <row r="124" spans="2:231" x14ac:dyDescent="0.25">
      <c r="B124" s="939"/>
      <c r="C124" s="39"/>
      <c r="D124" s="939"/>
      <c r="E124" s="39"/>
      <c r="F124" s="902"/>
      <c r="G124" s="902"/>
      <c r="H124" s="902"/>
      <c r="I124" s="903"/>
      <c r="J124" s="903"/>
      <c r="K124" s="903"/>
      <c r="L124" s="903"/>
      <c r="M124" s="903"/>
      <c r="N124" s="39"/>
      <c r="O124" s="902"/>
      <c r="P124" s="902"/>
      <c r="Q124" s="902"/>
      <c r="R124" s="903"/>
      <c r="S124" s="903"/>
      <c r="T124" s="903"/>
      <c r="U124" s="903"/>
      <c r="V124" s="903"/>
      <c r="W124" s="39"/>
      <c r="X124" s="902"/>
      <c r="Y124" s="902"/>
      <c r="Z124" s="902"/>
      <c r="AA124" s="903"/>
      <c r="AB124" s="903"/>
      <c r="AC124" s="903"/>
      <c r="AD124" s="903"/>
      <c r="AE124" s="903"/>
      <c r="AF124" s="39"/>
      <c r="AG124" s="902"/>
      <c r="AH124" s="902"/>
      <c r="AI124" s="902"/>
      <c r="AJ124" s="903"/>
      <c r="AK124" s="903"/>
      <c r="AL124" s="903"/>
      <c r="AM124" s="903"/>
      <c r="AN124" s="903"/>
      <c r="AO124" s="39"/>
      <c r="AP124" s="902"/>
      <c r="AQ124" s="902"/>
      <c r="AR124" s="902"/>
      <c r="AS124" s="903"/>
      <c r="AT124" s="903"/>
      <c r="AU124" s="903"/>
      <c r="AV124" s="903"/>
      <c r="AW124" s="903"/>
      <c r="AX124" s="39"/>
      <c r="AY124" s="902"/>
      <c r="AZ124" s="902"/>
      <c r="BA124" s="902"/>
      <c r="BB124" s="903"/>
      <c r="BC124" s="903"/>
      <c r="BD124" s="903"/>
      <c r="BE124" s="903"/>
      <c r="BF124" s="903"/>
      <c r="BG124" s="39"/>
      <c r="BH124" s="902"/>
      <c r="BI124" s="902"/>
      <c r="BJ124" s="902"/>
      <c r="BK124" s="903"/>
      <c r="BL124" s="903"/>
      <c r="BM124" s="903"/>
      <c r="BN124" s="903"/>
      <c r="BO124" s="903"/>
      <c r="BP124" s="39"/>
      <c r="BQ124" s="902"/>
      <c r="BR124" s="902"/>
      <c r="BS124" s="902"/>
      <c r="BT124" s="903"/>
      <c r="BU124" s="903"/>
      <c r="BV124" s="903"/>
      <c r="BW124" s="903"/>
      <c r="BX124" s="903"/>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9"/>
      <c r="GO124" s="39"/>
      <c r="GP124" s="39"/>
      <c r="GQ124" s="39"/>
      <c r="GR124" s="39"/>
      <c r="GS124" s="39"/>
      <c r="GT124" s="39"/>
      <c r="GU124" s="39"/>
      <c r="GV124" s="39"/>
      <c r="GW124" s="39"/>
      <c r="GX124" s="39"/>
      <c r="GY124" s="39"/>
      <c r="GZ124" s="39"/>
      <c r="HA124" s="39"/>
      <c r="HB124" s="39"/>
      <c r="HC124" s="39"/>
      <c r="HD124" s="39"/>
      <c r="HE124" s="39"/>
      <c r="HF124" s="39"/>
      <c r="HG124" s="39"/>
      <c r="HH124" s="39"/>
      <c r="HI124" s="39"/>
      <c r="HJ124" s="39"/>
      <c r="HK124" s="39"/>
      <c r="HL124" s="39"/>
      <c r="HM124" s="39"/>
      <c r="HN124" s="39"/>
      <c r="HO124" s="39"/>
      <c r="HP124" s="39"/>
      <c r="HQ124" s="39"/>
      <c r="HR124" s="39"/>
      <c r="HS124" s="39"/>
      <c r="HT124" s="39"/>
      <c r="HU124" s="39"/>
      <c r="HV124" s="39"/>
      <c r="HW124" s="40"/>
    </row>
    <row r="125" spans="2:231" x14ac:dyDescent="0.25">
      <c r="B125" s="939"/>
      <c r="C125" s="39"/>
      <c r="D125" s="939"/>
      <c r="E125" s="39"/>
      <c r="F125" s="902"/>
      <c r="G125" s="902"/>
      <c r="H125" s="902"/>
      <c r="I125" s="903"/>
      <c r="J125" s="903"/>
      <c r="K125" s="903"/>
      <c r="L125" s="903"/>
      <c r="M125" s="903"/>
      <c r="N125" s="39"/>
      <c r="O125" s="902"/>
      <c r="P125" s="902"/>
      <c r="Q125" s="902"/>
      <c r="R125" s="903"/>
      <c r="S125" s="903"/>
      <c r="T125" s="903"/>
      <c r="U125" s="903"/>
      <c r="V125" s="903"/>
      <c r="W125" s="39"/>
      <c r="X125" s="902"/>
      <c r="Y125" s="902"/>
      <c r="Z125" s="902"/>
      <c r="AA125" s="903"/>
      <c r="AB125" s="903"/>
      <c r="AC125" s="903"/>
      <c r="AD125" s="903"/>
      <c r="AE125" s="903"/>
      <c r="AF125" s="39"/>
      <c r="AG125" s="902"/>
      <c r="AH125" s="902"/>
      <c r="AI125" s="902"/>
      <c r="AJ125" s="903"/>
      <c r="AK125" s="903"/>
      <c r="AL125" s="903"/>
      <c r="AM125" s="903"/>
      <c r="AN125" s="903"/>
      <c r="AO125" s="39"/>
      <c r="AP125" s="902"/>
      <c r="AQ125" s="902"/>
      <c r="AR125" s="902"/>
      <c r="AS125" s="903"/>
      <c r="AT125" s="903"/>
      <c r="AU125" s="903"/>
      <c r="AV125" s="903"/>
      <c r="AW125" s="903"/>
      <c r="AX125" s="39"/>
      <c r="AY125" s="902"/>
      <c r="AZ125" s="902"/>
      <c r="BA125" s="902"/>
      <c r="BB125" s="903"/>
      <c r="BC125" s="903"/>
      <c r="BD125" s="903"/>
      <c r="BE125" s="903"/>
      <c r="BF125" s="903"/>
      <c r="BG125" s="39"/>
      <c r="BH125" s="902"/>
      <c r="BI125" s="902"/>
      <c r="BJ125" s="902"/>
      <c r="BK125" s="903"/>
      <c r="BL125" s="903"/>
      <c r="BM125" s="903"/>
      <c r="BN125" s="903"/>
      <c r="BO125" s="903"/>
      <c r="BP125" s="39"/>
      <c r="BQ125" s="902"/>
      <c r="BR125" s="902"/>
      <c r="BS125" s="902"/>
      <c r="BT125" s="903"/>
      <c r="BU125" s="903"/>
      <c r="BV125" s="903"/>
      <c r="BW125" s="903"/>
      <c r="BX125" s="903"/>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9"/>
      <c r="GO125" s="39"/>
      <c r="GP125" s="39"/>
      <c r="GQ125" s="39"/>
      <c r="GR125" s="39"/>
      <c r="GS125" s="39"/>
      <c r="GT125" s="39"/>
      <c r="GU125" s="39"/>
      <c r="GV125" s="39"/>
      <c r="GW125" s="39"/>
      <c r="GX125" s="39"/>
      <c r="GY125" s="39"/>
      <c r="GZ125" s="39"/>
      <c r="HA125" s="39"/>
      <c r="HB125" s="39"/>
      <c r="HC125" s="39"/>
      <c r="HD125" s="39"/>
      <c r="HE125" s="39"/>
      <c r="HF125" s="39"/>
      <c r="HG125" s="39"/>
      <c r="HH125" s="39"/>
      <c r="HI125" s="39"/>
      <c r="HJ125" s="39"/>
      <c r="HK125" s="39"/>
      <c r="HL125" s="39"/>
      <c r="HM125" s="39"/>
      <c r="HN125" s="39"/>
      <c r="HO125" s="39"/>
      <c r="HP125" s="39"/>
      <c r="HQ125" s="39"/>
      <c r="HR125" s="39"/>
      <c r="HS125" s="39"/>
      <c r="HT125" s="39"/>
      <c r="HU125" s="39"/>
      <c r="HV125" s="39"/>
      <c r="HW125" s="40"/>
    </row>
    <row r="126" spans="2:231" x14ac:dyDescent="0.25">
      <c r="B126" s="939"/>
      <c r="C126" s="39"/>
      <c r="D126" s="939"/>
      <c r="E126" s="39"/>
      <c r="F126" s="905" t="s">
        <v>0</v>
      </c>
      <c r="G126" s="905"/>
      <c r="H126" s="905"/>
      <c r="I126" s="905" t="s">
        <v>1</v>
      </c>
      <c r="J126" s="905"/>
      <c r="K126" s="905"/>
      <c r="L126" s="905"/>
      <c r="M126" s="905"/>
      <c r="N126" s="39"/>
      <c r="O126" s="905" t="s">
        <v>0</v>
      </c>
      <c r="P126" s="905"/>
      <c r="Q126" s="905"/>
      <c r="R126" s="905" t="s">
        <v>1</v>
      </c>
      <c r="S126" s="905"/>
      <c r="T126" s="905"/>
      <c r="U126" s="905"/>
      <c r="V126" s="905"/>
      <c r="W126" s="39"/>
      <c r="X126" s="905" t="s">
        <v>0</v>
      </c>
      <c r="Y126" s="905"/>
      <c r="Z126" s="905"/>
      <c r="AA126" s="905" t="s">
        <v>1</v>
      </c>
      <c r="AB126" s="905"/>
      <c r="AC126" s="905"/>
      <c r="AD126" s="905"/>
      <c r="AE126" s="905"/>
      <c r="AF126" s="39"/>
      <c r="AG126" s="905" t="s">
        <v>0</v>
      </c>
      <c r="AH126" s="905"/>
      <c r="AI126" s="905"/>
      <c r="AJ126" s="905" t="s">
        <v>1</v>
      </c>
      <c r="AK126" s="905"/>
      <c r="AL126" s="905"/>
      <c r="AM126" s="905"/>
      <c r="AN126" s="905"/>
      <c r="AO126" s="39"/>
      <c r="AP126" s="905" t="s">
        <v>0</v>
      </c>
      <c r="AQ126" s="905"/>
      <c r="AR126" s="905"/>
      <c r="AS126" s="905" t="s">
        <v>1</v>
      </c>
      <c r="AT126" s="905"/>
      <c r="AU126" s="905"/>
      <c r="AV126" s="905"/>
      <c r="AW126" s="905"/>
      <c r="AX126" s="39"/>
      <c r="AY126" s="905" t="s">
        <v>0</v>
      </c>
      <c r="AZ126" s="905"/>
      <c r="BA126" s="905"/>
      <c r="BB126" s="905" t="s">
        <v>1</v>
      </c>
      <c r="BC126" s="905"/>
      <c r="BD126" s="905"/>
      <c r="BE126" s="905"/>
      <c r="BF126" s="905"/>
      <c r="BG126" s="39"/>
      <c r="BH126" s="905" t="s">
        <v>0</v>
      </c>
      <c r="BI126" s="905"/>
      <c r="BJ126" s="905"/>
      <c r="BK126" s="905" t="s">
        <v>1</v>
      </c>
      <c r="BL126" s="905"/>
      <c r="BM126" s="905"/>
      <c r="BN126" s="905"/>
      <c r="BO126" s="905"/>
      <c r="BP126" s="39"/>
      <c r="BQ126" s="905" t="s">
        <v>0</v>
      </c>
      <c r="BR126" s="905"/>
      <c r="BS126" s="905"/>
      <c r="BT126" s="905" t="s">
        <v>1</v>
      </c>
      <c r="BU126" s="905"/>
      <c r="BV126" s="905"/>
      <c r="BW126" s="905"/>
      <c r="BX126" s="905"/>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9"/>
      <c r="GO126" s="39"/>
      <c r="GP126" s="39"/>
      <c r="GQ126" s="39"/>
      <c r="GR126" s="39"/>
      <c r="GS126" s="39"/>
      <c r="GT126" s="39"/>
      <c r="GU126" s="39"/>
      <c r="GV126" s="39"/>
      <c r="GW126" s="39"/>
      <c r="GX126" s="39"/>
      <c r="GY126" s="39"/>
      <c r="GZ126" s="39"/>
      <c r="HA126" s="39"/>
      <c r="HB126" s="39"/>
      <c r="HC126" s="39"/>
      <c r="HD126" s="39"/>
      <c r="HE126" s="39"/>
      <c r="HF126" s="39"/>
      <c r="HG126" s="39"/>
      <c r="HH126" s="39"/>
      <c r="HI126" s="39"/>
      <c r="HJ126" s="39"/>
      <c r="HK126" s="39"/>
      <c r="HL126" s="39"/>
      <c r="HM126" s="39"/>
      <c r="HN126" s="39"/>
      <c r="HO126" s="39"/>
      <c r="HP126" s="39"/>
      <c r="HQ126" s="39"/>
      <c r="HR126" s="39"/>
      <c r="HS126" s="39"/>
      <c r="HT126" s="39"/>
      <c r="HU126" s="39"/>
      <c r="HV126" s="39"/>
      <c r="HW126" s="40"/>
    </row>
    <row r="127" spans="2:231" ht="15.75" customHeight="1" x14ac:dyDescent="0.25">
      <c r="B127" s="939"/>
      <c r="C127" s="39"/>
      <c r="D127" s="939"/>
      <c r="E127" s="39"/>
      <c r="F127" s="902" t="s">
        <v>3</v>
      </c>
      <c r="G127" s="902"/>
      <c r="H127" s="902"/>
      <c r="I127" s="903" t="s">
        <v>147</v>
      </c>
      <c r="J127" s="903"/>
      <c r="K127" s="903"/>
      <c r="L127" s="903"/>
      <c r="M127" s="903"/>
      <c r="N127" s="39"/>
      <c r="O127" s="902" t="s">
        <v>3</v>
      </c>
      <c r="P127" s="902"/>
      <c r="Q127" s="902"/>
      <c r="R127" s="903" t="s">
        <v>148</v>
      </c>
      <c r="S127" s="903"/>
      <c r="T127" s="903"/>
      <c r="U127" s="903"/>
      <c r="V127" s="903"/>
      <c r="W127" s="39"/>
      <c r="X127" s="902" t="s">
        <v>3</v>
      </c>
      <c r="Y127" s="902"/>
      <c r="Z127" s="902"/>
      <c r="AA127" s="904" t="s">
        <v>149</v>
      </c>
      <c r="AB127" s="903"/>
      <c r="AC127" s="903"/>
      <c r="AD127" s="903"/>
      <c r="AE127" s="903"/>
      <c r="AF127" s="39"/>
      <c r="AG127" s="902" t="s">
        <v>3</v>
      </c>
      <c r="AH127" s="902"/>
      <c r="AI127" s="902"/>
      <c r="AJ127" s="903" t="s">
        <v>150</v>
      </c>
      <c r="AK127" s="903"/>
      <c r="AL127" s="903"/>
      <c r="AM127" s="903"/>
      <c r="AN127" s="903"/>
      <c r="AO127" s="39"/>
      <c r="AP127" s="902" t="s">
        <v>3</v>
      </c>
      <c r="AQ127" s="902"/>
      <c r="AR127" s="902"/>
      <c r="AS127" s="903" t="s">
        <v>151</v>
      </c>
      <c r="AT127" s="903"/>
      <c r="AU127" s="903"/>
      <c r="AV127" s="903"/>
      <c r="AW127" s="903"/>
      <c r="AX127" s="39"/>
      <c r="AY127" s="902" t="s">
        <v>3</v>
      </c>
      <c r="AZ127" s="902"/>
      <c r="BA127" s="902"/>
      <c r="BB127" s="903" t="s">
        <v>152</v>
      </c>
      <c r="BC127" s="903"/>
      <c r="BD127" s="903"/>
      <c r="BE127" s="903"/>
      <c r="BF127" s="903"/>
      <c r="BG127" s="39"/>
      <c r="BH127" s="902" t="s">
        <v>3</v>
      </c>
      <c r="BI127" s="902"/>
      <c r="BJ127" s="902"/>
      <c r="BK127" s="903" t="s">
        <v>153</v>
      </c>
      <c r="BL127" s="903"/>
      <c r="BM127" s="903"/>
      <c r="BN127" s="903"/>
      <c r="BO127" s="903"/>
      <c r="BP127" s="39"/>
      <c r="BQ127" s="902" t="s">
        <v>3</v>
      </c>
      <c r="BR127" s="902"/>
      <c r="BS127" s="902"/>
      <c r="BT127" s="903" t="s">
        <v>154</v>
      </c>
      <c r="BU127" s="903"/>
      <c r="BV127" s="903"/>
      <c r="BW127" s="903"/>
      <c r="BX127" s="903"/>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9"/>
      <c r="GO127" s="39"/>
      <c r="GP127" s="39"/>
      <c r="GQ127" s="39"/>
      <c r="GR127" s="39"/>
      <c r="GS127" s="39"/>
      <c r="GT127" s="39"/>
      <c r="GU127" s="39"/>
      <c r="GV127" s="39"/>
      <c r="GW127" s="39"/>
      <c r="GX127" s="39"/>
      <c r="GY127" s="39"/>
      <c r="GZ127" s="39"/>
      <c r="HA127" s="39"/>
      <c r="HB127" s="39"/>
      <c r="HC127" s="39"/>
      <c r="HD127" s="39"/>
      <c r="HE127" s="39"/>
      <c r="HF127" s="39"/>
      <c r="HG127" s="39"/>
      <c r="HH127" s="39"/>
      <c r="HI127" s="39"/>
      <c r="HJ127" s="39"/>
      <c r="HK127" s="39"/>
      <c r="HL127" s="39"/>
      <c r="HM127" s="39"/>
      <c r="HN127" s="39"/>
      <c r="HO127" s="39"/>
      <c r="HP127" s="39"/>
      <c r="HQ127" s="39"/>
      <c r="HR127" s="39"/>
      <c r="HS127" s="39"/>
      <c r="HT127" s="39"/>
      <c r="HU127" s="39"/>
      <c r="HV127" s="39"/>
      <c r="HW127" s="40"/>
    </row>
    <row r="128" spans="2:231" x14ac:dyDescent="0.25">
      <c r="B128" s="939"/>
      <c r="C128" s="39"/>
      <c r="D128" s="939"/>
      <c r="E128" s="39"/>
      <c r="F128" s="902"/>
      <c r="G128" s="902"/>
      <c r="H128" s="902"/>
      <c r="I128" s="903"/>
      <c r="J128" s="903"/>
      <c r="K128" s="903"/>
      <c r="L128" s="903"/>
      <c r="M128" s="903"/>
      <c r="N128" s="39"/>
      <c r="O128" s="902"/>
      <c r="P128" s="902"/>
      <c r="Q128" s="902"/>
      <c r="R128" s="903"/>
      <c r="S128" s="903"/>
      <c r="T128" s="903"/>
      <c r="U128" s="903"/>
      <c r="V128" s="903"/>
      <c r="W128" s="39"/>
      <c r="X128" s="902"/>
      <c r="Y128" s="902"/>
      <c r="Z128" s="902"/>
      <c r="AA128" s="903"/>
      <c r="AB128" s="903"/>
      <c r="AC128" s="903"/>
      <c r="AD128" s="903"/>
      <c r="AE128" s="903"/>
      <c r="AF128" s="39"/>
      <c r="AG128" s="902"/>
      <c r="AH128" s="902"/>
      <c r="AI128" s="902"/>
      <c r="AJ128" s="903"/>
      <c r="AK128" s="903"/>
      <c r="AL128" s="903"/>
      <c r="AM128" s="903"/>
      <c r="AN128" s="903"/>
      <c r="AO128" s="39"/>
      <c r="AP128" s="902"/>
      <c r="AQ128" s="902"/>
      <c r="AR128" s="902"/>
      <c r="AS128" s="903"/>
      <c r="AT128" s="903"/>
      <c r="AU128" s="903"/>
      <c r="AV128" s="903"/>
      <c r="AW128" s="903"/>
      <c r="AX128" s="39"/>
      <c r="AY128" s="902"/>
      <c r="AZ128" s="902"/>
      <c r="BA128" s="902"/>
      <c r="BB128" s="903"/>
      <c r="BC128" s="903"/>
      <c r="BD128" s="903"/>
      <c r="BE128" s="903"/>
      <c r="BF128" s="903"/>
      <c r="BG128" s="39"/>
      <c r="BH128" s="902"/>
      <c r="BI128" s="902"/>
      <c r="BJ128" s="902"/>
      <c r="BK128" s="903"/>
      <c r="BL128" s="903"/>
      <c r="BM128" s="903"/>
      <c r="BN128" s="903"/>
      <c r="BO128" s="903"/>
      <c r="BP128" s="39"/>
      <c r="BQ128" s="902"/>
      <c r="BR128" s="902"/>
      <c r="BS128" s="902"/>
      <c r="BT128" s="903"/>
      <c r="BU128" s="903"/>
      <c r="BV128" s="903"/>
      <c r="BW128" s="903"/>
      <c r="BX128" s="903"/>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9"/>
      <c r="GO128" s="39"/>
      <c r="GP128" s="39"/>
      <c r="GQ128" s="39"/>
      <c r="GR128" s="39"/>
      <c r="GS128" s="39"/>
      <c r="GT128" s="39"/>
      <c r="GU128" s="39"/>
      <c r="GV128" s="39"/>
      <c r="GW128" s="39"/>
      <c r="GX128" s="39"/>
      <c r="GY128" s="39"/>
      <c r="GZ128" s="39"/>
      <c r="HA128" s="39"/>
      <c r="HB128" s="39"/>
      <c r="HC128" s="39"/>
      <c r="HD128" s="39"/>
      <c r="HE128" s="39"/>
      <c r="HF128" s="39"/>
      <c r="HG128" s="39"/>
      <c r="HH128" s="39"/>
      <c r="HI128" s="39"/>
      <c r="HJ128" s="39"/>
      <c r="HK128" s="39"/>
      <c r="HL128" s="39"/>
      <c r="HM128" s="39"/>
      <c r="HN128" s="39"/>
      <c r="HO128" s="39"/>
      <c r="HP128" s="39"/>
      <c r="HQ128" s="39"/>
      <c r="HR128" s="39"/>
      <c r="HS128" s="39"/>
      <c r="HT128" s="39"/>
      <c r="HU128" s="39"/>
      <c r="HV128" s="39"/>
      <c r="HW128" s="40"/>
    </row>
    <row r="129" spans="2:231" x14ac:dyDescent="0.25">
      <c r="B129" s="939"/>
      <c r="C129" s="39"/>
      <c r="D129" s="939"/>
      <c r="E129" s="39"/>
      <c r="F129" s="902"/>
      <c r="G129" s="902"/>
      <c r="H129" s="902"/>
      <c r="I129" s="903"/>
      <c r="J129" s="903"/>
      <c r="K129" s="903"/>
      <c r="L129" s="903"/>
      <c r="M129" s="903"/>
      <c r="N129" s="39"/>
      <c r="O129" s="902"/>
      <c r="P129" s="902"/>
      <c r="Q129" s="902"/>
      <c r="R129" s="903"/>
      <c r="S129" s="903"/>
      <c r="T129" s="903"/>
      <c r="U129" s="903"/>
      <c r="V129" s="903"/>
      <c r="W129" s="39"/>
      <c r="X129" s="902"/>
      <c r="Y129" s="902"/>
      <c r="Z129" s="902"/>
      <c r="AA129" s="903"/>
      <c r="AB129" s="903"/>
      <c r="AC129" s="903"/>
      <c r="AD129" s="903"/>
      <c r="AE129" s="903"/>
      <c r="AF129" s="39"/>
      <c r="AG129" s="902"/>
      <c r="AH129" s="902"/>
      <c r="AI129" s="902"/>
      <c r="AJ129" s="903"/>
      <c r="AK129" s="903"/>
      <c r="AL129" s="903"/>
      <c r="AM129" s="903"/>
      <c r="AN129" s="903"/>
      <c r="AO129" s="39"/>
      <c r="AP129" s="902"/>
      <c r="AQ129" s="902"/>
      <c r="AR129" s="902"/>
      <c r="AS129" s="903"/>
      <c r="AT129" s="903"/>
      <c r="AU129" s="903"/>
      <c r="AV129" s="903"/>
      <c r="AW129" s="903"/>
      <c r="AX129" s="39"/>
      <c r="AY129" s="902"/>
      <c r="AZ129" s="902"/>
      <c r="BA129" s="902"/>
      <c r="BB129" s="903"/>
      <c r="BC129" s="903"/>
      <c r="BD129" s="903"/>
      <c r="BE129" s="903"/>
      <c r="BF129" s="903"/>
      <c r="BG129" s="39"/>
      <c r="BH129" s="902"/>
      <c r="BI129" s="902"/>
      <c r="BJ129" s="902"/>
      <c r="BK129" s="903"/>
      <c r="BL129" s="903"/>
      <c r="BM129" s="903"/>
      <c r="BN129" s="903"/>
      <c r="BO129" s="903"/>
      <c r="BP129" s="39"/>
      <c r="BQ129" s="902"/>
      <c r="BR129" s="902"/>
      <c r="BS129" s="902"/>
      <c r="BT129" s="903"/>
      <c r="BU129" s="903"/>
      <c r="BV129" s="903"/>
      <c r="BW129" s="903"/>
      <c r="BX129" s="903"/>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9"/>
      <c r="GO129" s="39"/>
      <c r="GP129" s="39"/>
      <c r="GQ129" s="39"/>
      <c r="GR129" s="39"/>
      <c r="GS129" s="39"/>
      <c r="GT129" s="39"/>
      <c r="GU129" s="39"/>
      <c r="GV129" s="39"/>
      <c r="GW129" s="39"/>
      <c r="GX129" s="39"/>
      <c r="GY129" s="39"/>
      <c r="GZ129" s="39"/>
      <c r="HA129" s="39"/>
      <c r="HB129" s="39"/>
      <c r="HC129" s="39"/>
      <c r="HD129" s="39"/>
      <c r="HE129" s="39"/>
      <c r="HF129" s="39"/>
      <c r="HG129" s="39"/>
      <c r="HH129" s="39"/>
      <c r="HI129" s="39"/>
      <c r="HJ129" s="39"/>
      <c r="HK129" s="39"/>
      <c r="HL129" s="39"/>
      <c r="HM129" s="39"/>
      <c r="HN129" s="39"/>
      <c r="HO129" s="39"/>
      <c r="HP129" s="39"/>
      <c r="HQ129" s="39"/>
      <c r="HR129" s="39"/>
      <c r="HS129" s="39"/>
      <c r="HT129" s="39"/>
      <c r="HU129" s="39"/>
      <c r="HV129" s="39"/>
      <c r="HW129" s="40"/>
    </row>
    <row r="130" spans="2:231" x14ac:dyDescent="0.25">
      <c r="B130" s="939"/>
      <c r="C130" s="39"/>
      <c r="D130" s="939"/>
      <c r="E130" s="39"/>
      <c r="F130" s="902" t="s">
        <v>4</v>
      </c>
      <c r="G130" s="902"/>
      <c r="H130" s="902"/>
      <c r="I130" s="903" t="s">
        <v>15</v>
      </c>
      <c r="J130" s="903"/>
      <c r="K130" s="903"/>
      <c r="L130" s="903"/>
      <c r="M130" s="903"/>
      <c r="N130" s="39"/>
      <c r="O130" s="902" t="s">
        <v>4</v>
      </c>
      <c r="P130" s="902"/>
      <c r="Q130" s="902"/>
      <c r="R130" s="903" t="s">
        <v>15</v>
      </c>
      <c r="S130" s="903"/>
      <c r="T130" s="903"/>
      <c r="U130" s="903"/>
      <c r="V130" s="903"/>
      <c r="W130" s="39"/>
      <c r="X130" s="902" t="s">
        <v>4</v>
      </c>
      <c r="Y130" s="902"/>
      <c r="Z130" s="902"/>
      <c r="AA130" s="903" t="s">
        <v>15</v>
      </c>
      <c r="AB130" s="903"/>
      <c r="AC130" s="903"/>
      <c r="AD130" s="903"/>
      <c r="AE130" s="903"/>
      <c r="AF130" s="39"/>
      <c r="AG130" s="902" t="s">
        <v>4</v>
      </c>
      <c r="AH130" s="902"/>
      <c r="AI130" s="902"/>
      <c r="AJ130" s="903" t="s">
        <v>15</v>
      </c>
      <c r="AK130" s="903"/>
      <c r="AL130" s="903"/>
      <c r="AM130" s="903"/>
      <c r="AN130" s="903"/>
      <c r="AO130" s="39"/>
      <c r="AP130" s="902" t="s">
        <v>4</v>
      </c>
      <c r="AQ130" s="902"/>
      <c r="AR130" s="902"/>
      <c r="AS130" s="903" t="s">
        <v>15</v>
      </c>
      <c r="AT130" s="903"/>
      <c r="AU130" s="903"/>
      <c r="AV130" s="903"/>
      <c r="AW130" s="903"/>
      <c r="AX130" s="39"/>
      <c r="AY130" s="902" t="s">
        <v>4</v>
      </c>
      <c r="AZ130" s="902"/>
      <c r="BA130" s="902"/>
      <c r="BB130" s="903" t="s">
        <v>15</v>
      </c>
      <c r="BC130" s="903"/>
      <c r="BD130" s="903"/>
      <c r="BE130" s="903"/>
      <c r="BF130" s="903"/>
      <c r="BG130" s="39"/>
      <c r="BH130" s="902" t="s">
        <v>4</v>
      </c>
      <c r="BI130" s="902"/>
      <c r="BJ130" s="902"/>
      <c r="BK130" s="903" t="s">
        <v>15</v>
      </c>
      <c r="BL130" s="903"/>
      <c r="BM130" s="903"/>
      <c r="BN130" s="903"/>
      <c r="BO130" s="903"/>
      <c r="BP130" s="39"/>
      <c r="BQ130" s="902" t="s">
        <v>4</v>
      </c>
      <c r="BR130" s="902"/>
      <c r="BS130" s="902"/>
      <c r="BT130" s="903" t="s">
        <v>15</v>
      </c>
      <c r="BU130" s="903"/>
      <c r="BV130" s="903"/>
      <c r="BW130" s="903"/>
      <c r="BX130" s="903"/>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9"/>
      <c r="GO130" s="39"/>
      <c r="GP130" s="39"/>
      <c r="GQ130" s="39"/>
      <c r="GR130" s="39"/>
      <c r="GS130" s="39"/>
      <c r="GT130" s="39"/>
      <c r="GU130" s="39"/>
      <c r="GV130" s="39"/>
      <c r="GW130" s="39"/>
      <c r="GX130" s="39"/>
      <c r="GY130" s="39"/>
      <c r="GZ130" s="39"/>
      <c r="HA130" s="39"/>
      <c r="HB130" s="39"/>
      <c r="HC130" s="39"/>
      <c r="HD130" s="39"/>
      <c r="HE130" s="39"/>
      <c r="HF130" s="39"/>
      <c r="HG130" s="39"/>
      <c r="HH130" s="39"/>
      <c r="HI130" s="39"/>
      <c r="HJ130" s="39"/>
      <c r="HK130" s="39"/>
      <c r="HL130" s="39"/>
      <c r="HM130" s="39"/>
      <c r="HN130" s="39"/>
      <c r="HO130" s="39"/>
      <c r="HP130" s="39"/>
      <c r="HQ130" s="39"/>
      <c r="HR130" s="39"/>
      <c r="HS130" s="39"/>
      <c r="HT130" s="39"/>
      <c r="HU130" s="39"/>
      <c r="HV130" s="39"/>
      <c r="HW130" s="40"/>
    </row>
    <row r="131" spans="2:231" x14ac:dyDescent="0.25">
      <c r="B131" s="939"/>
      <c r="C131" s="39"/>
      <c r="D131" s="939"/>
      <c r="E131" s="39"/>
      <c r="F131" s="902"/>
      <c r="G131" s="902"/>
      <c r="H131" s="902"/>
      <c r="I131" s="903"/>
      <c r="J131" s="903"/>
      <c r="K131" s="903"/>
      <c r="L131" s="903"/>
      <c r="M131" s="903"/>
      <c r="N131" s="39"/>
      <c r="O131" s="902"/>
      <c r="P131" s="902"/>
      <c r="Q131" s="902"/>
      <c r="R131" s="903"/>
      <c r="S131" s="903"/>
      <c r="T131" s="903"/>
      <c r="U131" s="903"/>
      <c r="V131" s="903"/>
      <c r="W131" s="39"/>
      <c r="X131" s="902"/>
      <c r="Y131" s="902"/>
      <c r="Z131" s="902"/>
      <c r="AA131" s="903"/>
      <c r="AB131" s="903"/>
      <c r="AC131" s="903"/>
      <c r="AD131" s="903"/>
      <c r="AE131" s="903"/>
      <c r="AF131" s="39"/>
      <c r="AG131" s="902"/>
      <c r="AH131" s="902"/>
      <c r="AI131" s="902"/>
      <c r="AJ131" s="903"/>
      <c r="AK131" s="903"/>
      <c r="AL131" s="903"/>
      <c r="AM131" s="903"/>
      <c r="AN131" s="903"/>
      <c r="AO131" s="39"/>
      <c r="AP131" s="902"/>
      <c r="AQ131" s="902"/>
      <c r="AR131" s="902"/>
      <c r="AS131" s="903"/>
      <c r="AT131" s="903"/>
      <c r="AU131" s="903"/>
      <c r="AV131" s="903"/>
      <c r="AW131" s="903"/>
      <c r="AX131" s="39"/>
      <c r="AY131" s="902"/>
      <c r="AZ131" s="902"/>
      <c r="BA131" s="902"/>
      <c r="BB131" s="903"/>
      <c r="BC131" s="903"/>
      <c r="BD131" s="903"/>
      <c r="BE131" s="903"/>
      <c r="BF131" s="903"/>
      <c r="BG131" s="39"/>
      <c r="BH131" s="902"/>
      <c r="BI131" s="902"/>
      <c r="BJ131" s="902"/>
      <c r="BK131" s="903"/>
      <c r="BL131" s="903"/>
      <c r="BM131" s="903"/>
      <c r="BN131" s="903"/>
      <c r="BO131" s="903"/>
      <c r="BP131" s="39"/>
      <c r="BQ131" s="902"/>
      <c r="BR131" s="902"/>
      <c r="BS131" s="902"/>
      <c r="BT131" s="903"/>
      <c r="BU131" s="903"/>
      <c r="BV131" s="903"/>
      <c r="BW131" s="903"/>
      <c r="BX131" s="903"/>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39"/>
      <c r="GQ131" s="39"/>
      <c r="GR131" s="39"/>
      <c r="GS131" s="39"/>
      <c r="GT131" s="39"/>
      <c r="GU131" s="39"/>
      <c r="GV131" s="39"/>
      <c r="GW131" s="39"/>
      <c r="GX131" s="39"/>
      <c r="GY131" s="39"/>
      <c r="GZ131" s="39"/>
      <c r="HA131" s="39"/>
      <c r="HB131" s="39"/>
      <c r="HC131" s="39"/>
      <c r="HD131" s="39"/>
      <c r="HE131" s="39"/>
      <c r="HF131" s="39"/>
      <c r="HG131" s="39"/>
      <c r="HH131" s="39"/>
      <c r="HI131" s="39"/>
      <c r="HJ131" s="39"/>
      <c r="HK131" s="39"/>
      <c r="HL131" s="39"/>
      <c r="HM131" s="39"/>
      <c r="HN131" s="39"/>
      <c r="HO131" s="39"/>
      <c r="HP131" s="39"/>
      <c r="HQ131" s="39"/>
      <c r="HR131" s="39"/>
      <c r="HS131" s="39"/>
      <c r="HT131" s="39"/>
      <c r="HU131" s="39"/>
      <c r="HV131" s="39"/>
      <c r="HW131" s="40"/>
    </row>
    <row r="132" spans="2:231" x14ac:dyDescent="0.25">
      <c r="B132" s="939"/>
      <c r="C132" s="39"/>
      <c r="D132" s="939"/>
      <c r="E132" s="39"/>
      <c r="F132" s="902"/>
      <c r="G132" s="902"/>
      <c r="H132" s="902"/>
      <c r="I132" s="903"/>
      <c r="J132" s="903"/>
      <c r="K132" s="903"/>
      <c r="L132" s="903"/>
      <c r="M132" s="903"/>
      <c r="N132" s="39"/>
      <c r="O132" s="902"/>
      <c r="P132" s="902"/>
      <c r="Q132" s="902"/>
      <c r="R132" s="903"/>
      <c r="S132" s="903"/>
      <c r="T132" s="903"/>
      <c r="U132" s="903"/>
      <c r="V132" s="903"/>
      <c r="W132" s="39"/>
      <c r="X132" s="902"/>
      <c r="Y132" s="902"/>
      <c r="Z132" s="902"/>
      <c r="AA132" s="903"/>
      <c r="AB132" s="903"/>
      <c r="AC132" s="903"/>
      <c r="AD132" s="903"/>
      <c r="AE132" s="903"/>
      <c r="AF132" s="39"/>
      <c r="AG132" s="902"/>
      <c r="AH132" s="902"/>
      <c r="AI132" s="902"/>
      <c r="AJ132" s="903"/>
      <c r="AK132" s="903"/>
      <c r="AL132" s="903"/>
      <c r="AM132" s="903"/>
      <c r="AN132" s="903"/>
      <c r="AO132" s="39"/>
      <c r="AP132" s="902"/>
      <c r="AQ132" s="902"/>
      <c r="AR132" s="902"/>
      <c r="AS132" s="903"/>
      <c r="AT132" s="903"/>
      <c r="AU132" s="903"/>
      <c r="AV132" s="903"/>
      <c r="AW132" s="903"/>
      <c r="AX132" s="39"/>
      <c r="AY132" s="902"/>
      <c r="AZ132" s="902"/>
      <c r="BA132" s="902"/>
      <c r="BB132" s="903"/>
      <c r="BC132" s="903"/>
      <c r="BD132" s="903"/>
      <c r="BE132" s="903"/>
      <c r="BF132" s="903"/>
      <c r="BG132" s="39"/>
      <c r="BH132" s="902"/>
      <c r="BI132" s="902"/>
      <c r="BJ132" s="902"/>
      <c r="BK132" s="903"/>
      <c r="BL132" s="903"/>
      <c r="BM132" s="903"/>
      <c r="BN132" s="903"/>
      <c r="BO132" s="903"/>
      <c r="BP132" s="39"/>
      <c r="BQ132" s="902"/>
      <c r="BR132" s="902"/>
      <c r="BS132" s="902"/>
      <c r="BT132" s="903"/>
      <c r="BU132" s="903"/>
      <c r="BV132" s="903"/>
      <c r="BW132" s="903"/>
      <c r="BX132" s="903"/>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9"/>
      <c r="GO132" s="39"/>
      <c r="GP132" s="39"/>
      <c r="GQ132" s="39"/>
      <c r="GR132" s="39"/>
      <c r="GS132" s="39"/>
      <c r="GT132" s="39"/>
      <c r="GU132" s="39"/>
      <c r="GV132" s="39"/>
      <c r="GW132" s="39"/>
      <c r="GX132" s="39"/>
      <c r="GY132" s="39"/>
      <c r="GZ132" s="39"/>
      <c r="HA132" s="39"/>
      <c r="HB132" s="39"/>
      <c r="HC132" s="39"/>
      <c r="HD132" s="39"/>
      <c r="HE132" s="39"/>
      <c r="HF132" s="39"/>
      <c r="HG132" s="39"/>
      <c r="HH132" s="39"/>
      <c r="HI132" s="39"/>
      <c r="HJ132" s="39"/>
      <c r="HK132" s="39"/>
      <c r="HL132" s="39"/>
      <c r="HM132" s="39"/>
      <c r="HN132" s="39"/>
      <c r="HO132" s="39"/>
      <c r="HP132" s="39"/>
      <c r="HQ132" s="39"/>
      <c r="HR132" s="39"/>
      <c r="HS132" s="39"/>
      <c r="HT132" s="39"/>
      <c r="HU132" s="39"/>
      <c r="HV132" s="39"/>
      <c r="HW132" s="40"/>
    </row>
    <row r="133" spans="2:231" x14ac:dyDescent="0.25">
      <c r="B133" s="939"/>
      <c r="C133" s="39"/>
      <c r="D133" s="939"/>
      <c r="E133" s="39"/>
      <c r="F133" s="902" t="s">
        <v>5</v>
      </c>
      <c r="G133" s="902"/>
      <c r="H133" s="902"/>
      <c r="I133" s="903" t="s">
        <v>615</v>
      </c>
      <c r="J133" s="903"/>
      <c r="K133" s="903"/>
      <c r="L133" s="903"/>
      <c r="M133" s="903"/>
      <c r="N133" s="39"/>
      <c r="O133" s="902" t="s">
        <v>5</v>
      </c>
      <c r="P133" s="902"/>
      <c r="Q133" s="902"/>
      <c r="R133" s="903" t="s">
        <v>155</v>
      </c>
      <c r="S133" s="903"/>
      <c r="T133" s="903"/>
      <c r="U133" s="903"/>
      <c r="V133" s="903"/>
      <c r="W133" s="39"/>
      <c r="X133" s="902" t="s">
        <v>5</v>
      </c>
      <c r="Y133" s="902"/>
      <c r="Z133" s="902"/>
      <c r="AA133" s="903" t="s">
        <v>156</v>
      </c>
      <c r="AB133" s="903"/>
      <c r="AC133" s="903"/>
      <c r="AD133" s="903"/>
      <c r="AE133" s="903"/>
      <c r="AF133" s="39"/>
      <c r="AG133" s="902" t="s">
        <v>5</v>
      </c>
      <c r="AH133" s="902"/>
      <c r="AI133" s="902"/>
      <c r="AJ133" s="903" t="s">
        <v>157</v>
      </c>
      <c r="AK133" s="903"/>
      <c r="AL133" s="903"/>
      <c r="AM133" s="903"/>
      <c r="AN133" s="903"/>
      <c r="AO133" s="39"/>
      <c r="AP133" s="902" t="s">
        <v>5</v>
      </c>
      <c r="AQ133" s="902"/>
      <c r="AR133" s="902"/>
      <c r="AS133" s="903" t="s">
        <v>158</v>
      </c>
      <c r="AT133" s="903"/>
      <c r="AU133" s="903"/>
      <c r="AV133" s="903"/>
      <c r="AW133" s="903"/>
      <c r="AX133" s="39"/>
      <c r="AY133" s="902" t="s">
        <v>5</v>
      </c>
      <c r="AZ133" s="902"/>
      <c r="BA133" s="902"/>
      <c r="BB133" s="903" t="s">
        <v>159</v>
      </c>
      <c r="BC133" s="903"/>
      <c r="BD133" s="903"/>
      <c r="BE133" s="903"/>
      <c r="BF133" s="903"/>
      <c r="BG133" s="39"/>
      <c r="BH133" s="902" t="s">
        <v>5</v>
      </c>
      <c r="BI133" s="902"/>
      <c r="BJ133" s="902"/>
      <c r="BK133" s="903" t="s">
        <v>160</v>
      </c>
      <c r="BL133" s="903"/>
      <c r="BM133" s="903"/>
      <c r="BN133" s="903"/>
      <c r="BO133" s="903"/>
      <c r="BP133" s="39"/>
      <c r="BQ133" s="902" t="s">
        <v>5</v>
      </c>
      <c r="BR133" s="902"/>
      <c r="BS133" s="902"/>
      <c r="BT133" s="903" t="s">
        <v>161</v>
      </c>
      <c r="BU133" s="903"/>
      <c r="BV133" s="903"/>
      <c r="BW133" s="903"/>
      <c r="BX133" s="903"/>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9"/>
      <c r="GO133" s="39"/>
      <c r="GP133" s="39"/>
      <c r="GQ133" s="39"/>
      <c r="GR133" s="39"/>
      <c r="GS133" s="39"/>
      <c r="GT133" s="39"/>
      <c r="GU133" s="39"/>
      <c r="GV133" s="39"/>
      <c r="GW133" s="39"/>
      <c r="GX133" s="39"/>
      <c r="GY133" s="39"/>
      <c r="GZ133" s="39"/>
      <c r="HA133" s="39"/>
      <c r="HB133" s="39"/>
      <c r="HC133" s="39"/>
      <c r="HD133" s="39"/>
      <c r="HE133" s="39"/>
      <c r="HF133" s="39"/>
      <c r="HG133" s="39"/>
      <c r="HH133" s="39"/>
      <c r="HI133" s="39"/>
      <c r="HJ133" s="39"/>
      <c r="HK133" s="39"/>
      <c r="HL133" s="39"/>
      <c r="HM133" s="39"/>
      <c r="HN133" s="39"/>
      <c r="HO133" s="39"/>
      <c r="HP133" s="39"/>
      <c r="HQ133" s="39"/>
      <c r="HR133" s="39"/>
      <c r="HS133" s="39"/>
      <c r="HT133" s="39"/>
      <c r="HU133" s="39"/>
      <c r="HV133" s="39"/>
      <c r="HW133" s="40"/>
    </row>
    <row r="134" spans="2:231" x14ac:dyDescent="0.25">
      <c r="B134" s="939"/>
      <c r="C134" s="39"/>
      <c r="D134" s="939"/>
      <c r="E134" s="39"/>
      <c r="F134" s="902"/>
      <c r="G134" s="902"/>
      <c r="H134" s="902"/>
      <c r="I134" s="903"/>
      <c r="J134" s="903"/>
      <c r="K134" s="903"/>
      <c r="L134" s="903"/>
      <c r="M134" s="903"/>
      <c r="N134" s="39"/>
      <c r="O134" s="902"/>
      <c r="P134" s="902"/>
      <c r="Q134" s="902"/>
      <c r="R134" s="903"/>
      <c r="S134" s="903"/>
      <c r="T134" s="903"/>
      <c r="U134" s="903"/>
      <c r="V134" s="903"/>
      <c r="W134" s="39"/>
      <c r="X134" s="902"/>
      <c r="Y134" s="902"/>
      <c r="Z134" s="902"/>
      <c r="AA134" s="903"/>
      <c r="AB134" s="903"/>
      <c r="AC134" s="903"/>
      <c r="AD134" s="903"/>
      <c r="AE134" s="903"/>
      <c r="AF134" s="39"/>
      <c r="AG134" s="902"/>
      <c r="AH134" s="902"/>
      <c r="AI134" s="902"/>
      <c r="AJ134" s="903"/>
      <c r="AK134" s="903"/>
      <c r="AL134" s="903"/>
      <c r="AM134" s="903"/>
      <c r="AN134" s="903"/>
      <c r="AO134" s="39"/>
      <c r="AP134" s="902"/>
      <c r="AQ134" s="902"/>
      <c r="AR134" s="902"/>
      <c r="AS134" s="903"/>
      <c r="AT134" s="903"/>
      <c r="AU134" s="903"/>
      <c r="AV134" s="903"/>
      <c r="AW134" s="903"/>
      <c r="AX134" s="39"/>
      <c r="AY134" s="902"/>
      <c r="AZ134" s="902"/>
      <c r="BA134" s="902"/>
      <c r="BB134" s="903"/>
      <c r="BC134" s="903"/>
      <c r="BD134" s="903"/>
      <c r="BE134" s="903"/>
      <c r="BF134" s="903"/>
      <c r="BG134" s="39"/>
      <c r="BH134" s="902"/>
      <c r="BI134" s="902"/>
      <c r="BJ134" s="902"/>
      <c r="BK134" s="903"/>
      <c r="BL134" s="903"/>
      <c r="BM134" s="903"/>
      <c r="BN134" s="903"/>
      <c r="BO134" s="903"/>
      <c r="BP134" s="39"/>
      <c r="BQ134" s="902"/>
      <c r="BR134" s="902"/>
      <c r="BS134" s="902"/>
      <c r="BT134" s="903"/>
      <c r="BU134" s="903"/>
      <c r="BV134" s="903"/>
      <c r="BW134" s="903"/>
      <c r="BX134" s="903"/>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9"/>
      <c r="GO134" s="39"/>
      <c r="GP134" s="39"/>
      <c r="GQ134" s="39"/>
      <c r="GR134" s="39"/>
      <c r="GS134" s="39"/>
      <c r="GT134" s="39"/>
      <c r="GU134" s="39"/>
      <c r="GV134" s="39"/>
      <c r="GW134" s="39"/>
      <c r="GX134" s="39"/>
      <c r="GY134" s="39"/>
      <c r="GZ134" s="39"/>
      <c r="HA134" s="39"/>
      <c r="HB134" s="39"/>
      <c r="HC134" s="39"/>
      <c r="HD134" s="39"/>
      <c r="HE134" s="39"/>
      <c r="HF134" s="39"/>
      <c r="HG134" s="39"/>
      <c r="HH134" s="39"/>
      <c r="HI134" s="39"/>
      <c r="HJ134" s="39"/>
      <c r="HK134" s="39"/>
      <c r="HL134" s="39"/>
      <c r="HM134" s="39"/>
      <c r="HN134" s="39"/>
      <c r="HO134" s="39"/>
      <c r="HP134" s="39"/>
      <c r="HQ134" s="39"/>
      <c r="HR134" s="39"/>
      <c r="HS134" s="39"/>
      <c r="HT134" s="39"/>
      <c r="HU134" s="39"/>
      <c r="HV134" s="39"/>
      <c r="HW134" s="40"/>
    </row>
    <row r="135" spans="2:231" x14ac:dyDescent="0.25">
      <c r="B135" s="939"/>
      <c r="C135" s="39"/>
      <c r="D135" s="939"/>
      <c r="E135" s="39"/>
      <c r="F135" s="902"/>
      <c r="G135" s="902"/>
      <c r="H135" s="902"/>
      <c r="I135" s="903"/>
      <c r="J135" s="903"/>
      <c r="K135" s="903"/>
      <c r="L135" s="903"/>
      <c r="M135" s="903"/>
      <c r="N135" s="39"/>
      <c r="O135" s="902"/>
      <c r="P135" s="902"/>
      <c r="Q135" s="902"/>
      <c r="R135" s="903"/>
      <c r="S135" s="903"/>
      <c r="T135" s="903"/>
      <c r="U135" s="903"/>
      <c r="V135" s="903"/>
      <c r="W135" s="39"/>
      <c r="X135" s="902"/>
      <c r="Y135" s="902"/>
      <c r="Z135" s="902"/>
      <c r="AA135" s="903"/>
      <c r="AB135" s="903"/>
      <c r="AC135" s="903"/>
      <c r="AD135" s="903"/>
      <c r="AE135" s="903"/>
      <c r="AF135" s="39"/>
      <c r="AG135" s="902"/>
      <c r="AH135" s="902"/>
      <c r="AI135" s="902"/>
      <c r="AJ135" s="903"/>
      <c r="AK135" s="903"/>
      <c r="AL135" s="903"/>
      <c r="AM135" s="903"/>
      <c r="AN135" s="903"/>
      <c r="AO135" s="39"/>
      <c r="AP135" s="902"/>
      <c r="AQ135" s="902"/>
      <c r="AR135" s="902"/>
      <c r="AS135" s="903"/>
      <c r="AT135" s="903"/>
      <c r="AU135" s="903"/>
      <c r="AV135" s="903"/>
      <c r="AW135" s="903"/>
      <c r="AX135" s="39"/>
      <c r="AY135" s="902"/>
      <c r="AZ135" s="902"/>
      <c r="BA135" s="902"/>
      <c r="BB135" s="903"/>
      <c r="BC135" s="903"/>
      <c r="BD135" s="903"/>
      <c r="BE135" s="903"/>
      <c r="BF135" s="903"/>
      <c r="BG135" s="39"/>
      <c r="BH135" s="902"/>
      <c r="BI135" s="902"/>
      <c r="BJ135" s="902"/>
      <c r="BK135" s="903"/>
      <c r="BL135" s="903"/>
      <c r="BM135" s="903"/>
      <c r="BN135" s="903"/>
      <c r="BO135" s="903"/>
      <c r="BP135" s="39"/>
      <c r="BQ135" s="902"/>
      <c r="BR135" s="902"/>
      <c r="BS135" s="902"/>
      <c r="BT135" s="903"/>
      <c r="BU135" s="903"/>
      <c r="BV135" s="903"/>
      <c r="BW135" s="903"/>
      <c r="BX135" s="903"/>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9"/>
      <c r="GO135" s="39"/>
      <c r="GP135" s="39"/>
      <c r="GQ135" s="39"/>
      <c r="GR135" s="39"/>
      <c r="GS135" s="39"/>
      <c r="GT135" s="39"/>
      <c r="GU135" s="39"/>
      <c r="GV135" s="39"/>
      <c r="GW135" s="39"/>
      <c r="GX135" s="39"/>
      <c r="GY135" s="39"/>
      <c r="GZ135" s="39"/>
      <c r="HA135" s="39"/>
      <c r="HB135" s="39"/>
      <c r="HC135" s="39"/>
      <c r="HD135" s="39"/>
      <c r="HE135" s="39"/>
      <c r="HF135" s="39"/>
      <c r="HG135" s="39"/>
      <c r="HH135" s="39"/>
      <c r="HI135" s="39"/>
      <c r="HJ135" s="39"/>
      <c r="HK135" s="39"/>
      <c r="HL135" s="39"/>
      <c r="HM135" s="39"/>
      <c r="HN135" s="39"/>
      <c r="HO135" s="39"/>
      <c r="HP135" s="39"/>
      <c r="HQ135" s="39"/>
      <c r="HR135" s="39"/>
      <c r="HS135" s="39"/>
      <c r="HT135" s="39"/>
      <c r="HU135" s="39"/>
      <c r="HV135" s="39"/>
      <c r="HW135" s="40"/>
    </row>
    <row r="136" spans="2:231" x14ac:dyDescent="0.25">
      <c r="B136" s="939"/>
      <c r="C136" s="39"/>
      <c r="D136" s="939"/>
      <c r="E136" s="39"/>
      <c r="F136" s="902" t="s">
        <v>6</v>
      </c>
      <c r="G136" s="902"/>
      <c r="H136" s="902"/>
      <c r="I136" s="903" t="s">
        <v>9</v>
      </c>
      <c r="J136" s="903"/>
      <c r="K136" s="903"/>
      <c r="L136" s="903"/>
      <c r="M136" s="903"/>
      <c r="N136" s="39"/>
      <c r="O136" s="902" t="s">
        <v>6</v>
      </c>
      <c r="P136" s="902"/>
      <c r="Q136" s="902"/>
      <c r="R136" s="903" t="s">
        <v>9</v>
      </c>
      <c r="S136" s="903"/>
      <c r="T136" s="903"/>
      <c r="U136" s="903"/>
      <c r="V136" s="903"/>
      <c r="W136" s="39"/>
      <c r="X136" s="902" t="s">
        <v>6</v>
      </c>
      <c r="Y136" s="902"/>
      <c r="Z136" s="902"/>
      <c r="AA136" s="903" t="s">
        <v>9</v>
      </c>
      <c r="AB136" s="903"/>
      <c r="AC136" s="903"/>
      <c r="AD136" s="903"/>
      <c r="AE136" s="903"/>
      <c r="AF136" s="39"/>
      <c r="AG136" s="902" t="s">
        <v>6</v>
      </c>
      <c r="AH136" s="902"/>
      <c r="AI136" s="902"/>
      <c r="AJ136" s="903" t="s">
        <v>9</v>
      </c>
      <c r="AK136" s="903"/>
      <c r="AL136" s="903"/>
      <c r="AM136" s="903"/>
      <c r="AN136" s="903"/>
      <c r="AO136" s="39"/>
      <c r="AP136" s="902" t="s">
        <v>6</v>
      </c>
      <c r="AQ136" s="902"/>
      <c r="AR136" s="902"/>
      <c r="AS136" s="903" t="s">
        <v>9</v>
      </c>
      <c r="AT136" s="903"/>
      <c r="AU136" s="903"/>
      <c r="AV136" s="903"/>
      <c r="AW136" s="903"/>
      <c r="AX136" s="39"/>
      <c r="AY136" s="902" t="s">
        <v>6</v>
      </c>
      <c r="AZ136" s="902"/>
      <c r="BA136" s="902"/>
      <c r="BB136" s="903" t="s">
        <v>9</v>
      </c>
      <c r="BC136" s="903"/>
      <c r="BD136" s="903"/>
      <c r="BE136" s="903"/>
      <c r="BF136" s="903"/>
      <c r="BG136" s="39"/>
      <c r="BH136" s="902" t="s">
        <v>6</v>
      </c>
      <c r="BI136" s="902"/>
      <c r="BJ136" s="902"/>
      <c r="BK136" s="903" t="s">
        <v>9</v>
      </c>
      <c r="BL136" s="903"/>
      <c r="BM136" s="903"/>
      <c r="BN136" s="903"/>
      <c r="BO136" s="903"/>
      <c r="BP136" s="39"/>
      <c r="BQ136" s="902" t="s">
        <v>6</v>
      </c>
      <c r="BR136" s="902"/>
      <c r="BS136" s="902"/>
      <c r="BT136" s="903" t="s">
        <v>9</v>
      </c>
      <c r="BU136" s="903"/>
      <c r="BV136" s="903"/>
      <c r="BW136" s="903"/>
      <c r="BX136" s="903"/>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9"/>
      <c r="GO136" s="39"/>
      <c r="GP136" s="39"/>
      <c r="GQ136" s="39"/>
      <c r="GR136" s="39"/>
      <c r="GS136" s="39"/>
      <c r="GT136" s="39"/>
      <c r="GU136" s="39"/>
      <c r="GV136" s="39"/>
      <c r="GW136" s="39"/>
      <c r="GX136" s="39"/>
      <c r="GY136" s="39"/>
      <c r="GZ136" s="39"/>
      <c r="HA136" s="39"/>
      <c r="HB136" s="39"/>
      <c r="HC136" s="39"/>
      <c r="HD136" s="39"/>
      <c r="HE136" s="39"/>
      <c r="HF136" s="39"/>
      <c r="HG136" s="39"/>
      <c r="HH136" s="39"/>
      <c r="HI136" s="39"/>
      <c r="HJ136" s="39"/>
      <c r="HK136" s="39"/>
      <c r="HL136" s="39"/>
      <c r="HM136" s="39"/>
      <c r="HN136" s="39"/>
      <c r="HO136" s="39"/>
      <c r="HP136" s="39"/>
      <c r="HQ136" s="39"/>
      <c r="HR136" s="39"/>
      <c r="HS136" s="39"/>
      <c r="HT136" s="39"/>
      <c r="HU136" s="39"/>
      <c r="HV136" s="39"/>
      <c r="HW136" s="40"/>
    </row>
    <row r="137" spans="2:231" x14ac:dyDescent="0.25">
      <c r="B137" s="939"/>
      <c r="C137" s="39"/>
      <c r="D137" s="939"/>
      <c r="E137" s="39"/>
      <c r="F137" s="902"/>
      <c r="G137" s="902"/>
      <c r="H137" s="902"/>
      <c r="I137" s="903"/>
      <c r="J137" s="903"/>
      <c r="K137" s="903"/>
      <c r="L137" s="903"/>
      <c r="M137" s="903"/>
      <c r="N137" s="39"/>
      <c r="O137" s="902"/>
      <c r="P137" s="902"/>
      <c r="Q137" s="902"/>
      <c r="R137" s="903"/>
      <c r="S137" s="903"/>
      <c r="T137" s="903"/>
      <c r="U137" s="903"/>
      <c r="V137" s="903"/>
      <c r="W137" s="39"/>
      <c r="X137" s="902"/>
      <c r="Y137" s="902"/>
      <c r="Z137" s="902"/>
      <c r="AA137" s="903"/>
      <c r="AB137" s="903"/>
      <c r="AC137" s="903"/>
      <c r="AD137" s="903"/>
      <c r="AE137" s="903"/>
      <c r="AF137" s="39"/>
      <c r="AG137" s="902"/>
      <c r="AH137" s="902"/>
      <c r="AI137" s="902"/>
      <c r="AJ137" s="903"/>
      <c r="AK137" s="903"/>
      <c r="AL137" s="903"/>
      <c r="AM137" s="903"/>
      <c r="AN137" s="903"/>
      <c r="AO137" s="39"/>
      <c r="AP137" s="902"/>
      <c r="AQ137" s="902"/>
      <c r="AR137" s="902"/>
      <c r="AS137" s="903"/>
      <c r="AT137" s="903"/>
      <c r="AU137" s="903"/>
      <c r="AV137" s="903"/>
      <c r="AW137" s="903"/>
      <c r="AX137" s="39"/>
      <c r="AY137" s="902"/>
      <c r="AZ137" s="902"/>
      <c r="BA137" s="902"/>
      <c r="BB137" s="903"/>
      <c r="BC137" s="903"/>
      <c r="BD137" s="903"/>
      <c r="BE137" s="903"/>
      <c r="BF137" s="903"/>
      <c r="BG137" s="39"/>
      <c r="BH137" s="902"/>
      <c r="BI137" s="902"/>
      <c r="BJ137" s="902"/>
      <c r="BK137" s="903"/>
      <c r="BL137" s="903"/>
      <c r="BM137" s="903"/>
      <c r="BN137" s="903"/>
      <c r="BO137" s="903"/>
      <c r="BP137" s="39"/>
      <c r="BQ137" s="902"/>
      <c r="BR137" s="902"/>
      <c r="BS137" s="902"/>
      <c r="BT137" s="903"/>
      <c r="BU137" s="903"/>
      <c r="BV137" s="903"/>
      <c r="BW137" s="903"/>
      <c r="BX137" s="903"/>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9"/>
      <c r="GO137" s="39"/>
      <c r="GP137" s="39"/>
      <c r="GQ137" s="39"/>
      <c r="GR137" s="39"/>
      <c r="GS137" s="39"/>
      <c r="GT137" s="39"/>
      <c r="GU137" s="39"/>
      <c r="GV137" s="39"/>
      <c r="GW137" s="39"/>
      <c r="GX137" s="39"/>
      <c r="GY137" s="39"/>
      <c r="GZ137" s="39"/>
      <c r="HA137" s="39"/>
      <c r="HB137" s="39"/>
      <c r="HC137" s="39"/>
      <c r="HD137" s="39"/>
      <c r="HE137" s="39"/>
      <c r="HF137" s="39"/>
      <c r="HG137" s="39"/>
      <c r="HH137" s="39"/>
      <c r="HI137" s="39"/>
      <c r="HJ137" s="39"/>
      <c r="HK137" s="39"/>
      <c r="HL137" s="39"/>
      <c r="HM137" s="39"/>
      <c r="HN137" s="39"/>
      <c r="HO137" s="39"/>
      <c r="HP137" s="39"/>
      <c r="HQ137" s="39"/>
      <c r="HR137" s="39"/>
      <c r="HS137" s="39"/>
      <c r="HT137" s="39"/>
      <c r="HU137" s="39"/>
      <c r="HV137" s="39"/>
      <c r="HW137" s="40"/>
    </row>
    <row r="138" spans="2:231" x14ac:dyDescent="0.25">
      <c r="B138" s="939"/>
      <c r="C138" s="39"/>
      <c r="D138" s="939"/>
      <c r="E138" s="39"/>
      <c r="F138" s="902"/>
      <c r="G138" s="902"/>
      <c r="H138" s="902"/>
      <c r="I138" s="903"/>
      <c r="J138" s="903"/>
      <c r="K138" s="903"/>
      <c r="L138" s="903"/>
      <c r="M138" s="903"/>
      <c r="N138" s="39"/>
      <c r="O138" s="902"/>
      <c r="P138" s="902"/>
      <c r="Q138" s="902"/>
      <c r="R138" s="903"/>
      <c r="S138" s="903"/>
      <c r="T138" s="903"/>
      <c r="U138" s="903"/>
      <c r="V138" s="903"/>
      <c r="W138" s="39"/>
      <c r="X138" s="902"/>
      <c r="Y138" s="902"/>
      <c r="Z138" s="902"/>
      <c r="AA138" s="903"/>
      <c r="AB138" s="903"/>
      <c r="AC138" s="903"/>
      <c r="AD138" s="903"/>
      <c r="AE138" s="903"/>
      <c r="AF138" s="39"/>
      <c r="AG138" s="902"/>
      <c r="AH138" s="902"/>
      <c r="AI138" s="902"/>
      <c r="AJ138" s="903"/>
      <c r="AK138" s="903"/>
      <c r="AL138" s="903"/>
      <c r="AM138" s="903"/>
      <c r="AN138" s="903"/>
      <c r="AO138" s="39"/>
      <c r="AP138" s="902"/>
      <c r="AQ138" s="902"/>
      <c r="AR138" s="902"/>
      <c r="AS138" s="903"/>
      <c r="AT138" s="903"/>
      <c r="AU138" s="903"/>
      <c r="AV138" s="903"/>
      <c r="AW138" s="903"/>
      <c r="AX138" s="39"/>
      <c r="AY138" s="902"/>
      <c r="AZ138" s="902"/>
      <c r="BA138" s="902"/>
      <c r="BB138" s="903"/>
      <c r="BC138" s="903"/>
      <c r="BD138" s="903"/>
      <c r="BE138" s="903"/>
      <c r="BF138" s="903"/>
      <c r="BG138" s="39"/>
      <c r="BH138" s="902"/>
      <c r="BI138" s="902"/>
      <c r="BJ138" s="902"/>
      <c r="BK138" s="903"/>
      <c r="BL138" s="903"/>
      <c r="BM138" s="903"/>
      <c r="BN138" s="903"/>
      <c r="BO138" s="903"/>
      <c r="BP138" s="39"/>
      <c r="BQ138" s="902"/>
      <c r="BR138" s="902"/>
      <c r="BS138" s="902"/>
      <c r="BT138" s="903"/>
      <c r="BU138" s="903"/>
      <c r="BV138" s="903"/>
      <c r="BW138" s="903"/>
      <c r="BX138" s="903"/>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9"/>
      <c r="GO138" s="39"/>
      <c r="GP138" s="39"/>
      <c r="GQ138" s="39"/>
      <c r="GR138" s="39"/>
      <c r="GS138" s="39"/>
      <c r="GT138" s="39"/>
      <c r="GU138" s="39"/>
      <c r="GV138" s="39"/>
      <c r="GW138" s="39"/>
      <c r="GX138" s="39"/>
      <c r="GY138" s="39"/>
      <c r="GZ138" s="39"/>
      <c r="HA138" s="39"/>
      <c r="HB138" s="39"/>
      <c r="HC138" s="39"/>
      <c r="HD138" s="39"/>
      <c r="HE138" s="39"/>
      <c r="HF138" s="39"/>
      <c r="HG138" s="39"/>
      <c r="HH138" s="39"/>
      <c r="HI138" s="39"/>
      <c r="HJ138" s="39"/>
      <c r="HK138" s="39"/>
      <c r="HL138" s="39"/>
      <c r="HM138" s="39"/>
      <c r="HN138" s="39"/>
      <c r="HO138" s="39"/>
      <c r="HP138" s="39"/>
      <c r="HQ138" s="39"/>
      <c r="HR138" s="39"/>
      <c r="HS138" s="39"/>
      <c r="HT138" s="39"/>
      <c r="HU138" s="39"/>
      <c r="HV138" s="39"/>
      <c r="HW138" s="40"/>
    </row>
    <row r="139" spans="2:231" x14ac:dyDescent="0.25">
      <c r="B139" s="939"/>
      <c r="C139" s="39"/>
      <c r="D139" s="939"/>
      <c r="E139" s="39"/>
      <c r="F139" s="902" t="s">
        <v>7</v>
      </c>
      <c r="G139" s="902"/>
      <c r="H139" s="902"/>
      <c r="I139" s="903" t="s">
        <v>954</v>
      </c>
      <c r="J139" s="903"/>
      <c r="K139" s="903"/>
      <c r="L139" s="903"/>
      <c r="M139" s="903"/>
      <c r="N139" s="39"/>
      <c r="O139" s="902" t="s">
        <v>7</v>
      </c>
      <c r="P139" s="902"/>
      <c r="Q139" s="902"/>
      <c r="R139" s="903" t="s">
        <v>955</v>
      </c>
      <c r="S139" s="903"/>
      <c r="T139" s="903"/>
      <c r="U139" s="903"/>
      <c r="V139" s="903"/>
      <c r="W139" s="39"/>
      <c r="X139" s="902" t="s">
        <v>7</v>
      </c>
      <c r="Y139" s="902"/>
      <c r="Z139" s="902"/>
      <c r="AA139" s="903" t="s">
        <v>616</v>
      </c>
      <c r="AB139" s="903"/>
      <c r="AC139" s="903"/>
      <c r="AD139" s="903"/>
      <c r="AE139" s="903"/>
      <c r="AF139" s="39"/>
      <c r="AG139" s="902" t="s">
        <v>7</v>
      </c>
      <c r="AH139" s="902"/>
      <c r="AI139" s="902"/>
      <c r="AJ139" s="903" t="s">
        <v>617</v>
      </c>
      <c r="AK139" s="903"/>
      <c r="AL139" s="903"/>
      <c r="AM139" s="903"/>
      <c r="AN139" s="903"/>
      <c r="AO139" s="39"/>
      <c r="AP139" s="902" t="s">
        <v>7</v>
      </c>
      <c r="AQ139" s="902"/>
      <c r="AR139" s="902"/>
      <c r="AS139" s="903" t="s">
        <v>618</v>
      </c>
      <c r="AT139" s="903"/>
      <c r="AU139" s="903"/>
      <c r="AV139" s="903"/>
      <c r="AW139" s="903"/>
      <c r="AX139" s="39"/>
      <c r="AY139" s="902" t="s">
        <v>7</v>
      </c>
      <c r="AZ139" s="902"/>
      <c r="BA139" s="902"/>
      <c r="BB139" s="903" t="s">
        <v>619</v>
      </c>
      <c r="BC139" s="903"/>
      <c r="BD139" s="903"/>
      <c r="BE139" s="903"/>
      <c r="BF139" s="903"/>
      <c r="BG139" s="39"/>
      <c r="BH139" s="902" t="s">
        <v>7</v>
      </c>
      <c r="BI139" s="902"/>
      <c r="BJ139" s="902"/>
      <c r="BK139" s="903" t="s">
        <v>956</v>
      </c>
      <c r="BL139" s="903"/>
      <c r="BM139" s="903"/>
      <c r="BN139" s="903"/>
      <c r="BO139" s="903"/>
      <c r="BP139" s="39"/>
      <c r="BQ139" s="902" t="s">
        <v>7</v>
      </c>
      <c r="BR139" s="902"/>
      <c r="BS139" s="902"/>
      <c r="BT139" s="903" t="s">
        <v>162</v>
      </c>
      <c r="BU139" s="903"/>
      <c r="BV139" s="903"/>
      <c r="BW139" s="903"/>
      <c r="BX139" s="903"/>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9"/>
      <c r="GO139" s="39"/>
      <c r="GP139" s="39"/>
      <c r="GQ139" s="39"/>
      <c r="GR139" s="39"/>
      <c r="GS139" s="39"/>
      <c r="GT139" s="39"/>
      <c r="GU139" s="39"/>
      <c r="GV139" s="39"/>
      <c r="GW139" s="39"/>
      <c r="GX139" s="39"/>
      <c r="GY139" s="39"/>
      <c r="GZ139" s="39"/>
      <c r="HA139" s="39"/>
      <c r="HB139" s="39"/>
      <c r="HC139" s="39"/>
      <c r="HD139" s="39"/>
      <c r="HE139" s="39"/>
      <c r="HF139" s="39"/>
      <c r="HG139" s="39"/>
      <c r="HH139" s="39"/>
      <c r="HI139" s="39"/>
      <c r="HJ139" s="39"/>
      <c r="HK139" s="39"/>
      <c r="HL139" s="39"/>
      <c r="HM139" s="39"/>
      <c r="HN139" s="39"/>
      <c r="HO139" s="39"/>
      <c r="HP139" s="39"/>
      <c r="HQ139" s="39"/>
      <c r="HR139" s="39"/>
      <c r="HS139" s="39"/>
      <c r="HT139" s="39"/>
      <c r="HU139" s="39"/>
      <c r="HV139" s="39"/>
      <c r="HW139" s="40"/>
    </row>
    <row r="140" spans="2:231" x14ac:dyDescent="0.25">
      <c r="B140" s="939"/>
      <c r="C140" s="39"/>
      <c r="D140" s="939"/>
      <c r="E140" s="39"/>
      <c r="F140" s="902"/>
      <c r="G140" s="902"/>
      <c r="H140" s="902"/>
      <c r="I140" s="903"/>
      <c r="J140" s="903"/>
      <c r="K140" s="903"/>
      <c r="L140" s="903"/>
      <c r="M140" s="903"/>
      <c r="N140" s="39"/>
      <c r="O140" s="902"/>
      <c r="P140" s="902"/>
      <c r="Q140" s="902"/>
      <c r="R140" s="903"/>
      <c r="S140" s="903"/>
      <c r="T140" s="903"/>
      <c r="U140" s="903"/>
      <c r="V140" s="903"/>
      <c r="W140" s="39"/>
      <c r="X140" s="902"/>
      <c r="Y140" s="902"/>
      <c r="Z140" s="902"/>
      <c r="AA140" s="903"/>
      <c r="AB140" s="903"/>
      <c r="AC140" s="903"/>
      <c r="AD140" s="903"/>
      <c r="AE140" s="903"/>
      <c r="AF140" s="39"/>
      <c r="AG140" s="902"/>
      <c r="AH140" s="902"/>
      <c r="AI140" s="902"/>
      <c r="AJ140" s="903"/>
      <c r="AK140" s="903"/>
      <c r="AL140" s="903"/>
      <c r="AM140" s="903"/>
      <c r="AN140" s="903"/>
      <c r="AO140" s="39"/>
      <c r="AP140" s="902"/>
      <c r="AQ140" s="902"/>
      <c r="AR140" s="902"/>
      <c r="AS140" s="903"/>
      <c r="AT140" s="903"/>
      <c r="AU140" s="903"/>
      <c r="AV140" s="903"/>
      <c r="AW140" s="903"/>
      <c r="AX140" s="39"/>
      <c r="AY140" s="902"/>
      <c r="AZ140" s="902"/>
      <c r="BA140" s="902"/>
      <c r="BB140" s="903"/>
      <c r="BC140" s="903"/>
      <c r="BD140" s="903"/>
      <c r="BE140" s="903"/>
      <c r="BF140" s="903"/>
      <c r="BG140" s="39"/>
      <c r="BH140" s="902"/>
      <c r="BI140" s="902"/>
      <c r="BJ140" s="902"/>
      <c r="BK140" s="903"/>
      <c r="BL140" s="903"/>
      <c r="BM140" s="903"/>
      <c r="BN140" s="903"/>
      <c r="BO140" s="903"/>
      <c r="BP140" s="39"/>
      <c r="BQ140" s="902"/>
      <c r="BR140" s="902"/>
      <c r="BS140" s="902"/>
      <c r="BT140" s="903"/>
      <c r="BU140" s="903"/>
      <c r="BV140" s="903"/>
      <c r="BW140" s="903"/>
      <c r="BX140" s="903"/>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9"/>
      <c r="GO140" s="39"/>
      <c r="GP140" s="39"/>
      <c r="GQ140" s="39"/>
      <c r="GR140" s="39"/>
      <c r="GS140" s="39"/>
      <c r="GT140" s="39"/>
      <c r="GU140" s="39"/>
      <c r="GV140" s="39"/>
      <c r="GW140" s="39"/>
      <c r="GX140" s="39"/>
      <c r="GY140" s="39"/>
      <c r="GZ140" s="39"/>
      <c r="HA140" s="39"/>
      <c r="HB140" s="39"/>
      <c r="HC140" s="39"/>
      <c r="HD140" s="39"/>
      <c r="HE140" s="39"/>
      <c r="HF140" s="39"/>
      <c r="HG140" s="39"/>
      <c r="HH140" s="39"/>
      <c r="HI140" s="39"/>
      <c r="HJ140" s="39"/>
      <c r="HK140" s="39"/>
      <c r="HL140" s="39"/>
      <c r="HM140" s="39"/>
      <c r="HN140" s="39"/>
      <c r="HO140" s="39"/>
      <c r="HP140" s="39"/>
      <c r="HQ140" s="39"/>
      <c r="HR140" s="39"/>
      <c r="HS140" s="39"/>
      <c r="HT140" s="39"/>
      <c r="HU140" s="39"/>
      <c r="HV140" s="39"/>
      <c r="HW140" s="40"/>
    </row>
    <row r="141" spans="2:231" ht="16.5" thickBot="1" x14ac:dyDescent="0.3">
      <c r="B141" s="939"/>
      <c r="C141" s="39"/>
      <c r="D141" s="940"/>
      <c r="E141" s="39"/>
      <c r="F141" s="902"/>
      <c r="G141" s="902"/>
      <c r="H141" s="902"/>
      <c r="I141" s="903"/>
      <c r="J141" s="903"/>
      <c r="K141" s="903"/>
      <c r="L141" s="903"/>
      <c r="M141" s="903"/>
      <c r="N141" s="39"/>
      <c r="O141" s="902"/>
      <c r="P141" s="902"/>
      <c r="Q141" s="902"/>
      <c r="R141" s="903"/>
      <c r="S141" s="903"/>
      <c r="T141" s="903"/>
      <c r="U141" s="903"/>
      <c r="V141" s="903"/>
      <c r="W141" s="39"/>
      <c r="X141" s="902"/>
      <c r="Y141" s="902"/>
      <c r="Z141" s="902"/>
      <c r="AA141" s="903"/>
      <c r="AB141" s="903"/>
      <c r="AC141" s="903"/>
      <c r="AD141" s="903"/>
      <c r="AE141" s="903"/>
      <c r="AF141" s="39"/>
      <c r="AG141" s="902"/>
      <c r="AH141" s="902"/>
      <c r="AI141" s="902"/>
      <c r="AJ141" s="903"/>
      <c r="AK141" s="903"/>
      <c r="AL141" s="903"/>
      <c r="AM141" s="903"/>
      <c r="AN141" s="903"/>
      <c r="AO141" s="39"/>
      <c r="AP141" s="902"/>
      <c r="AQ141" s="902"/>
      <c r="AR141" s="902"/>
      <c r="AS141" s="903"/>
      <c r="AT141" s="903"/>
      <c r="AU141" s="903"/>
      <c r="AV141" s="903"/>
      <c r="AW141" s="903"/>
      <c r="AX141" s="39"/>
      <c r="AY141" s="902"/>
      <c r="AZ141" s="902"/>
      <c r="BA141" s="902"/>
      <c r="BB141" s="903"/>
      <c r="BC141" s="903"/>
      <c r="BD141" s="903"/>
      <c r="BE141" s="903"/>
      <c r="BF141" s="903"/>
      <c r="BG141" s="39"/>
      <c r="BH141" s="902"/>
      <c r="BI141" s="902"/>
      <c r="BJ141" s="902"/>
      <c r="BK141" s="903"/>
      <c r="BL141" s="903"/>
      <c r="BM141" s="903"/>
      <c r="BN141" s="903"/>
      <c r="BO141" s="903"/>
      <c r="BP141" s="39"/>
      <c r="BQ141" s="902"/>
      <c r="BR141" s="902"/>
      <c r="BS141" s="902"/>
      <c r="BT141" s="903"/>
      <c r="BU141" s="903"/>
      <c r="BV141" s="903"/>
      <c r="BW141" s="903"/>
      <c r="BX141" s="903"/>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39"/>
      <c r="FY141" s="39"/>
      <c r="FZ141" s="39"/>
      <c r="GA141" s="39"/>
      <c r="GB141" s="39"/>
      <c r="GC141" s="39"/>
      <c r="GD141" s="39"/>
      <c r="GE141" s="39"/>
      <c r="GF141" s="39"/>
      <c r="GG141" s="39"/>
      <c r="GH141" s="39"/>
      <c r="GI141" s="39"/>
      <c r="GJ141" s="39"/>
      <c r="GK141" s="39"/>
      <c r="GL141" s="39"/>
      <c r="GM141" s="39"/>
      <c r="GN141" s="39"/>
      <c r="GO141" s="39"/>
      <c r="GP141" s="39"/>
      <c r="GQ141" s="39"/>
      <c r="GR141" s="39"/>
      <c r="GS141" s="39"/>
      <c r="GT141" s="39"/>
      <c r="GU141" s="39"/>
      <c r="GV141" s="39"/>
      <c r="GW141" s="39"/>
      <c r="GX141" s="39"/>
      <c r="GY141" s="39"/>
      <c r="GZ141" s="39"/>
      <c r="HA141" s="39"/>
      <c r="HB141" s="39"/>
      <c r="HC141" s="39"/>
      <c r="HD141" s="39"/>
      <c r="HE141" s="39"/>
      <c r="HF141" s="39"/>
      <c r="HG141" s="39"/>
      <c r="HH141" s="39"/>
      <c r="HI141" s="39"/>
      <c r="HJ141" s="39"/>
      <c r="HK141" s="39"/>
      <c r="HL141" s="39"/>
      <c r="HM141" s="39"/>
      <c r="HN141" s="39"/>
      <c r="HO141" s="39"/>
      <c r="HP141" s="39"/>
      <c r="HQ141" s="39"/>
      <c r="HR141" s="39"/>
      <c r="HS141" s="39"/>
      <c r="HT141" s="39"/>
      <c r="HU141" s="39"/>
      <c r="HV141" s="39"/>
      <c r="HW141" s="40"/>
    </row>
    <row r="142" spans="2:231" x14ac:dyDescent="0.25">
      <c r="B142" s="9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39"/>
      <c r="FY142" s="39"/>
      <c r="FZ142" s="39"/>
      <c r="GA142" s="39"/>
      <c r="GB142" s="39"/>
      <c r="GC142" s="39"/>
      <c r="GD142" s="39"/>
      <c r="GE142" s="39"/>
      <c r="GF142" s="39"/>
      <c r="GG142" s="39"/>
      <c r="GH142" s="39"/>
      <c r="GI142" s="39"/>
      <c r="GJ142" s="39"/>
      <c r="GK142" s="39"/>
      <c r="GL142" s="39"/>
      <c r="GM142" s="39"/>
      <c r="GN142" s="39"/>
      <c r="GO142" s="39"/>
      <c r="GP142" s="39"/>
      <c r="GQ142" s="39"/>
      <c r="GR142" s="39"/>
      <c r="GS142" s="39"/>
      <c r="GT142" s="39"/>
      <c r="GU142" s="39"/>
      <c r="GV142" s="39"/>
      <c r="GW142" s="39"/>
      <c r="GX142" s="39"/>
      <c r="GY142" s="39"/>
      <c r="GZ142" s="39"/>
      <c r="HA142" s="39"/>
      <c r="HB142" s="39"/>
      <c r="HC142" s="39"/>
      <c r="HD142" s="39"/>
      <c r="HE142" s="39"/>
      <c r="HF142" s="39"/>
      <c r="HG142" s="39"/>
      <c r="HH142" s="39"/>
      <c r="HI142" s="39"/>
      <c r="HJ142" s="39"/>
      <c r="HK142" s="39"/>
      <c r="HL142" s="39"/>
      <c r="HM142" s="39"/>
      <c r="HN142" s="39"/>
      <c r="HO142" s="39"/>
      <c r="HP142" s="39"/>
      <c r="HQ142" s="39"/>
      <c r="HR142" s="39"/>
      <c r="HS142" s="39"/>
      <c r="HT142" s="39"/>
      <c r="HU142" s="39"/>
      <c r="HV142" s="39"/>
      <c r="HW142" s="40"/>
    </row>
    <row r="143" spans="2:231" ht="16.5" thickBot="1" x14ac:dyDescent="0.3">
      <c r="B143" s="9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9"/>
      <c r="GO143" s="39"/>
      <c r="GP143" s="39"/>
      <c r="GQ143" s="39"/>
      <c r="GR143" s="39"/>
      <c r="GS143" s="39"/>
      <c r="GT143" s="39"/>
      <c r="GU143" s="39"/>
      <c r="GV143" s="39"/>
      <c r="GW143" s="39"/>
      <c r="GX143" s="39"/>
      <c r="GY143" s="39"/>
      <c r="GZ143" s="39"/>
      <c r="HA143" s="39"/>
      <c r="HB143" s="39"/>
      <c r="HC143" s="39"/>
      <c r="HD143" s="39"/>
      <c r="HE143" s="39"/>
      <c r="HF143" s="39"/>
      <c r="HG143" s="39"/>
      <c r="HH143" s="39"/>
      <c r="HI143" s="39"/>
      <c r="HJ143" s="39"/>
      <c r="HK143" s="39"/>
      <c r="HL143" s="39"/>
      <c r="HM143" s="39"/>
      <c r="HN143" s="39"/>
      <c r="HO143" s="39"/>
      <c r="HP143" s="39"/>
      <c r="HQ143" s="39"/>
      <c r="HR143" s="39"/>
      <c r="HS143" s="39"/>
      <c r="HT143" s="39"/>
      <c r="HU143" s="39"/>
      <c r="HV143" s="39"/>
      <c r="HW143" s="40"/>
    </row>
    <row r="144" spans="2:231" ht="15.75" customHeight="1" x14ac:dyDescent="0.25">
      <c r="B144" s="939"/>
      <c r="C144" s="39"/>
      <c r="D144" s="935" t="s">
        <v>57</v>
      </c>
      <c r="E144" s="39"/>
      <c r="F144" s="906" t="s">
        <v>8</v>
      </c>
      <c r="G144" s="906"/>
      <c r="H144" s="906"/>
      <c r="I144" s="906"/>
      <c r="J144" s="906"/>
      <c r="K144" s="906"/>
      <c r="L144" s="906"/>
      <c r="M144" s="906"/>
      <c r="N144" s="39"/>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9"/>
      <c r="GO144" s="39"/>
      <c r="GP144" s="39"/>
      <c r="GQ144" s="39"/>
      <c r="GR144" s="39"/>
      <c r="GS144" s="39"/>
      <c r="GT144" s="39"/>
      <c r="GU144" s="39"/>
      <c r="GV144" s="39"/>
      <c r="GW144" s="39"/>
      <c r="GX144" s="39"/>
      <c r="GY144" s="39"/>
      <c r="GZ144" s="39"/>
      <c r="HA144" s="39"/>
      <c r="HB144" s="39"/>
      <c r="HC144" s="39"/>
      <c r="HD144" s="39"/>
      <c r="HE144" s="39"/>
      <c r="HF144" s="39"/>
      <c r="HG144" s="39"/>
      <c r="HH144" s="39"/>
      <c r="HI144" s="39"/>
      <c r="HJ144" s="39"/>
      <c r="HK144" s="39"/>
      <c r="HL144" s="39"/>
      <c r="HM144" s="39"/>
      <c r="HN144" s="39"/>
      <c r="HO144" s="39"/>
      <c r="HP144" s="39"/>
      <c r="HQ144" s="39"/>
      <c r="HR144" s="39"/>
      <c r="HS144" s="39"/>
      <c r="HT144" s="39"/>
      <c r="HU144" s="39"/>
      <c r="HV144" s="39"/>
      <c r="HW144" s="40"/>
    </row>
    <row r="145" spans="2:231" x14ac:dyDescent="0.25">
      <c r="B145" s="939"/>
      <c r="C145" s="39"/>
      <c r="D145" s="936"/>
      <c r="E145" s="39"/>
      <c r="F145" s="905" t="s">
        <v>0</v>
      </c>
      <c r="G145" s="905"/>
      <c r="H145" s="905"/>
      <c r="I145" s="905" t="s">
        <v>1</v>
      </c>
      <c r="J145" s="905"/>
      <c r="K145" s="905"/>
      <c r="L145" s="905"/>
      <c r="M145" s="905"/>
      <c r="N145" s="39"/>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9"/>
      <c r="GO145" s="39"/>
      <c r="GP145" s="39"/>
      <c r="GQ145" s="39"/>
      <c r="GR145" s="39"/>
      <c r="GS145" s="39"/>
      <c r="GT145" s="39"/>
      <c r="GU145" s="39"/>
      <c r="GV145" s="39"/>
      <c r="GW145" s="39"/>
      <c r="GX145" s="39"/>
      <c r="GY145" s="39"/>
      <c r="GZ145" s="39"/>
      <c r="HA145" s="39"/>
      <c r="HB145" s="39"/>
      <c r="HC145" s="39"/>
      <c r="HD145" s="39"/>
      <c r="HE145" s="39"/>
      <c r="HF145" s="39"/>
      <c r="HG145" s="39"/>
      <c r="HH145" s="39"/>
      <c r="HI145" s="39"/>
      <c r="HJ145" s="39"/>
      <c r="HK145" s="39"/>
      <c r="HL145" s="39"/>
      <c r="HM145" s="39"/>
      <c r="HN145" s="39"/>
      <c r="HO145" s="39"/>
      <c r="HP145" s="39"/>
      <c r="HQ145" s="39"/>
      <c r="HR145" s="39"/>
      <c r="HS145" s="39"/>
      <c r="HT145" s="39"/>
      <c r="HU145" s="39"/>
      <c r="HV145" s="39"/>
      <c r="HW145" s="40"/>
    </row>
    <row r="146" spans="2:231" x14ac:dyDescent="0.25">
      <c r="B146" s="939"/>
      <c r="C146" s="39"/>
      <c r="D146" s="936"/>
      <c r="E146" s="39"/>
      <c r="F146" s="902" t="s">
        <v>2</v>
      </c>
      <c r="G146" s="902"/>
      <c r="H146" s="902"/>
      <c r="I146" s="903" t="s">
        <v>132</v>
      </c>
      <c r="J146" s="903"/>
      <c r="K146" s="903"/>
      <c r="L146" s="903"/>
      <c r="M146" s="903"/>
      <c r="N146" s="39"/>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9"/>
      <c r="GO146" s="39"/>
      <c r="GP146" s="39"/>
      <c r="GQ146" s="39"/>
      <c r="GR146" s="39"/>
      <c r="GS146" s="39"/>
      <c r="GT146" s="39"/>
      <c r="GU146" s="39"/>
      <c r="GV146" s="39"/>
      <c r="GW146" s="39"/>
      <c r="GX146" s="39"/>
      <c r="GY146" s="39"/>
      <c r="GZ146" s="39"/>
      <c r="HA146" s="39"/>
      <c r="HB146" s="39"/>
      <c r="HC146" s="39"/>
      <c r="HD146" s="39"/>
      <c r="HE146" s="39"/>
      <c r="HF146" s="39"/>
      <c r="HG146" s="39"/>
      <c r="HH146" s="39"/>
      <c r="HI146" s="39"/>
      <c r="HJ146" s="39"/>
      <c r="HK146" s="39"/>
      <c r="HL146" s="39"/>
      <c r="HM146" s="39"/>
      <c r="HN146" s="39"/>
      <c r="HO146" s="39"/>
      <c r="HP146" s="39"/>
      <c r="HQ146" s="39"/>
      <c r="HR146" s="39"/>
      <c r="HS146" s="39"/>
      <c r="HT146" s="39"/>
      <c r="HU146" s="39"/>
      <c r="HV146" s="39"/>
      <c r="HW146" s="40"/>
    </row>
    <row r="147" spans="2:231" x14ac:dyDescent="0.25">
      <c r="B147" s="939"/>
      <c r="C147" s="39"/>
      <c r="D147" s="936"/>
      <c r="E147" s="39"/>
      <c r="F147" s="902"/>
      <c r="G147" s="902"/>
      <c r="H147" s="902"/>
      <c r="I147" s="903"/>
      <c r="J147" s="903"/>
      <c r="K147" s="903"/>
      <c r="L147" s="903"/>
      <c r="M147" s="903"/>
      <c r="N147" s="39"/>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9"/>
      <c r="GO147" s="39"/>
      <c r="GP147" s="39"/>
      <c r="GQ147" s="39"/>
      <c r="GR147" s="39"/>
      <c r="GS147" s="39"/>
      <c r="GT147" s="39"/>
      <c r="GU147" s="39"/>
      <c r="GV147" s="39"/>
      <c r="GW147" s="39"/>
      <c r="GX147" s="39"/>
      <c r="GY147" s="39"/>
      <c r="GZ147" s="39"/>
      <c r="HA147" s="39"/>
      <c r="HB147" s="39"/>
      <c r="HC147" s="39"/>
      <c r="HD147" s="39"/>
      <c r="HE147" s="39"/>
      <c r="HF147" s="39"/>
      <c r="HG147" s="39"/>
      <c r="HH147" s="39"/>
      <c r="HI147" s="39"/>
      <c r="HJ147" s="39"/>
      <c r="HK147" s="39"/>
      <c r="HL147" s="39"/>
      <c r="HM147" s="39"/>
      <c r="HN147" s="39"/>
      <c r="HO147" s="39"/>
      <c r="HP147" s="39"/>
      <c r="HQ147" s="39"/>
      <c r="HR147" s="39"/>
      <c r="HS147" s="39"/>
      <c r="HT147" s="39"/>
      <c r="HU147" s="39"/>
      <c r="HV147" s="39"/>
      <c r="HW147" s="40"/>
    </row>
    <row r="148" spans="2:231" x14ac:dyDescent="0.25">
      <c r="B148" s="939"/>
      <c r="C148" s="39"/>
      <c r="D148" s="936"/>
      <c r="E148" s="39"/>
      <c r="F148" s="902"/>
      <c r="G148" s="902"/>
      <c r="H148" s="902"/>
      <c r="I148" s="903"/>
      <c r="J148" s="903"/>
      <c r="K148" s="903"/>
      <c r="L148" s="903"/>
      <c r="M148" s="903"/>
      <c r="N148" s="39"/>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9"/>
      <c r="GO148" s="39"/>
      <c r="GP148" s="39"/>
      <c r="GQ148" s="39"/>
      <c r="GR148" s="39"/>
      <c r="GS148" s="39"/>
      <c r="GT148" s="39"/>
      <c r="GU148" s="39"/>
      <c r="GV148" s="39"/>
      <c r="GW148" s="39"/>
      <c r="GX148" s="39"/>
      <c r="GY148" s="39"/>
      <c r="GZ148" s="39"/>
      <c r="HA148" s="39"/>
      <c r="HB148" s="39"/>
      <c r="HC148" s="39"/>
      <c r="HD148" s="39"/>
      <c r="HE148" s="39"/>
      <c r="HF148" s="39"/>
      <c r="HG148" s="39"/>
      <c r="HH148" s="39"/>
      <c r="HI148" s="39"/>
      <c r="HJ148" s="39"/>
      <c r="HK148" s="39"/>
      <c r="HL148" s="39"/>
      <c r="HM148" s="39"/>
      <c r="HN148" s="39"/>
      <c r="HO148" s="39"/>
      <c r="HP148" s="39"/>
      <c r="HQ148" s="39"/>
      <c r="HR148" s="39"/>
      <c r="HS148" s="39"/>
      <c r="HT148" s="39"/>
      <c r="HU148" s="39"/>
      <c r="HV148" s="39"/>
      <c r="HW148" s="40"/>
    </row>
    <row r="149" spans="2:231" x14ac:dyDescent="0.25">
      <c r="B149" s="939"/>
      <c r="C149" s="39"/>
      <c r="D149" s="936"/>
      <c r="E149" s="39"/>
      <c r="F149" s="905" t="s">
        <v>0</v>
      </c>
      <c r="G149" s="905"/>
      <c r="H149" s="905"/>
      <c r="I149" s="905" t="s">
        <v>1</v>
      </c>
      <c r="J149" s="905"/>
      <c r="K149" s="905"/>
      <c r="L149" s="905"/>
      <c r="M149" s="905"/>
      <c r="N149" s="39"/>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9"/>
      <c r="GO149" s="39"/>
      <c r="GP149" s="39"/>
      <c r="GQ149" s="39"/>
      <c r="GR149" s="39"/>
      <c r="GS149" s="39"/>
      <c r="GT149" s="39"/>
      <c r="GU149" s="39"/>
      <c r="GV149" s="39"/>
      <c r="GW149" s="39"/>
      <c r="GX149" s="39"/>
      <c r="GY149" s="39"/>
      <c r="GZ149" s="39"/>
      <c r="HA149" s="39"/>
      <c r="HB149" s="39"/>
      <c r="HC149" s="39"/>
      <c r="HD149" s="39"/>
      <c r="HE149" s="39"/>
      <c r="HF149" s="39"/>
      <c r="HG149" s="39"/>
      <c r="HH149" s="39"/>
      <c r="HI149" s="39"/>
      <c r="HJ149" s="39"/>
      <c r="HK149" s="39"/>
      <c r="HL149" s="39"/>
      <c r="HM149" s="39"/>
      <c r="HN149" s="39"/>
      <c r="HO149" s="39"/>
      <c r="HP149" s="39"/>
      <c r="HQ149" s="39"/>
      <c r="HR149" s="39"/>
      <c r="HS149" s="39"/>
      <c r="HT149" s="39"/>
      <c r="HU149" s="39"/>
      <c r="HV149" s="39"/>
      <c r="HW149" s="40"/>
    </row>
    <row r="150" spans="2:231" ht="15.75" customHeight="1" x14ac:dyDescent="0.25">
      <c r="B150" s="939"/>
      <c r="C150" s="39"/>
      <c r="D150" s="936"/>
      <c r="E150" s="39"/>
      <c r="F150" s="902" t="s">
        <v>3</v>
      </c>
      <c r="G150" s="902"/>
      <c r="H150" s="902"/>
      <c r="I150" s="904" t="s">
        <v>133</v>
      </c>
      <c r="J150" s="903"/>
      <c r="K150" s="903"/>
      <c r="L150" s="903"/>
      <c r="M150" s="903"/>
      <c r="N150" s="39"/>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9"/>
      <c r="GO150" s="39"/>
      <c r="GP150" s="39"/>
      <c r="GQ150" s="39"/>
      <c r="GR150" s="39"/>
      <c r="GS150" s="39"/>
      <c r="GT150" s="39"/>
      <c r="GU150" s="39"/>
      <c r="GV150" s="39"/>
      <c r="GW150" s="39"/>
      <c r="GX150" s="39"/>
      <c r="GY150" s="39"/>
      <c r="GZ150" s="39"/>
      <c r="HA150" s="39"/>
      <c r="HB150" s="39"/>
      <c r="HC150" s="39"/>
      <c r="HD150" s="39"/>
      <c r="HE150" s="39"/>
      <c r="HF150" s="39"/>
      <c r="HG150" s="39"/>
      <c r="HH150" s="39"/>
      <c r="HI150" s="39"/>
      <c r="HJ150" s="39"/>
      <c r="HK150" s="39"/>
      <c r="HL150" s="39"/>
      <c r="HM150" s="39"/>
      <c r="HN150" s="39"/>
      <c r="HO150" s="39"/>
      <c r="HP150" s="39"/>
      <c r="HQ150" s="39"/>
      <c r="HR150" s="39"/>
      <c r="HS150" s="39"/>
      <c r="HT150" s="39"/>
      <c r="HU150" s="39"/>
      <c r="HV150" s="39"/>
      <c r="HW150" s="40"/>
    </row>
    <row r="151" spans="2:231" x14ac:dyDescent="0.25">
      <c r="B151" s="939"/>
      <c r="C151" s="39"/>
      <c r="D151" s="936"/>
      <c r="E151" s="39"/>
      <c r="F151" s="902"/>
      <c r="G151" s="902"/>
      <c r="H151" s="902"/>
      <c r="I151" s="903"/>
      <c r="J151" s="903"/>
      <c r="K151" s="903"/>
      <c r="L151" s="903"/>
      <c r="M151" s="903"/>
      <c r="N151" s="39"/>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9"/>
      <c r="GO151" s="39"/>
      <c r="GP151" s="39"/>
      <c r="GQ151" s="39"/>
      <c r="GR151" s="39"/>
      <c r="GS151" s="39"/>
      <c r="GT151" s="39"/>
      <c r="GU151" s="39"/>
      <c r="GV151" s="39"/>
      <c r="GW151" s="39"/>
      <c r="GX151" s="39"/>
      <c r="GY151" s="39"/>
      <c r="GZ151" s="39"/>
      <c r="HA151" s="39"/>
      <c r="HB151" s="39"/>
      <c r="HC151" s="39"/>
      <c r="HD151" s="39"/>
      <c r="HE151" s="39"/>
      <c r="HF151" s="39"/>
      <c r="HG151" s="39"/>
      <c r="HH151" s="39"/>
      <c r="HI151" s="39"/>
      <c r="HJ151" s="39"/>
      <c r="HK151" s="39"/>
      <c r="HL151" s="39"/>
      <c r="HM151" s="39"/>
      <c r="HN151" s="39"/>
      <c r="HO151" s="39"/>
      <c r="HP151" s="39"/>
      <c r="HQ151" s="39"/>
      <c r="HR151" s="39"/>
      <c r="HS151" s="39"/>
      <c r="HT151" s="39"/>
      <c r="HU151" s="39"/>
      <c r="HV151" s="39"/>
      <c r="HW151" s="40"/>
    </row>
    <row r="152" spans="2:231" x14ac:dyDescent="0.25">
      <c r="B152" s="939"/>
      <c r="C152" s="39"/>
      <c r="D152" s="936"/>
      <c r="E152" s="39"/>
      <c r="F152" s="902"/>
      <c r="G152" s="902"/>
      <c r="H152" s="902"/>
      <c r="I152" s="903"/>
      <c r="J152" s="903"/>
      <c r="K152" s="903"/>
      <c r="L152" s="903"/>
      <c r="M152" s="903"/>
      <c r="N152" s="39"/>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9"/>
      <c r="GO152" s="39"/>
      <c r="GP152" s="39"/>
      <c r="GQ152" s="39"/>
      <c r="GR152" s="39"/>
      <c r="GS152" s="39"/>
      <c r="GT152" s="39"/>
      <c r="GU152" s="39"/>
      <c r="GV152" s="39"/>
      <c r="GW152" s="39"/>
      <c r="GX152" s="39"/>
      <c r="GY152" s="39"/>
      <c r="GZ152" s="39"/>
      <c r="HA152" s="39"/>
      <c r="HB152" s="39"/>
      <c r="HC152" s="39"/>
      <c r="HD152" s="39"/>
      <c r="HE152" s="39"/>
      <c r="HF152" s="39"/>
      <c r="HG152" s="39"/>
      <c r="HH152" s="39"/>
      <c r="HI152" s="39"/>
      <c r="HJ152" s="39"/>
      <c r="HK152" s="39"/>
      <c r="HL152" s="39"/>
      <c r="HM152" s="39"/>
      <c r="HN152" s="39"/>
      <c r="HO152" s="39"/>
      <c r="HP152" s="39"/>
      <c r="HQ152" s="39"/>
      <c r="HR152" s="39"/>
      <c r="HS152" s="39"/>
      <c r="HT152" s="39"/>
      <c r="HU152" s="39"/>
      <c r="HV152" s="39"/>
      <c r="HW152" s="40"/>
    </row>
    <row r="153" spans="2:231" x14ac:dyDescent="0.25">
      <c r="B153" s="939"/>
      <c r="C153" s="39"/>
      <c r="D153" s="936"/>
      <c r="E153" s="39"/>
      <c r="F153" s="902" t="s">
        <v>4</v>
      </c>
      <c r="G153" s="902"/>
      <c r="H153" s="902"/>
      <c r="I153" s="903" t="s">
        <v>15</v>
      </c>
      <c r="J153" s="903"/>
      <c r="K153" s="903"/>
      <c r="L153" s="903"/>
      <c r="M153" s="903"/>
      <c r="N153" s="39"/>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9"/>
      <c r="GO153" s="39"/>
      <c r="GP153" s="39"/>
      <c r="GQ153" s="39"/>
      <c r="GR153" s="39"/>
      <c r="GS153" s="39"/>
      <c r="GT153" s="39"/>
      <c r="GU153" s="39"/>
      <c r="GV153" s="39"/>
      <c r="GW153" s="39"/>
      <c r="GX153" s="39"/>
      <c r="GY153" s="39"/>
      <c r="GZ153" s="39"/>
      <c r="HA153" s="39"/>
      <c r="HB153" s="39"/>
      <c r="HC153" s="39"/>
      <c r="HD153" s="39"/>
      <c r="HE153" s="39"/>
      <c r="HF153" s="39"/>
      <c r="HG153" s="39"/>
      <c r="HH153" s="39"/>
      <c r="HI153" s="39"/>
      <c r="HJ153" s="39"/>
      <c r="HK153" s="39"/>
      <c r="HL153" s="39"/>
      <c r="HM153" s="39"/>
      <c r="HN153" s="39"/>
      <c r="HO153" s="39"/>
      <c r="HP153" s="39"/>
      <c r="HQ153" s="39"/>
      <c r="HR153" s="39"/>
      <c r="HS153" s="39"/>
      <c r="HT153" s="39"/>
      <c r="HU153" s="39"/>
      <c r="HV153" s="39"/>
      <c r="HW153" s="40"/>
    </row>
    <row r="154" spans="2:231" x14ac:dyDescent="0.25">
      <c r="B154" s="939"/>
      <c r="C154" s="39"/>
      <c r="D154" s="936"/>
      <c r="E154" s="39"/>
      <c r="F154" s="902"/>
      <c r="G154" s="902"/>
      <c r="H154" s="902"/>
      <c r="I154" s="903"/>
      <c r="J154" s="903"/>
      <c r="K154" s="903"/>
      <c r="L154" s="903"/>
      <c r="M154" s="903"/>
      <c r="N154" s="39"/>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9"/>
      <c r="GO154" s="39"/>
      <c r="GP154" s="39"/>
      <c r="GQ154" s="39"/>
      <c r="GR154" s="39"/>
      <c r="GS154" s="39"/>
      <c r="GT154" s="39"/>
      <c r="GU154" s="39"/>
      <c r="GV154" s="39"/>
      <c r="GW154" s="39"/>
      <c r="GX154" s="39"/>
      <c r="GY154" s="39"/>
      <c r="GZ154" s="39"/>
      <c r="HA154" s="39"/>
      <c r="HB154" s="39"/>
      <c r="HC154" s="39"/>
      <c r="HD154" s="39"/>
      <c r="HE154" s="39"/>
      <c r="HF154" s="39"/>
      <c r="HG154" s="39"/>
      <c r="HH154" s="39"/>
      <c r="HI154" s="39"/>
      <c r="HJ154" s="39"/>
      <c r="HK154" s="39"/>
      <c r="HL154" s="39"/>
      <c r="HM154" s="39"/>
      <c r="HN154" s="39"/>
      <c r="HO154" s="39"/>
      <c r="HP154" s="39"/>
      <c r="HQ154" s="39"/>
      <c r="HR154" s="39"/>
      <c r="HS154" s="39"/>
      <c r="HT154" s="39"/>
      <c r="HU154" s="39"/>
      <c r="HV154" s="39"/>
      <c r="HW154" s="40"/>
    </row>
    <row r="155" spans="2:231" x14ac:dyDescent="0.25">
      <c r="B155" s="939"/>
      <c r="C155" s="39"/>
      <c r="D155" s="936"/>
      <c r="E155" s="39"/>
      <c r="F155" s="902"/>
      <c r="G155" s="902"/>
      <c r="H155" s="902"/>
      <c r="I155" s="903"/>
      <c r="J155" s="903"/>
      <c r="K155" s="903"/>
      <c r="L155" s="903"/>
      <c r="M155" s="903"/>
      <c r="N155" s="39"/>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40"/>
    </row>
    <row r="156" spans="2:231" x14ac:dyDescent="0.25">
      <c r="B156" s="939"/>
      <c r="C156" s="39"/>
      <c r="D156" s="936"/>
      <c r="E156" s="39"/>
      <c r="F156" s="902" t="s">
        <v>5</v>
      </c>
      <c r="G156" s="902"/>
      <c r="H156" s="902"/>
      <c r="I156" s="903" t="s">
        <v>134</v>
      </c>
      <c r="J156" s="903"/>
      <c r="K156" s="903"/>
      <c r="L156" s="903"/>
      <c r="M156" s="903"/>
      <c r="N156" s="39"/>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c r="GV156" s="39"/>
      <c r="GW156" s="39"/>
      <c r="GX156" s="39"/>
      <c r="GY156" s="39"/>
      <c r="GZ156" s="39"/>
      <c r="HA156" s="39"/>
      <c r="HB156" s="39"/>
      <c r="HC156" s="39"/>
      <c r="HD156" s="39"/>
      <c r="HE156" s="39"/>
      <c r="HF156" s="39"/>
      <c r="HG156" s="39"/>
      <c r="HH156" s="39"/>
      <c r="HI156" s="39"/>
      <c r="HJ156" s="39"/>
      <c r="HK156" s="39"/>
      <c r="HL156" s="39"/>
      <c r="HM156" s="39"/>
      <c r="HN156" s="39"/>
      <c r="HO156" s="39"/>
      <c r="HP156" s="39"/>
      <c r="HQ156" s="39"/>
      <c r="HR156" s="39"/>
      <c r="HS156" s="39"/>
      <c r="HT156" s="39"/>
      <c r="HU156" s="39"/>
      <c r="HV156" s="39"/>
      <c r="HW156" s="40"/>
    </row>
    <row r="157" spans="2:231" x14ac:dyDescent="0.25">
      <c r="B157" s="939"/>
      <c r="C157" s="39"/>
      <c r="D157" s="936"/>
      <c r="E157" s="39"/>
      <c r="F157" s="902"/>
      <c r="G157" s="902"/>
      <c r="H157" s="902"/>
      <c r="I157" s="903"/>
      <c r="J157" s="903"/>
      <c r="K157" s="903"/>
      <c r="L157" s="903"/>
      <c r="M157" s="903"/>
      <c r="N157" s="39"/>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c r="GV157" s="39"/>
      <c r="GW157" s="39"/>
      <c r="GX157" s="39"/>
      <c r="GY157" s="39"/>
      <c r="GZ157" s="39"/>
      <c r="HA157" s="39"/>
      <c r="HB157" s="39"/>
      <c r="HC157" s="39"/>
      <c r="HD157" s="39"/>
      <c r="HE157" s="39"/>
      <c r="HF157" s="39"/>
      <c r="HG157" s="39"/>
      <c r="HH157" s="39"/>
      <c r="HI157" s="39"/>
      <c r="HJ157" s="39"/>
      <c r="HK157" s="39"/>
      <c r="HL157" s="39"/>
      <c r="HM157" s="39"/>
      <c r="HN157" s="39"/>
      <c r="HO157" s="39"/>
      <c r="HP157" s="39"/>
      <c r="HQ157" s="39"/>
      <c r="HR157" s="39"/>
      <c r="HS157" s="39"/>
      <c r="HT157" s="39"/>
      <c r="HU157" s="39"/>
      <c r="HV157" s="39"/>
      <c r="HW157" s="40"/>
    </row>
    <row r="158" spans="2:231" x14ac:dyDescent="0.25">
      <c r="B158" s="939"/>
      <c r="C158" s="39"/>
      <c r="D158" s="936"/>
      <c r="E158" s="39"/>
      <c r="F158" s="902"/>
      <c r="G158" s="902"/>
      <c r="H158" s="902"/>
      <c r="I158" s="903"/>
      <c r="J158" s="903"/>
      <c r="K158" s="903"/>
      <c r="L158" s="903"/>
      <c r="M158" s="903"/>
      <c r="N158" s="39"/>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c r="GV158" s="39"/>
      <c r="GW158" s="39"/>
      <c r="GX158" s="39"/>
      <c r="GY158" s="39"/>
      <c r="GZ158" s="39"/>
      <c r="HA158" s="39"/>
      <c r="HB158" s="39"/>
      <c r="HC158" s="39"/>
      <c r="HD158" s="39"/>
      <c r="HE158" s="39"/>
      <c r="HF158" s="39"/>
      <c r="HG158" s="39"/>
      <c r="HH158" s="39"/>
      <c r="HI158" s="39"/>
      <c r="HJ158" s="39"/>
      <c r="HK158" s="39"/>
      <c r="HL158" s="39"/>
      <c r="HM158" s="39"/>
      <c r="HN158" s="39"/>
      <c r="HO158" s="39"/>
      <c r="HP158" s="39"/>
      <c r="HQ158" s="39"/>
      <c r="HR158" s="39"/>
      <c r="HS158" s="39"/>
      <c r="HT158" s="39"/>
      <c r="HU158" s="39"/>
      <c r="HV158" s="39"/>
      <c r="HW158" s="40"/>
    </row>
    <row r="159" spans="2:231" x14ac:dyDescent="0.25">
      <c r="B159" s="939"/>
      <c r="C159" s="39"/>
      <c r="D159" s="936"/>
      <c r="E159" s="39"/>
      <c r="F159" s="902" t="s">
        <v>6</v>
      </c>
      <c r="G159" s="902"/>
      <c r="H159" s="902"/>
      <c r="I159" s="903" t="s">
        <v>9</v>
      </c>
      <c r="J159" s="903"/>
      <c r="K159" s="903"/>
      <c r="L159" s="903"/>
      <c r="M159" s="903"/>
      <c r="N159" s="39"/>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c r="GV159" s="39"/>
      <c r="GW159" s="39"/>
      <c r="GX159" s="39"/>
      <c r="GY159" s="39"/>
      <c r="GZ159" s="39"/>
      <c r="HA159" s="39"/>
      <c r="HB159" s="39"/>
      <c r="HC159" s="39"/>
      <c r="HD159" s="39"/>
      <c r="HE159" s="39"/>
      <c r="HF159" s="39"/>
      <c r="HG159" s="39"/>
      <c r="HH159" s="39"/>
      <c r="HI159" s="39"/>
      <c r="HJ159" s="39"/>
      <c r="HK159" s="39"/>
      <c r="HL159" s="39"/>
      <c r="HM159" s="39"/>
      <c r="HN159" s="39"/>
      <c r="HO159" s="39"/>
      <c r="HP159" s="39"/>
      <c r="HQ159" s="39"/>
      <c r="HR159" s="39"/>
      <c r="HS159" s="39"/>
      <c r="HT159" s="39"/>
      <c r="HU159" s="39"/>
      <c r="HV159" s="39"/>
      <c r="HW159" s="40"/>
    </row>
    <row r="160" spans="2:231" x14ac:dyDescent="0.25">
      <c r="B160" s="939"/>
      <c r="C160" s="39"/>
      <c r="D160" s="936"/>
      <c r="E160" s="39"/>
      <c r="F160" s="902"/>
      <c r="G160" s="902"/>
      <c r="H160" s="902"/>
      <c r="I160" s="903"/>
      <c r="J160" s="903"/>
      <c r="K160" s="903"/>
      <c r="L160" s="903"/>
      <c r="M160" s="903"/>
      <c r="N160" s="39"/>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40"/>
    </row>
    <row r="161" spans="2:231" x14ac:dyDescent="0.25">
      <c r="B161" s="939"/>
      <c r="C161" s="39"/>
      <c r="D161" s="936"/>
      <c r="E161" s="39"/>
      <c r="F161" s="902"/>
      <c r="G161" s="902"/>
      <c r="H161" s="902"/>
      <c r="I161" s="903"/>
      <c r="J161" s="903"/>
      <c r="K161" s="903"/>
      <c r="L161" s="903"/>
      <c r="M161" s="903"/>
      <c r="N161" s="39"/>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40"/>
    </row>
    <row r="162" spans="2:231" x14ac:dyDescent="0.25">
      <c r="B162" s="939"/>
      <c r="C162" s="39"/>
      <c r="D162" s="936"/>
      <c r="E162" s="39"/>
      <c r="F162" s="902" t="s">
        <v>7</v>
      </c>
      <c r="G162" s="902"/>
      <c r="H162" s="902"/>
      <c r="I162" s="903" t="s">
        <v>621</v>
      </c>
      <c r="J162" s="903"/>
      <c r="K162" s="903"/>
      <c r="L162" s="903"/>
      <c r="M162" s="903"/>
      <c r="N162" s="39"/>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c r="GV162" s="39"/>
      <c r="GW162" s="39"/>
      <c r="GX162" s="39"/>
      <c r="GY162" s="39"/>
      <c r="GZ162" s="39"/>
      <c r="HA162" s="39"/>
      <c r="HB162" s="39"/>
      <c r="HC162" s="39"/>
      <c r="HD162" s="39"/>
      <c r="HE162" s="39"/>
      <c r="HF162" s="39"/>
      <c r="HG162" s="39"/>
      <c r="HH162" s="39"/>
      <c r="HI162" s="39"/>
      <c r="HJ162" s="39"/>
      <c r="HK162" s="39"/>
      <c r="HL162" s="39"/>
      <c r="HM162" s="39"/>
      <c r="HN162" s="39"/>
      <c r="HO162" s="39"/>
      <c r="HP162" s="39"/>
      <c r="HQ162" s="39"/>
      <c r="HR162" s="39"/>
      <c r="HS162" s="39"/>
      <c r="HT162" s="39"/>
      <c r="HU162" s="39"/>
      <c r="HV162" s="39"/>
      <c r="HW162" s="40"/>
    </row>
    <row r="163" spans="2:231" x14ac:dyDescent="0.25">
      <c r="B163" s="939"/>
      <c r="C163" s="39"/>
      <c r="D163" s="936"/>
      <c r="E163" s="39"/>
      <c r="F163" s="902"/>
      <c r="G163" s="902"/>
      <c r="H163" s="902"/>
      <c r="I163" s="903"/>
      <c r="J163" s="903"/>
      <c r="K163" s="903"/>
      <c r="L163" s="903"/>
      <c r="M163" s="903"/>
      <c r="N163" s="39"/>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c r="GV163" s="39"/>
      <c r="GW163" s="39"/>
      <c r="GX163" s="39"/>
      <c r="GY163" s="39"/>
      <c r="GZ163" s="39"/>
      <c r="HA163" s="39"/>
      <c r="HB163" s="39"/>
      <c r="HC163" s="39"/>
      <c r="HD163" s="39"/>
      <c r="HE163" s="39"/>
      <c r="HF163" s="39"/>
      <c r="HG163" s="39"/>
      <c r="HH163" s="39"/>
      <c r="HI163" s="39"/>
      <c r="HJ163" s="39"/>
      <c r="HK163" s="39"/>
      <c r="HL163" s="39"/>
      <c r="HM163" s="39"/>
      <c r="HN163" s="39"/>
      <c r="HO163" s="39"/>
      <c r="HP163" s="39"/>
      <c r="HQ163" s="39"/>
      <c r="HR163" s="39"/>
      <c r="HS163" s="39"/>
      <c r="HT163" s="39"/>
      <c r="HU163" s="39"/>
      <c r="HV163" s="39"/>
      <c r="HW163" s="40"/>
    </row>
    <row r="164" spans="2:231" ht="16.5" thickBot="1" x14ac:dyDescent="0.3">
      <c r="B164" s="939"/>
      <c r="C164" s="39"/>
      <c r="D164" s="937"/>
      <c r="E164" s="39"/>
      <c r="F164" s="902"/>
      <c r="G164" s="902"/>
      <c r="H164" s="902"/>
      <c r="I164" s="903"/>
      <c r="J164" s="903"/>
      <c r="K164" s="903"/>
      <c r="L164" s="903"/>
      <c r="M164" s="903"/>
      <c r="N164" s="39"/>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9"/>
      <c r="GO164" s="39"/>
      <c r="GP164" s="39"/>
      <c r="GQ164" s="39"/>
      <c r="GR164" s="39"/>
      <c r="GS164" s="39"/>
      <c r="GT164" s="39"/>
      <c r="GU164" s="39"/>
      <c r="GV164" s="39"/>
      <c r="GW164" s="39"/>
      <c r="GX164" s="39"/>
      <c r="GY164" s="39"/>
      <c r="GZ164" s="39"/>
      <c r="HA164" s="39"/>
      <c r="HB164" s="39"/>
      <c r="HC164" s="39"/>
      <c r="HD164" s="39"/>
      <c r="HE164" s="39"/>
      <c r="HF164" s="39"/>
      <c r="HG164" s="39"/>
      <c r="HH164" s="39"/>
      <c r="HI164" s="39"/>
      <c r="HJ164" s="39"/>
      <c r="HK164" s="39"/>
      <c r="HL164" s="39"/>
      <c r="HM164" s="39"/>
      <c r="HN164" s="39"/>
      <c r="HO164" s="39"/>
      <c r="HP164" s="39"/>
      <c r="HQ164" s="39"/>
      <c r="HR164" s="39"/>
      <c r="HS164" s="39"/>
      <c r="HT164" s="39"/>
      <c r="HU164" s="39"/>
      <c r="HV164" s="39"/>
      <c r="HW164" s="40"/>
    </row>
    <row r="165" spans="2:231" x14ac:dyDescent="0.25">
      <c r="B165" s="9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9"/>
      <c r="GO165" s="39"/>
      <c r="GP165" s="39"/>
      <c r="GQ165" s="39"/>
      <c r="GR165" s="39"/>
      <c r="GS165" s="39"/>
      <c r="GT165" s="39"/>
      <c r="GU165" s="39"/>
      <c r="GV165" s="39"/>
      <c r="GW165" s="39"/>
      <c r="GX165" s="39"/>
      <c r="GY165" s="39"/>
      <c r="GZ165" s="39"/>
      <c r="HA165" s="39"/>
      <c r="HB165" s="39"/>
      <c r="HC165" s="39"/>
      <c r="HD165" s="39"/>
      <c r="HE165" s="39"/>
      <c r="HF165" s="39"/>
      <c r="HG165" s="39"/>
      <c r="HH165" s="39"/>
      <c r="HI165" s="39"/>
      <c r="HJ165" s="39"/>
      <c r="HK165" s="39"/>
      <c r="HL165" s="39"/>
      <c r="HM165" s="39"/>
      <c r="HN165" s="39"/>
      <c r="HO165" s="39"/>
      <c r="HP165" s="39"/>
      <c r="HQ165" s="39"/>
      <c r="HR165" s="39"/>
      <c r="HS165" s="39"/>
      <c r="HT165" s="39"/>
      <c r="HU165" s="39"/>
      <c r="HV165" s="39"/>
      <c r="HW165" s="40"/>
    </row>
    <row r="166" spans="2:231" x14ac:dyDescent="0.25">
      <c r="B166" s="9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c r="GV166" s="39"/>
      <c r="GW166" s="39"/>
      <c r="GX166" s="39"/>
      <c r="GY166" s="39"/>
      <c r="GZ166" s="39"/>
      <c r="HA166" s="39"/>
      <c r="HB166" s="39"/>
      <c r="HC166" s="39"/>
      <c r="HD166" s="39"/>
      <c r="HE166" s="39"/>
      <c r="HF166" s="39"/>
      <c r="HG166" s="39"/>
      <c r="HH166" s="39"/>
      <c r="HI166" s="39"/>
      <c r="HJ166" s="39"/>
      <c r="HK166" s="39"/>
      <c r="HL166" s="39"/>
      <c r="HM166" s="39"/>
      <c r="HN166" s="39"/>
      <c r="HO166" s="39"/>
      <c r="HP166" s="39"/>
      <c r="HQ166" s="39"/>
      <c r="HR166" s="39"/>
      <c r="HS166" s="39"/>
      <c r="HT166" s="39"/>
      <c r="HU166" s="39"/>
      <c r="HV166" s="39"/>
      <c r="HW166" s="40"/>
    </row>
    <row r="167" spans="2:231" x14ac:dyDescent="0.25">
      <c r="B167" s="9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9"/>
      <c r="GO167" s="39"/>
      <c r="GP167" s="39"/>
      <c r="GQ167" s="39"/>
      <c r="GR167" s="39"/>
      <c r="GS167" s="39"/>
      <c r="GT167" s="39"/>
      <c r="GU167" s="39"/>
      <c r="GV167" s="39"/>
      <c r="GW167" s="39"/>
      <c r="GX167" s="39"/>
      <c r="GY167" s="39"/>
      <c r="GZ167" s="39"/>
      <c r="HA167" s="39"/>
      <c r="HB167" s="39"/>
      <c r="HC167" s="39"/>
      <c r="HD167" s="39"/>
      <c r="HE167" s="39"/>
      <c r="HF167" s="39"/>
      <c r="HG167" s="39"/>
      <c r="HH167" s="39"/>
      <c r="HI167" s="39"/>
      <c r="HJ167" s="39"/>
      <c r="HK167" s="39"/>
      <c r="HL167" s="39"/>
      <c r="HM167" s="39"/>
      <c r="HN167" s="39"/>
      <c r="HO167" s="39"/>
      <c r="HP167" s="39"/>
      <c r="HQ167" s="39"/>
      <c r="HR167" s="39"/>
      <c r="HS167" s="39"/>
      <c r="HT167" s="39"/>
      <c r="HU167" s="39"/>
      <c r="HV167" s="39"/>
      <c r="HW167" s="40"/>
    </row>
    <row r="168" spans="2:231" ht="16.5" thickBot="1" x14ac:dyDescent="0.3">
      <c r="B168" s="9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9"/>
      <c r="GO168" s="39"/>
      <c r="GP168" s="39"/>
      <c r="GQ168" s="39"/>
      <c r="GR168" s="39"/>
      <c r="GS168" s="39"/>
      <c r="GT168" s="39"/>
      <c r="GU168" s="39"/>
      <c r="GV168" s="39"/>
      <c r="GW168" s="39"/>
      <c r="GX168" s="39"/>
      <c r="GY168" s="39"/>
      <c r="GZ168" s="39"/>
      <c r="HA168" s="39"/>
      <c r="HB168" s="39"/>
      <c r="HC168" s="39"/>
      <c r="HD168" s="39"/>
      <c r="HE168" s="39"/>
      <c r="HF168" s="39"/>
      <c r="HG168" s="39"/>
      <c r="HH168" s="39"/>
      <c r="HI168" s="39"/>
      <c r="HJ168" s="39"/>
      <c r="HK168" s="39"/>
      <c r="HL168" s="39"/>
      <c r="HM168" s="39"/>
      <c r="HN168" s="39"/>
      <c r="HO168" s="39"/>
      <c r="HP168" s="39"/>
      <c r="HQ168" s="39"/>
      <c r="HR168" s="39"/>
      <c r="HS168" s="39"/>
      <c r="HT168" s="39"/>
      <c r="HU168" s="39"/>
      <c r="HV168" s="39"/>
      <c r="HW168" s="40"/>
    </row>
    <row r="169" spans="2:231" ht="15.75" customHeight="1" x14ac:dyDescent="0.25">
      <c r="B169" s="939"/>
      <c r="C169" s="39"/>
      <c r="D169" s="935" t="s">
        <v>58</v>
      </c>
      <c r="E169" s="39"/>
      <c r="F169" s="906" t="s">
        <v>8</v>
      </c>
      <c r="G169" s="906"/>
      <c r="H169" s="906"/>
      <c r="I169" s="906"/>
      <c r="J169" s="906"/>
      <c r="K169" s="906"/>
      <c r="L169" s="906"/>
      <c r="M169" s="906"/>
      <c r="N169" s="39"/>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9"/>
      <c r="GO169" s="39"/>
      <c r="GP169" s="39"/>
      <c r="GQ169" s="39"/>
      <c r="GR169" s="39"/>
      <c r="GS169" s="39"/>
      <c r="GT169" s="39"/>
      <c r="GU169" s="39"/>
      <c r="GV169" s="39"/>
      <c r="GW169" s="39"/>
      <c r="GX169" s="39"/>
      <c r="GY169" s="39"/>
      <c r="GZ169" s="39"/>
      <c r="HA169" s="39"/>
      <c r="HB169" s="39"/>
      <c r="HC169" s="39"/>
      <c r="HD169" s="39"/>
      <c r="HE169" s="39"/>
      <c r="HF169" s="39"/>
      <c r="HG169" s="39"/>
      <c r="HH169" s="39"/>
      <c r="HI169" s="39"/>
      <c r="HJ169" s="39"/>
      <c r="HK169" s="39"/>
      <c r="HL169" s="39"/>
      <c r="HM169" s="39"/>
      <c r="HN169" s="39"/>
      <c r="HO169" s="39"/>
      <c r="HP169" s="39"/>
      <c r="HQ169" s="39"/>
      <c r="HR169" s="39"/>
      <c r="HS169" s="39"/>
      <c r="HT169" s="39"/>
      <c r="HU169" s="39"/>
      <c r="HV169" s="39"/>
      <c r="HW169" s="40"/>
    </row>
    <row r="170" spans="2:231" x14ac:dyDescent="0.25">
      <c r="B170" s="939"/>
      <c r="C170" s="39"/>
      <c r="D170" s="936"/>
      <c r="E170" s="39"/>
      <c r="F170" s="905" t="s">
        <v>0</v>
      </c>
      <c r="G170" s="905"/>
      <c r="H170" s="905"/>
      <c r="I170" s="905" t="s">
        <v>1</v>
      </c>
      <c r="J170" s="905"/>
      <c r="K170" s="905"/>
      <c r="L170" s="905"/>
      <c r="M170" s="905"/>
      <c r="N170" s="39"/>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9"/>
      <c r="GO170" s="39"/>
      <c r="GP170" s="39"/>
      <c r="GQ170" s="39"/>
      <c r="GR170" s="39"/>
      <c r="GS170" s="39"/>
      <c r="GT170" s="39"/>
      <c r="GU170" s="39"/>
      <c r="GV170" s="39"/>
      <c r="GW170" s="39"/>
      <c r="GX170" s="39"/>
      <c r="GY170" s="39"/>
      <c r="GZ170" s="39"/>
      <c r="HA170" s="39"/>
      <c r="HB170" s="39"/>
      <c r="HC170" s="39"/>
      <c r="HD170" s="39"/>
      <c r="HE170" s="39"/>
      <c r="HF170" s="39"/>
      <c r="HG170" s="39"/>
      <c r="HH170" s="39"/>
      <c r="HI170" s="39"/>
      <c r="HJ170" s="39"/>
      <c r="HK170" s="39"/>
      <c r="HL170" s="39"/>
      <c r="HM170" s="39"/>
      <c r="HN170" s="39"/>
      <c r="HO170" s="39"/>
      <c r="HP170" s="39"/>
      <c r="HQ170" s="39"/>
      <c r="HR170" s="39"/>
      <c r="HS170" s="39"/>
      <c r="HT170" s="39"/>
      <c r="HU170" s="39"/>
      <c r="HV170" s="39"/>
      <c r="HW170" s="40"/>
    </row>
    <row r="171" spans="2:231" x14ac:dyDescent="0.25">
      <c r="B171" s="939"/>
      <c r="C171" s="39"/>
      <c r="D171" s="936"/>
      <c r="E171" s="39"/>
      <c r="F171" s="902" t="s">
        <v>2</v>
      </c>
      <c r="G171" s="902"/>
      <c r="H171" s="902"/>
      <c r="I171" s="903" t="s">
        <v>138</v>
      </c>
      <c r="J171" s="903"/>
      <c r="K171" s="903"/>
      <c r="L171" s="903"/>
      <c r="M171" s="903"/>
      <c r="N171" s="39"/>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9"/>
      <c r="GO171" s="39"/>
      <c r="GP171" s="39"/>
      <c r="GQ171" s="39"/>
      <c r="GR171" s="39"/>
      <c r="GS171" s="39"/>
      <c r="GT171" s="39"/>
      <c r="GU171" s="39"/>
      <c r="GV171" s="39"/>
      <c r="GW171" s="39"/>
      <c r="GX171" s="39"/>
      <c r="GY171" s="39"/>
      <c r="GZ171" s="39"/>
      <c r="HA171" s="39"/>
      <c r="HB171" s="39"/>
      <c r="HC171" s="39"/>
      <c r="HD171" s="39"/>
      <c r="HE171" s="39"/>
      <c r="HF171" s="39"/>
      <c r="HG171" s="39"/>
      <c r="HH171" s="39"/>
      <c r="HI171" s="39"/>
      <c r="HJ171" s="39"/>
      <c r="HK171" s="39"/>
      <c r="HL171" s="39"/>
      <c r="HM171" s="39"/>
      <c r="HN171" s="39"/>
      <c r="HO171" s="39"/>
      <c r="HP171" s="39"/>
      <c r="HQ171" s="39"/>
      <c r="HR171" s="39"/>
      <c r="HS171" s="39"/>
      <c r="HT171" s="39"/>
      <c r="HU171" s="39"/>
      <c r="HV171" s="39"/>
      <c r="HW171" s="40"/>
    </row>
    <row r="172" spans="2:231" x14ac:dyDescent="0.25">
      <c r="B172" s="939"/>
      <c r="C172" s="39"/>
      <c r="D172" s="936"/>
      <c r="E172" s="39"/>
      <c r="F172" s="902"/>
      <c r="G172" s="902"/>
      <c r="H172" s="902"/>
      <c r="I172" s="903"/>
      <c r="J172" s="903"/>
      <c r="K172" s="903"/>
      <c r="L172" s="903"/>
      <c r="M172" s="903"/>
      <c r="N172" s="39"/>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9"/>
      <c r="GO172" s="39"/>
      <c r="GP172" s="39"/>
      <c r="GQ172" s="39"/>
      <c r="GR172" s="39"/>
      <c r="GS172" s="39"/>
      <c r="GT172" s="39"/>
      <c r="GU172" s="39"/>
      <c r="GV172" s="39"/>
      <c r="GW172" s="39"/>
      <c r="GX172" s="39"/>
      <c r="GY172" s="39"/>
      <c r="GZ172" s="39"/>
      <c r="HA172" s="39"/>
      <c r="HB172" s="39"/>
      <c r="HC172" s="39"/>
      <c r="HD172" s="39"/>
      <c r="HE172" s="39"/>
      <c r="HF172" s="39"/>
      <c r="HG172" s="39"/>
      <c r="HH172" s="39"/>
      <c r="HI172" s="39"/>
      <c r="HJ172" s="39"/>
      <c r="HK172" s="39"/>
      <c r="HL172" s="39"/>
      <c r="HM172" s="39"/>
      <c r="HN172" s="39"/>
      <c r="HO172" s="39"/>
      <c r="HP172" s="39"/>
      <c r="HQ172" s="39"/>
      <c r="HR172" s="39"/>
      <c r="HS172" s="39"/>
      <c r="HT172" s="39"/>
      <c r="HU172" s="39"/>
      <c r="HV172" s="39"/>
      <c r="HW172" s="40"/>
    </row>
    <row r="173" spans="2:231" x14ac:dyDescent="0.25">
      <c r="B173" s="939"/>
      <c r="C173" s="39"/>
      <c r="D173" s="936"/>
      <c r="E173" s="39"/>
      <c r="F173" s="902"/>
      <c r="G173" s="902"/>
      <c r="H173" s="902"/>
      <c r="I173" s="903"/>
      <c r="J173" s="903"/>
      <c r="K173" s="903"/>
      <c r="L173" s="903"/>
      <c r="M173" s="903"/>
      <c r="N173" s="39"/>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9"/>
      <c r="GO173" s="39"/>
      <c r="GP173" s="39"/>
      <c r="GQ173" s="39"/>
      <c r="GR173" s="39"/>
      <c r="GS173" s="39"/>
      <c r="GT173" s="39"/>
      <c r="GU173" s="39"/>
      <c r="GV173" s="39"/>
      <c r="GW173" s="39"/>
      <c r="GX173" s="39"/>
      <c r="GY173" s="39"/>
      <c r="GZ173" s="39"/>
      <c r="HA173" s="39"/>
      <c r="HB173" s="39"/>
      <c r="HC173" s="39"/>
      <c r="HD173" s="39"/>
      <c r="HE173" s="39"/>
      <c r="HF173" s="39"/>
      <c r="HG173" s="39"/>
      <c r="HH173" s="39"/>
      <c r="HI173" s="39"/>
      <c r="HJ173" s="39"/>
      <c r="HK173" s="39"/>
      <c r="HL173" s="39"/>
      <c r="HM173" s="39"/>
      <c r="HN173" s="39"/>
      <c r="HO173" s="39"/>
      <c r="HP173" s="39"/>
      <c r="HQ173" s="39"/>
      <c r="HR173" s="39"/>
      <c r="HS173" s="39"/>
      <c r="HT173" s="39"/>
      <c r="HU173" s="39"/>
      <c r="HV173" s="39"/>
      <c r="HW173" s="40"/>
    </row>
    <row r="174" spans="2:231" x14ac:dyDescent="0.25">
      <c r="B174" s="939"/>
      <c r="C174" s="39"/>
      <c r="D174" s="936"/>
      <c r="E174" s="39"/>
      <c r="F174" s="905" t="s">
        <v>0</v>
      </c>
      <c r="G174" s="905"/>
      <c r="H174" s="905"/>
      <c r="I174" s="905" t="s">
        <v>1</v>
      </c>
      <c r="J174" s="905"/>
      <c r="K174" s="905"/>
      <c r="L174" s="905"/>
      <c r="M174" s="905"/>
      <c r="N174" s="39"/>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9"/>
      <c r="GO174" s="39"/>
      <c r="GP174" s="39"/>
      <c r="GQ174" s="39"/>
      <c r="GR174" s="39"/>
      <c r="GS174" s="39"/>
      <c r="GT174" s="39"/>
      <c r="GU174" s="39"/>
      <c r="GV174" s="39"/>
      <c r="GW174" s="39"/>
      <c r="GX174" s="39"/>
      <c r="GY174" s="39"/>
      <c r="GZ174" s="39"/>
      <c r="HA174" s="39"/>
      <c r="HB174" s="39"/>
      <c r="HC174" s="39"/>
      <c r="HD174" s="39"/>
      <c r="HE174" s="39"/>
      <c r="HF174" s="39"/>
      <c r="HG174" s="39"/>
      <c r="HH174" s="39"/>
      <c r="HI174" s="39"/>
      <c r="HJ174" s="39"/>
      <c r="HK174" s="39"/>
      <c r="HL174" s="39"/>
      <c r="HM174" s="39"/>
      <c r="HN174" s="39"/>
      <c r="HO174" s="39"/>
      <c r="HP174" s="39"/>
      <c r="HQ174" s="39"/>
      <c r="HR174" s="39"/>
      <c r="HS174" s="39"/>
      <c r="HT174" s="39"/>
      <c r="HU174" s="39"/>
      <c r="HV174" s="39"/>
      <c r="HW174" s="40"/>
    </row>
    <row r="175" spans="2:231" x14ac:dyDescent="0.25">
      <c r="B175" s="939"/>
      <c r="C175" s="39"/>
      <c r="D175" s="936"/>
      <c r="E175" s="39"/>
      <c r="F175" s="902" t="s">
        <v>3</v>
      </c>
      <c r="G175" s="902"/>
      <c r="H175" s="902"/>
      <c r="I175" s="903" t="s">
        <v>166</v>
      </c>
      <c r="J175" s="903"/>
      <c r="K175" s="903"/>
      <c r="L175" s="903"/>
      <c r="M175" s="903"/>
      <c r="N175" s="39"/>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c r="GV175" s="39"/>
      <c r="GW175" s="39"/>
      <c r="GX175" s="39"/>
      <c r="GY175" s="39"/>
      <c r="GZ175" s="39"/>
      <c r="HA175" s="39"/>
      <c r="HB175" s="39"/>
      <c r="HC175" s="39"/>
      <c r="HD175" s="39"/>
      <c r="HE175" s="39"/>
      <c r="HF175" s="39"/>
      <c r="HG175" s="39"/>
      <c r="HH175" s="39"/>
      <c r="HI175" s="39"/>
      <c r="HJ175" s="39"/>
      <c r="HK175" s="39"/>
      <c r="HL175" s="39"/>
      <c r="HM175" s="39"/>
      <c r="HN175" s="39"/>
      <c r="HO175" s="39"/>
      <c r="HP175" s="39"/>
      <c r="HQ175" s="39"/>
      <c r="HR175" s="39"/>
      <c r="HS175" s="39"/>
      <c r="HT175" s="39"/>
      <c r="HU175" s="39"/>
      <c r="HV175" s="39"/>
      <c r="HW175" s="40"/>
    </row>
    <row r="176" spans="2:231" x14ac:dyDescent="0.25">
      <c r="B176" s="939"/>
      <c r="C176" s="39"/>
      <c r="D176" s="936"/>
      <c r="E176" s="39"/>
      <c r="F176" s="902"/>
      <c r="G176" s="902"/>
      <c r="H176" s="902"/>
      <c r="I176" s="903"/>
      <c r="J176" s="903"/>
      <c r="K176" s="903"/>
      <c r="L176" s="903"/>
      <c r="M176" s="903"/>
      <c r="N176" s="39"/>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c r="GV176" s="39"/>
      <c r="GW176" s="39"/>
      <c r="GX176" s="39"/>
      <c r="GY176" s="39"/>
      <c r="GZ176" s="39"/>
      <c r="HA176" s="39"/>
      <c r="HB176" s="39"/>
      <c r="HC176" s="39"/>
      <c r="HD176" s="39"/>
      <c r="HE176" s="39"/>
      <c r="HF176" s="39"/>
      <c r="HG176" s="39"/>
      <c r="HH176" s="39"/>
      <c r="HI176" s="39"/>
      <c r="HJ176" s="39"/>
      <c r="HK176" s="39"/>
      <c r="HL176" s="39"/>
      <c r="HM176" s="39"/>
      <c r="HN176" s="39"/>
      <c r="HO176" s="39"/>
      <c r="HP176" s="39"/>
      <c r="HQ176" s="39"/>
      <c r="HR176" s="39"/>
      <c r="HS176" s="39"/>
      <c r="HT176" s="39"/>
      <c r="HU176" s="39"/>
      <c r="HV176" s="39"/>
      <c r="HW176" s="40"/>
    </row>
    <row r="177" spans="2:231" x14ac:dyDescent="0.25">
      <c r="B177" s="939"/>
      <c r="C177" s="39"/>
      <c r="D177" s="936"/>
      <c r="E177" s="39"/>
      <c r="F177" s="902"/>
      <c r="G177" s="902"/>
      <c r="H177" s="902"/>
      <c r="I177" s="903"/>
      <c r="J177" s="903"/>
      <c r="K177" s="903"/>
      <c r="L177" s="903"/>
      <c r="M177" s="903"/>
      <c r="N177" s="39"/>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9"/>
      <c r="GO177" s="39"/>
      <c r="GP177" s="39"/>
      <c r="GQ177" s="39"/>
      <c r="GR177" s="39"/>
      <c r="GS177" s="39"/>
      <c r="GT177" s="39"/>
      <c r="GU177" s="39"/>
      <c r="GV177" s="39"/>
      <c r="GW177" s="39"/>
      <c r="GX177" s="39"/>
      <c r="GY177" s="39"/>
      <c r="GZ177" s="39"/>
      <c r="HA177" s="39"/>
      <c r="HB177" s="39"/>
      <c r="HC177" s="39"/>
      <c r="HD177" s="39"/>
      <c r="HE177" s="39"/>
      <c r="HF177" s="39"/>
      <c r="HG177" s="39"/>
      <c r="HH177" s="39"/>
      <c r="HI177" s="39"/>
      <c r="HJ177" s="39"/>
      <c r="HK177" s="39"/>
      <c r="HL177" s="39"/>
      <c r="HM177" s="39"/>
      <c r="HN177" s="39"/>
      <c r="HO177" s="39"/>
      <c r="HP177" s="39"/>
      <c r="HQ177" s="39"/>
      <c r="HR177" s="39"/>
      <c r="HS177" s="39"/>
      <c r="HT177" s="39"/>
      <c r="HU177" s="39"/>
      <c r="HV177" s="39"/>
      <c r="HW177" s="40"/>
    </row>
    <row r="178" spans="2:231" x14ac:dyDescent="0.25">
      <c r="B178" s="939"/>
      <c r="C178" s="39"/>
      <c r="D178" s="936"/>
      <c r="E178" s="39"/>
      <c r="F178" s="902" t="s">
        <v>4</v>
      </c>
      <c r="G178" s="902"/>
      <c r="H178" s="902"/>
      <c r="I178" s="903" t="s">
        <v>15</v>
      </c>
      <c r="J178" s="903"/>
      <c r="K178" s="903"/>
      <c r="L178" s="903"/>
      <c r="M178" s="903"/>
      <c r="N178" s="39"/>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9"/>
      <c r="GO178" s="39"/>
      <c r="GP178" s="39"/>
      <c r="GQ178" s="39"/>
      <c r="GR178" s="39"/>
      <c r="GS178" s="39"/>
      <c r="GT178" s="39"/>
      <c r="GU178" s="39"/>
      <c r="GV178" s="39"/>
      <c r="GW178" s="39"/>
      <c r="GX178" s="39"/>
      <c r="GY178" s="39"/>
      <c r="GZ178" s="39"/>
      <c r="HA178" s="39"/>
      <c r="HB178" s="39"/>
      <c r="HC178" s="39"/>
      <c r="HD178" s="39"/>
      <c r="HE178" s="39"/>
      <c r="HF178" s="39"/>
      <c r="HG178" s="39"/>
      <c r="HH178" s="39"/>
      <c r="HI178" s="39"/>
      <c r="HJ178" s="39"/>
      <c r="HK178" s="39"/>
      <c r="HL178" s="39"/>
      <c r="HM178" s="39"/>
      <c r="HN178" s="39"/>
      <c r="HO178" s="39"/>
      <c r="HP178" s="39"/>
      <c r="HQ178" s="39"/>
      <c r="HR178" s="39"/>
      <c r="HS178" s="39"/>
      <c r="HT178" s="39"/>
      <c r="HU178" s="39"/>
      <c r="HV178" s="39"/>
      <c r="HW178" s="40"/>
    </row>
    <row r="179" spans="2:231" x14ac:dyDescent="0.25">
      <c r="B179" s="939"/>
      <c r="C179" s="39"/>
      <c r="D179" s="936"/>
      <c r="E179" s="39"/>
      <c r="F179" s="902"/>
      <c r="G179" s="902"/>
      <c r="H179" s="902"/>
      <c r="I179" s="903"/>
      <c r="J179" s="903"/>
      <c r="K179" s="903"/>
      <c r="L179" s="903"/>
      <c r="M179" s="903"/>
      <c r="N179" s="39"/>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9"/>
      <c r="GO179" s="39"/>
      <c r="GP179" s="39"/>
      <c r="GQ179" s="39"/>
      <c r="GR179" s="39"/>
      <c r="GS179" s="39"/>
      <c r="GT179" s="39"/>
      <c r="GU179" s="39"/>
      <c r="GV179" s="39"/>
      <c r="GW179" s="39"/>
      <c r="GX179" s="39"/>
      <c r="GY179" s="39"/>
      <c r="GZ179" s="39"/>
      <c r="HA179" s="39"/>
      <c r="HB179" s="39"/>
      <c r="HC179" s="39"/>
      <c r="HD179" s="39"/>
      <c r="HE179" s="39"/>
      <c r="HF179" s="39"/>
      <c r="HG179" s="39"/>
      <c r="HH179" s="39"/>
      <c r="HI179" s="39"/>
      <c r="HJ179" s="39"/>
      <c r="HK179" s="39"/>
      <c r="HL179" s="39"/>
      <c r="HM179" s="39"/>
      <c r="HN179" s="39"/>
      <c r="HO179" s="39"/>
      <c r="HP179" s="39"/>
      <c r="HQ179" s="39"/>
      <c r="HR179" s="39"/>
      <c r="HS179" s="39"/>
      <c r="HT179" s="39"/>
      <c r="HU179" s="39"/>
      <c r="HV179" s="39"/>
      <c r="HW179" s="40"/>
    </row>
    <row r="180" spans="2:231" x14ac:dyDescent="0.25">
      <c r="B180" s="939"/>
      <c r="C180" s="39"/>
      <c r="D180" s="936"/>
      <c r="E180" s="39"/>
      <c r="F180" s="902"/>
      <c r="G180" s="902"/>
      <c r="H180" s="902"/>
      <c r="I180" s="903"/>
      <c r="J180" s="903"/>
      <c r="K180" s="903"/>
      <c r="L180" s="903"/>
      <c r="M180" s="903"/>
      <c r="N180" s="39"/>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40"/>
    </row>
    <row r="181" spans="2:231" x14ac:dyDescent="0.25">
      <c r="B181" s="939"/>
      <c r="C181" s="39"/>
      <c r="D181" s="936"/>
      <c r="E181" s="39"/>
      <c r="F181" s="902" t="s">
        <v>5</v>
      </c>
      <c r="G181" s="902"/>
      <c r="H181" s="902"/>
      <c r="I181" s="903" t="s">
        <v>167</v>
      </c>
      <c r="J181" s="903"/>
      <c r="K181" s="903"/>
      <c r="L181" s="903"/>
      <c r="M181" s="903"/>
      <c r="N181" s="39"/>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9"/>
      <c r="GO181" s="39"/>
      <c r="GP181" s="39"/>
      <c r="GQ181" s="39"/>
      <c r="GR181" s="39"/>
      <c r="GS181" s="39"/>
      <c r="GT181" s="39"/>
      <c r="GU181" s="39"/>
      <c r="GV181" s="39"/>
      <c r="GW181" s="39"/>
      <c r="GX181" s="39"/>
      <c r="GY181" s="39"/>
      <c r="GZ181" s="39"/>
      <c r="HA181" s="39"/>
      <c r="HB181" s="39"/>
      <c r="HC181" s="39"/>
      <c r="HD181" s="39"/>
      <c r="HE181" s="39"/>
      <c r="HF181" s="39"/>
      <c r="HG181" s="39"/>
      <c r="HH181" s="39"/>
      <c r="HI181" s="39"/>
      <c r="HJ181" s="39"/>
      <c r="HK181" s="39"/>
      <c r="HL181" s="39"/>
      <c r="HM181" s="39"/>
      <c r="HN181" s="39"/>
      <c r="HO181" s="39"/>
      <c r="HP181" s="39"/>
      <c r="HQ181" s="39"/>
      <c r="HR181" s="39"/>
      <c r="HS181" s="39"/>
      <c r="HT181" s="39"/>
      <c r="HU181" s="39"/>
      <c r="HV181" s="39"/>
      <c r="HW181" s="40"/>
    </row>
    <row r="182" spans="2:231" x14ac:dyDescent="0.25">
      <c r="B182" s="939"/>
      <c r="C182" s="39"/>
      <c r="D182" s="936"/>
      <c r="E182" s="39"/>
      <c r="F182" s="902"/>
      <c r="G182" s="902"/>
      <c r="H182" s="902"/>
      <c r="I182" s="903"/>
      <c r="J182" s="903"/>
      <c r="K182" s="903"/>
      <c r="L182" s="903"/>
      <c r="M182" s="903"/>
      <c r="N182" s="39"/>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9"/>
      <c r="GO182" s="39"/>
      <c r="GP182" s="39"/>
      <c r="GQ182" s="39"/>
      <c r="GR182" s="39"/>
      <c r="GS182" s="39"/>
      <c r="GT182" s="39"/>
      <c r="GU182" s="39"/>
      <c r="GV182" s="39"/>
      <c r="GW182" s="39"/>
      <c r="GX182" s="39"/>
      <c r="GY182" s="39"/>
      <c r="GZ182" s="39"/>
      <c r="HA182" s="39"/>
      <c r="HB182" s="39"/>
      <c r="HC182" s="39"/>
      <c r="HD182" s="39"/>
      <c r="HE182" s="39"/>
      <c r="HF182" s="39"/>
      <c r="HG182" s="39"/>
      <c r="HH182" s="39"/>
      <c r="HI182" s="39"/>
      <c r="HJ182" s="39"/>
      <c r="HK182" s="39"/>
      <c r="HL182" s="39"/>
      <c r="HM182" s="39"/>
      <c r="HN182" s="39"/>
      <c r="HO182" s="39"/>
      <c r="HP182" s="39"/>
      <c r="HQ182" s="39"/>
      <c r="HR182" s="39"/>
      <c r="HS182" s="39"/>
      <c r="HT182" s="39"/>
      <c r="HU182" s="39"/>
      <c r="HV182" s="39"/>
      <c r="HW182" s="40"/>
    </row>
    <row r="183" spans="2:231" x14ac:dyDescent="0.25">
      <c r="B183" s="939"/>
      <c r="C183" s="39"/>
      <c r="D183" s="936"/>
      <c r="E183" s="39"/>
      <c r="F183" s="902"/>
      <c r="G183" s="902"/>
      <c r="H183" s="902"/>
      <c r="I183" s="903"/>
      <c r="J183" s="903"/>
      <c r="K183" s="903"/>
      <c r="L183" s="903"/>
      <c r="M183" s="903"/>
      <c r="N183" s="39"/>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9"/>
      <c r="GO183" s="39"/>
      <c r="GP183" s="39"/>
      <c r="GQ183" s="39"/>
      <c r="GR183" s="39"/>
      <c r="GS183" s="39"/>
      <c r="GT183" s="39"/>
      <c r="GU183" s="39"/>
      <c r="GV183" s="39"/>
      <c r="GW183" s="39"/>
      <c r="GX183" s="39"/>
      <c r="GY183" s="39"/>
      <c r="GZ183" s="39"/>
      <c r="HA183" s="39"/>
      <c r="HB183" s="39"/>
      <c r="HC183" s="39"/>
      <c r="HD183" s="39"/>
      <c r="HE183" s="39"/>
      <c r="HF183" s="39"/>
      <c r="HG183" s="39"/>
      <c r="HH183" s="39"/>
      <c r="HI183" s="39"/>
      <c r="HJ183" s="39"/>
      <c r="HK183" s="39"/>
      <c r="HL183" s="39"/>
      <c r="HM183" s="39"/>
      <c r="HN183" s="39"/>
      <c r="HO183" s="39"/>
      <c r="HP183" s="39"/>
      <c r="HQ183" s="39"/>
      <c r="HR183" s="39"/>
      <c r="HS183" s="39"/>
      <c r="HT183" s="39"/>
      <c r="HU183" s="39"/>
      <c r="HV183" s="39"/>
      <c r="HW183" s="40"/>
    </row>
    <row r="184" spans="2:231" x14ac:dyDescent="0.25">
      <c r="B184" s="939"/>
      <c r="C184" s="39"/>
      <c r="D184" s="936"/>
      <c r="E184" s="39"/>
      <c r="F184" s="902" t="s">
        <v>6</v>
      </c>
      <c r="G184" s="902"/>
      <c r="H184" s="902"/>
      <c r="I184" s="903" t="s">
        <v>9</v>
      </c>
      <c r="J184" s="903"/>
      <c r="K184" s="903"/>
      <c r="L184" s="903"/>
      <c r="M184" s="903"/>
      <c r="N184" s="39"/>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9"/>
      <c r="GO184" s="39"/>
      <c r="GP184" s="39"/>
      <c r="GQ184" s="39"/>
      <c r="GR184" s="39"/>
      <c r="GS184" s="39"/>
      <c r="GT184" s="39"/>
      <c r="GU184" s="39"/>
      <c r="GV184" s="39"/>
      <c r="GW184" s="39"/>
      <c r="GX184" s="39"/>
      <c r="GY184" s="39"/>
      <c r="GZ184" s="39"/>
      <c r="HA184" s="39"/>
      <c r="HB184" s="39"/>
      <c r="HC184" s="39"/>
      <c r="HD184" s="39"/>
      <c r="HE184" s="39"/>
      <c r="HF184" s="39"/>
      <c r="HG184" s="39"/>
      <c r="HH184" s="39"/>
      <c r="HI184" s="39"/>
      <c r="HJ184" s="39"/>
      <c r="HK184" s="39"/>
      <c r="HL184" s="39"/>
      <c r="HM184" s="39"/>
      <c r="HN184" s="39"/>
      <c r="HO184" s="39"/>
      <c r="HP184" s="39"/>
      <c r="HQ184" s="39"/>
      <c r="HR184" s="39"/>
      <c r="HS184" s="39"/>
      <c r="HT184" s="39"/>
      <c r="HU184" s="39"/>
      <c r="HV184" s="39"/>
      <c r="HW184" s="40"/>
    </row>
    <row r="185" spans="2:231" x14ac:dyDescent="0.25">
      <c r="B185" s="939"/>
      <c r="C185" s="39"/>
      <c r="D185" s="936"/>
      <c r="E185" s="39"/>
      <c r="F185" s="902"/>
      <c r="G185" s="902"/>
      <c r="H185" s="902"/>
      <c r="I185" s="903"/>
      <c r="J185" s="903"/>
      <c r="K185" s="903"/>
      <c r="L185" s="903"/>
      <c r="M185" s="903"/>
      <c r="N185" s="39"/>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c r="GV185" s="39"/>
      <c r="GW185" s="39"/>
      <c r="GX185" s="39"/>
      <c r="GY185" s="39"/>
      <c r="GZ185" s="39"/>
      <c r="HA185" s="39"/>
      <c r="HB185" s="39"/>
      <c r="HC185" s="39"/>
      <c r="HD185" s="39"/>
      <c r="HE185" s="39"/>
      <c r="HF185" s="39"/>
      <c r="HG185" s="39"/>
      <c r="HH185" s="39"/>
      <c r="HI185" s="39"/>
      <c r="HJ185" s="39"/>
      <c r="HK185" s="39"/>
      <c r="HL185" s="39"/>
      <c r="HM185" s="39"/>
      <c r="HN185" s="39"/>
      <c r="HO185" s="39"/>
      <c r="HP185" s="39"/>
      <c r="HQ185" s="39"/>
      <c r="HR185" s="39"/>
      <c r="HS185" s="39"/>
      <c r="HT185" s="39"/>
      <c r="HU185" s="39"/>
      <c r="HV185" s="39"/>
      <c r="HW185" s="40"/>
    </row>
    <row r="186" spans="2:231" x14ac:dyDescent="0.25">
      <c r="B186" s="939"/>
      <c r="C186" s="39"/>
      <c r="D186" s="936"/>
      <c r="E186" s="39"/>
      <c r="F186" s="902"/>
      <c r="G186" s="902"/>
      <c r="H186" s="902"/>
      <c r="I186" s="903"/>
      <c r="J186" s="903"/>
      <c r="K186" s="903"/>
      <c r="L186" s="903"/>
      <c r="M186" s="903"/>
      <c r="N186" s="39"/>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9"/>
      <c r="GO186" s="39"/>
      <c r="GP186" s="39"/>
      <c r="GQ186" s="39"/>
      <c r="GR186" s="39"/>
      <c r="GS186" s="39"/>
      <c r="GT186" s="39"/>
      <c r="GU186" s="39"/>
      <c r="GV186" s="39"/>
      <c r="GW186" s="39"/>
      <c r="GX186" s="39"/>
      <c r="GY186" s="39"/>
      <c r="GZ186" s="39"/>
      <c r="HA186" s="39"/>
      <c r="HB186" s="39"/>
      <c r="HC186" s="39"/>
      <c r="HD186" s="39"/>
      <c r="HE186" s="39"/>
      <c r="HF186" s="39"/>
      <c r="HG186" s="39"/>
      <c r="HH186" s="39"/>
      <c r="HI186" s="39"/>
      <c r="HJ186" s="39"/>
      <c r="HK186" s="39"/>
      <c r="HL186" s="39"/>
      <c r="HM186" s="39"/>
      <c r="HN186" s="39"/>
      <c r="HO186" s="39"/>
      <c r="HP186" s="39"/>
      <c r="HQ186" s="39"/>
      <c r="HR186" s="39"/>
      <c r="HS186" s="39"/>
      <c r="HT186" s="39"/>
      <c r="HU186" s="39"/>
      <c r="HV186" s="39"/>
      <c r="HW186" s="40"/>
    </row>
    <row r="187" spans="2:231" x14ac:dyDescent="0.25">
      <c r="B187" s="939"/>
      <c r="C187" s="39"/>
      <c r="D187" s="936"/>
      <c r="E187" s="39"/>
      <c r="F187" s="902" t="s">
        <v>7</v>
      </c>
      <c r="G187" s="902"/>
      <c r="H187" s="902"/>
      <c r="I187" s="903" t="s">
        <v>320</v>
      </c>
      <c r="J187" s="903"/>
      <c r="K187" s="903"/>
      <c r="L187" s="903"/>
      <c r="M187" s="903"/>
      <c r="N187" s="39"/>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c r="GV187" s="39"/>
      <c r="GW187" s="39"/>
      <c r="GX187" s="39"/>
      <c r="GY187" s="39"/>
      <c r="GZ187" s="39"/>
      <c r="HA187" s="39"/>
      <c r="HB187" s="39"/>
      <c r="HC187" s="39"/>
      <c r="HD187" s="39"/>
      <c r="HE187" s="39"/>
      <c r="HF187" s="39"/>
      <c r="HG187" s="39"/>
      <c r="HH187" s="39"/>
      <c r="HI187" s="39"/>
      <c r="HJ187" s="39"/>
      <c r="HK187" s="39"/>
      <c r="HL187" s="39"/>
      <c r="HM187" s="39"/>
      <c r="HN187" s="39"/>
      <c r="HO187" s="39"/>
      <c r="HP187" s="39"/>
      <c r="HQ187" s="39"/>
      <c r="HR187" s="39"/>
      <c r="HS187" s="39"/>
      <c r="HT187" s="39"/>
      <c r="HU187" s="39"/>
      <c r="HV187" s="39"/>
      <c r="HW187" s="40"/>
    </row>
    <row r="188" spans="2:231" x14ac:dyDescent="0.25">
      <c r="B188" s="939"/>
      <c r="C188" s="39"/>
      <c r="D188" s="936"/>
      <c r="E188" s="39"/>
      <c r="F188" s="902"/>
      <c r="G188" s="902"/>
      <c r="H188" s="902"/>
      <c r="I188" s="903"/>
      <c r="J188" s="903"/>
      <c r="K188" s="903"/>
      <c r="L188" s="903"/>
      <c r="M188" s="903"/>
      <c r="N188" s="39"/>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9"/>
      <c r="GO188" s="39"/>
      <c r="GP188" s="39"/>
      <c r="GQ188" s="39"/>
      <c r="GR188" s="39"/>
      <c r="GS188" s="39"/>
      <c r="GT188" s="39"/>
      <c r="GU188" s="39"/>
      <c r="GV188" s="39"/>
      <c r="GW188" s="39"/>
      <c r="GX188" s="39"/>
      <c r="GY188" s="39"/>
      <c r="GZ188" s="39"/>
      <c r="HA188" s="39"/>
      <c r="HB188" s="39"/>
      <c r="HC188" s="39"/>
      <c r="HD188" s="39"/>
      <c r="HE188" s="39"/>
      <c r="HF188" s="39"/>
      <c r="HG188" s="39"/>
      <c r="HH188" s="39"/>
      <c r="HI188" s="39"/>
      <c r="HJ188" s="39"/>
      <c r="HK188" s="39"/>
      <c r="HL188" s="39"/>
      <c r="HM188" s="39"/>
      <c r="HN188" s="39"/>
      <c r="HO188" s="39"/>
      <c r="HP188" s="39"/>
      <c r="HQ188" s="39"/>
      <c r="HR188" s="39"/>
      <c r="HS188" s="39"/>
      <c r="HT188" s="39"/>
      <c r="HU188" s="39"/>
      <c r="HV188" s="39"/>
      <c r="HW188" s="40"/>
    </row>
    <row r="189" spans="2:231" ht="16.5" thickBot="1" x14ac:dyDescent="0.3">
      <c r="B189" s="939"/>
      <c r="C189" s="39"/>
      <c r="D189" s="937"/>
      <c r="E189" s="39"/>
      <c r="F189" s="902"/>
      <c r="G189" s="902"/>
      <c r="H189" s="902"/>
      <c r="I189" s="903"/>
      <c r="J189" s="903"/>
      <c r="K189" s="903"/>
      <c r="L189" s="903"/>
      <c r="M189" s="903"/>
      <c r="N189" s="39"/>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9"/>
      <c r="GO189" s="39"/>
      <c r="GP189" s="39"/>
      <c r="GQ189" s="39"/>
      <c r="GR189" s="39"/>
      <c r="GS189" s="39"/>
      <c r="GT189" s="39"/>
      <c r="GU189" s="39"/>
      <c r="GV189" s="39"/>
      <c r="GW189" s="39"/>
      <c r="GX189" s="39"/>
      <c r="GY189" s="39"/>
      <c r="GZ189" s="39"/>
      <c r="HA189" s="39"/>
      <c r="HB189" s="39"/>
      <c r="HC189" s="39"/>
      <c r="HD189" s="39"/>
      <c r="HE189" s="39"/>
      <c r="HF189" s="39"/>
      <c r="HG189" s="39"/>
      <c r="HH189" s="39"/>
      <c r="HI189" s="39"/>
      <c r="HJ189" s="39"/>
      <c r="HK189" s="39"/>
      <c r="HL189" s="39"/>
      <c r="HM189" s="39"/>
      <c r="HN189" s="39"/>
      <c r="HO189" s="39"/>
      <c r="HP189" s="39"/>
      <c r="HQ189" s="39"/>
      <c r="HR189" s="39"/>
      <c r="HS189" s="39"/>
      <c r="HT189" s="39"/>
      <c r="HU189" s="39"/>
      <c r="HV189" s="39"/>
      <c r="HW189" s="40"/>
    </row>
    <row r="190" spans="2:231" x14ac:dyDescent="0.25">
      <c r="B190" s="939"/>
      <c r="C190" s="39"/>
      <c r="D190" s="39"/>
      <c r="E190" s="39"/>
      <c r="F190" s="39" t="s">
        <v>168</v>
      </c>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9"/>
      <c r="GO190" s="39"/>
      <c r="GP190" s="39"/>
      <c r="GQ190" s="39"/>
      <c r="GR190" s="39"/>
      <c r="GS190" s="39"/>
      <c r="GT190" s="39"/>
      <c r="GU190" s="39"/>
      <c r="GV190" s="39"/>
      <c r="GW190" s="39"/>
      <c r="GX190" s="39"/>
      <c r="GY190" s="39"/>
      <c r="GZ190" s="39"/>
      <c r="HA190" s="39"/>
      <c r="HB190" s="39"/>
      <c r="HC190" s="39"/>
      <c r="HD190" s="39"/>
      <c r="HE190" s="39"/>
      <c r="HF190" s="39"/>
      <c r="HG190" s="39"/>
      <c r="HH190" s="39"/>
      <c r="HI190" s="39"/>
      <c r="HJ190" s="39"/>
      <c r="HK190" s="39"/>
      <c r="HL190" s="39"/>
      <c r="HM190" s="39"/>
      <c r="HN190" s="39"/>
      <c r="HO190" s="39"/>
      <c r="HP190" s="39"/>
      <c r="HQ190" s="39"/>
      <c r="HR190" s="39"/>
      <c r="HS190" s="39"/>
      <c r="HT190" s="39"/>
      <c r="HU190" s="39"/>
      <c r="HV190" s="39"/>
      <c r="HW190" s="40"/>
    </row>
    <row r="191" spans="2:231" x14ac:dyDescent="0.25">
      <c r="B191" s="9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9"/>
      <c r="GO191" s="39"/>
      <c r="GP191" s="39"/>
      <c r="GQ191" s="39"/>
      <c r="GR191" s="39"/>
      <c r="GS191" s="39"/>
      <c r="GT191" s="39"/>
      <c r="GU191" s="39"/>
      <c r="GV191" s="39"/>
      <c r="GW191" s="39"/>
      <c r="GX191" s="39"/>
      <c r="GY191" s="39"/>
      <c r="GZ191" s="39"/>
      <c r="HA191" s="39"/>
      <c r="HB191" s="39"/>
      <c r="HC191" s="39"/>
      <c r="HD191" s="39"/>
      <c r="HE191" s="39"/>
      <c r="HF191" s="39"/>
      <c r="HG191" s="39"/>
      <c r="HH191" s="39"/>
      <c r="HI191" s="39"/>
      <c r="HJ191" s="39"/>
      <c r="HK191" s="39"/>
      <c r="HL191" s="39"/>
      <c r="HM191" s="39"/>
      <c r="HN191" s="39"/>
      <c r="HO191" s="39"/>
      <c r="HP191" s="39"/>
      <c r="HQ191" s="39"/>
      <c r="HR191" s="39"/>
      <c r="HS191" s="39"/>
      <c r="HT191" s="39"/>
      <c r="HU191" s="39"/>
      <c r="HV191" s="39"/>
      <c r="HW191" s="40"/>
    </row>
    <row r="192" spans="2:231" ht="16.5" thickBot="1" x14ac:dyDescent="0.3">
      <c r="B192" s="940"/>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3"/>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2"/>
      <c r="GT192" s="42"/>
      <c r="GU192" s="42"/>
      <c r="GV192" s="42"/>
      <c r="GW192" s="42"/>
      <c r="GX192" s="42"/>
      <c r="GY192" s="42"/>
      <c r="GZ192" s="42"/>
      <c r="HA192" s="42"/>
      <c r="HB192" s="42"/>
      <c r="HC192" s="42"/>
      <c r="HD192" s="42"/>
      <c r="HE192" s="42"/>
      <c r="HF192" s="42"/>
      <c r="HG192" s="42"/>
      <c r="HH192" s="42"/>
      <c r="HI192" s="42"/>
      <c r="HJ192" s="42"/>
      <c r="HK192" s="42"/>
      <c r="HL192" s="42"/>
      <c r="HM192" s="42"/>
      <c r="HN192" s="42"/>
      <c r="HO192" s="42"/>
      <c r="HP192" s="42"/>
      <c r="HQ192" s="42"/>
      <c r="HR192" s="42"/>
      <c r="HS192" s="42"/>
      <c r="HT192" s="42"/>
      <c r="HU192" s="42"/>
      <c r="HV192" s="42"/>
      <c r="HW192" s="44"/>
    </row>
    <row r="193" spans="2:214" x14ac:dyDescent="0.25">
      <c r="BY193" s="31"/>
    </row>
    <row r="194" spans="2:214" x14ac:dyDescent="0.25">
      <c r="BY194" s="31"/>
    </row>
    <row r="195" spans="2:214" ht="16.5" thickBot="1" x14ac:dyDescent="0.3">
      <c r="BY195" s="31"/>
    </row>
    <row r="196" spans="2:214" x14ac:dyDescent="0.25">
      <c r="B196" s="907" t="s">
        <v>1349</v>
      </c>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c r="BO196" s="45"/>
      <c r="BP196" s="45"/>
      <c r="BQ196" s="45"/>
      <c r="BR196" s="45"/>
      <c r="BS196" s="45"/>
      <c r="BT196" s="45"/>
      <c r="BU196" s="45"/>
      <c r="BV196" s="45"/>
      <c r="BW196" s="45"/>
      <c r="BX196" s="45"/>
      <c r="BY196" s="46"/>
      <c r="BZ196" s="45"/>
      <c r="CA196" s="45"/>
      <c r="CB196" s="45"/>
      <c r="CC196" s="45"/>
      <c r="CD196" s="45"/>
      <c r="CE196" s="45"/>
      <c r="CF196" s="45"/>
      <c r="CG196" s="45"/>
      <c r="CH196" s="45"/>
      <c r="CI196" s="45"/>
      <c r="CJ196" s="45"/>
      <c r="CK196" s="45"/>
      <c r="CL196" s="45"/>
      <c r="CM196" s="45"/>
      <c r="CN196" s="45"/>
      <c r="CO196" s="45"/>
      <c r="CP196" s="45"/>
      <c r="CQ196" s="47"/>
    </row>
    <row r="197" spans="2:214" x14ac:dyDescent="0.25">
      <c r="B197" s="90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9"/>
    </row>
    <row r="198" spans="2:214" ht="16.5" thickBot="1" x14ac:dyDescent="0.3">
      <c r="B198" s="90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9"/>
      <c r="DS198" s="29" t="s">
        <v>48</v>
      </c>
    </row>
    <row r="199" spans="2:214" ht="15.75" customHeight="1" x14ac:dyDescent="0.25">
      <c r="B199" s="908"/>
      <c r="C199" s="48"/>
      <c r="D199" s="907" t="s">
        <v>169</v>
      </c>
      <c r="E199" s="48"/>
      <c r="F199" s="910" t="s">
        <v>8</v>
      </c>
      <c r="G199" s="910"/>
      <c r="H199" s="910"/>
      <c r="I199" s="910"/>
      <c r="J199" s="910"/>
      <c r="K199" s="910"/>
      <c r="L199" s="910"/>
      <c r="M199" s="910"/>
      <c r="N199" s="48"/>
      <c r="O199" s="910" t="s">
        <v>8</v>
      </c>
      <c r="P199" s="910"/>
      <c r="Q199" s="910"/>
      <c r="R199" s="910"/>
      <c r="S199" s="910"/>
      <c r="T199" s="910"/>
      <c r="U199" s="910"/>
      <c r="V199" s="910"/>
      <c r="W199" s="48"/>
      <c r="X199" s="910" t="s">
        <v>8</v>
      </c>
      <c r="Y199" s="910"/>
      <c r="Z199" s="910"/>
      <c r="AA199" s="910"/>
      <c r="AB199" s="910"/>
      <c r="AC199" s="910"/>
      <c r="AD199" s="910"/>
      <c r="AE199" s="910"/>
      <c r="AF199" s="48"/>
      <c r="AG199" s="910" t="s">
        <v>8</v>
      </c>
      <c r="AH199" s="910"/>
      <c r="AI199" s="910"/>
      <c r="AJ199" s="910"/>
      <c r="AK199" s="910"/>
      <c r="AL199" s="910"/>
      <c r="AM199" s="910"/>
      <c r="AN199" s="910"/>
      <c r="AO199" s="48"/>
      <c r="AP199" s="910" t="s">
        <v>8</v>
      </c>
      <c r="AQ199" s="910"/>
      <c r="AR199" s="910"/>
      <c r="AS199" s="910"/>
      <c r="AT199" s="910"/>
      <c r="AU199" s="910"/>
      <c r="AV199" s="910"/>
      <c r="AW199" s="910"/>
      <c r="AX199" s="48"/>
      <c r="AY199" s="910" t="s">
        <v>8</v>
      </c>
      <c r="AZ199" s="910"/>
      <c r="BA199" s="910"/>
      <c r="BB199" s="910"/>
      <c r="BC199" s="910"/>
      <c r="BD199" s="910"/>
      <c r="BE199" s="910"/>
      <c r="BF199" s="910"/>
      <c r="BG199" s="48"/>
      <c r="BH199" s="910" t="s">
        <v>8</v>
      </c>
      <c r="BI199" s="910"/>
      <c r="BJ199" s="910"/>
      <c r="BK199" s="910"/>
      <c r="BL199" s="910"/>
      <c r="BM199" s="910"/>
      <c r="BN199" s="910"/>
      <c r="BO199" s="910"/>
      <c r="BP199" s="48"/>
      <c r="BQ199" s="910" t="s">
        <v>8</v>
      </c>
      <c r="BR199" s="910"/>
      <c r="BS199" s="910"/>
      <c r="BT199" s="910"/>
      <c r="BU199" s="910"/>
      <c r="BV199" s="910"/>
      <c r="BW199" s="910"/>
      <c r="BX199" s="910"/>
      <c r="BY199" s="48"/>
      <c r="BZ199" s="910" t="s">
        <v>8</v>
      </c>
      <c r="CA199" s="910"/>
      <c r="CB199" s="910"/>
      <c r="CC199" s="910"/>
      <c r="CD199" s="910"/>
      <c r="CE199" s="910"/>
      <c r="CF199" s="910"/>
      <c r="CG199" s="910"/>
      <c r="CH199" s="50"/>
      <c r="CI199" s="910" t="s">
        <v>8</v>
      </c>
      <c r="CJ199" s="910"/>
      <c r="CK199" s="910"/>
      <c r="CL199" s="910"/>
      <c r="CM199" s="910"/>
      <c r="CN199" s="910"/>
      <c r="CO199" s="910"/>
      <c r="CP199" s="910"/>
      <c r="CQ199" s="5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2"/>
      <c r="HF199" s="32"/>
    </row>
    <row r="200" spans="2:214" x14ac:dyDescent="0.25">
      <c r="B200" s="908"/>
      <c r="C200" s="48"/>
      <c r="D200" s="908"/>
      <c r="E200" s="48"/>
      <c r="F200" s="895" t="s">
        <v>0</v>
      </c>
      <c r="G200" s="895"/>
      <c r="H200" s="895"/>
      <c r="I200" s="895" t="s">
        <v>1</v>
      </c>
      <c r="J200" s="895"/>
      <c r="K200" s="895"/>
      <c r="L200" s="895"/>
      <c r="M200" s="895"/>
      <c r="N200" s="48"/>
      <c r="O200" s="895" t="s">
        <v>0</v>
      </c>
      <c r="P200" s="895"/>
      <c r="Q200" s="895"/>
      <c r="R200" s="895" t="s">
        <v>1</v>
      </c>
      <c r="S200" s="895"/>
      <c r="T200" s="895"/>
      <c r="U200" s="895"/>
      <c r="V200" s="895"/>
      <c r="W200" s="48"/>
      <c r="X200" s="895" t="s">
        <v>0</v>
      </c>
      <c r="Y200" s="895"/>
      <c r="Z200" s="895"/>
      <c r="AA200" s="895" t="s">
        <v>1</v>
      </c>
      <c r="AB200" s="895"/>
      <c r="AC200" s="895"/>
      <c r="AD200" s="895"/>
      <c r="AE200" s="895"/>
      <c r="AF200" s="48"/>
      <c r="AG200" s="895" t="s">
        <v>0</v>
      </c>
      <c r="AH200" s="895"/>
      <c r="AI200" s="895"/>
      <c r="AJ200" s="895" t="s">
        <v>1</v>
      </c>
      <c r="AK200" s="895"/>
      <c r="AL200" s="895"/>
      <c r="AM200" s="895"/>
      <c r="AN200" s="895"/>
      <c r="AO200" s="48"/>
      <c r="AP200" s="895" t="s">
        <v>0</v>
      </c>
      <c r="AQ200" s="895"/>
      <c r="AR200" s="895"/>
      <c r="AS200" s="895" t="s">
        <v>1</v>
      </c>
      <c r="AT200" s="895"/>
      <c r="AU200" s="895"/>
      <c r="AV200" s="895"/>
      <c r="AW200" s="895"/>
      <c r="AX200" s="48"/>
      <c r="AY200" s="895" t="s">
        <v>0</v>
      </c>
      <c r="AZ200" s="895"/>
      <c r="BA200" s="895"/>
      <c r="BB200" s="895" t="s">
        <v>1</v>
      </c>
      <c r="BC200" s="895"/>
      <c r="BD200" s="895"/>
      <c r="BE200" s="895"/>
      <c r="BF200" s="895"/>
      <c r="BG200" s="48"/>
      <c r="BH200" s="895" t="s">
        <v>0</v>
      </c>
      <c r="BI200" s="895"/>
      <c r="BJ200" s="895"/>
      <c r="BK200" s="895" t="s">
        <v>1</v>
      </c>
      <c r="BL200" s="895"/>
      <c r="BM200" s="895"/>
      <c r="BN200" s="895"/>
      <c r="BO200" s="895"/>
      <c r="BP200" s="48"/>
      <c r="BQ200" s="895" t="s">
        <v>0</v>
      </c>
      <c r="BR200" s="895"/>
      <c r="BS200" s="895"/>
      <c r="BT200" s="895" t="s">
        <v>1</v>
      </c>
      <c r="BU200" s="895"/>
      <c r="BV200" s="895"/>
      <c r="BW200" s="895"/>
      <c r="BX200" s="895"/>
      <c r="BY200" s="48"/>
      <c r="BZ200" s="895" t="s">
        <v>0</v>
      </c>
      <c r="CA200" s="895"/>
      <c r="CB200" s="895"/>
      <c r="CC200" s="895" t="s">
        <v>1</v>
      </c>
      <c r="CD200" s="895"/>
      <c r="CE200" s="895"/>
      <c r="CF200" s="895"/>
      <c r="CG200" s="895"/>
      <c r="CH200" s="50"/>
      <c r="CI200" s="895" t="s">
        <v>0</v>
      </c>
      <c r="CJ200" s="895"/>
      <c r="CK200" s="895"/>
      <c r="CL200" s="895" t="s">
        <v>1</v>
      </c>
      <c r="CM200" s="895"/>
      <c r="CN200" s="895"/>
      <c r="CO200" s="895"/>
      <c r="CP200" s="895"/>
      <c r="CQ200" s="5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2"/>
      <c r="HF200" s="32"/>
    </row>
    <row r="201" spans="2:214" x14ac:dyDescent="0.25">
      <c r="B201" s="908"/>
      <c r="C201" s="48"/>
      <c r="D201" s="908"/>
      <c r="E201" s="48"/>
      <c r="F201" s="896" t="s">
        <v>2</v>
      </c>
      <c r="G201" s="896"/>
      <c r="H201" s="896"/>
      <c r="I201" s="898" t="s">
        <v>321</v>
      </c>
      <c r="J201" s="898"/>
      <c r="K201" s="898"/>
      <c r="L201" s="898"/>
      <c r="M201" s="898"/>
      <c r="N201" s="48"/>
      <c r="O201" s="896" t="s">
        <v>2</v>
      </c>
      <c r="P201" s="896"/>
      <c r="Q201" s="896"/>
      <c r="R201" s="898" t="s">
        <v>322</v>
      </c>
      <c r="S201" s="898"/>
      <c r="T201" s="898"/>
      <c r="U201" s="898"/>
      <c r="V201" s="898"/>
      <c r="W201" s="48"/>
      <c r="X201" s="896" t="s">
        <v>2</v>
      </c>
      <c r="Y201" s="896"/>
      <c r="Z201" s="896"/>
      <c r="AA201" s="898" t="s">
        <v>988</v>
      </c>
      <c r="AB201" s="898"/>
      <c r="AC201" s="898"/>
      <c r="AD201" s="898"/>
      <c r="AE201" s="898"/>
      <c r="AF201" s="48"/>
      <c r="AG201" s="896" t="s">
        <v>2</v>
      </c>
      <c r="AH201" s="896"/>
      <c r="AI201" s="896"/>
      <c r="AJ201" s="898" t="s">
        <v>957</v>
      </c>
      <c r="AK201" s="898"/>
      <c r="AL201" s="898"/>
      <c r="AM201" s="898"/>
      <c r="AN201" s="898"/>
      <c r="AO201" s="48"/>
      <c r="AP201" s="896" t="s">
        <v>2</v>
      </c>
      <c r="AQ201" s="896"/>
      <c r="AR201" s="896"/>
      <c r="AS201" s="898" t="s">
        <v>324</v>
      </c>
      <c r="AT201" s="898"/>
      <c r="AU201" s="898"/>
      <c r="AV201" s="898"/>
      <c r="AW201" s="898"/>
      <c r="AX201" s="48"/>
      <c r="AY201" s="896" t="s">
        <v>2</v>
      </c>
      <c r="AZ201" s="896"/>
      <c r="BA201" s="896"/>
      <c r="BB201" s="898" t="s">
        <v>630</v>
      </c>
      <c r="BC201" s="898"/>
      <c r="BD201" s="898"/>
      <c r="BE201" s="898"/>
      <c r="BF201" s="898"/>
      <c r="BG201" s="48"/>
      <c r="BH201" s="896" t="s">
        <v>2</v>
      </c>
      <c r="BI201" s="896"/>
      <c r="BJ201" s="896"/>
      <c r="BK201" s="898" t="s">
        <v>325</v>
      </c>
      <c r="BL201" s="898"/>
      <c r="BM201" s="898"/>
      <c r="BN201" s="898"/>
      <c r="BO201" s="898"/>
      <c r="BP201" s="48"/>
      <c r="BQ201" s="896" t="s">
        <v>2</v>
      </c>
      <c r="BR201" s="896"/>
      <c r="BS201" s="896"/>
      <c r="BT201" s="898" t="s">
        <v>199</v>
      </c>
      <c r="BU201" s="898"/>
      <c r="BV201" s="898"/>
      <c r="BW201" s="898"/>
      <c r="BX201" s="898"/>
      <c r="BY201" s="48"/>
      <c r="BZ201" s="896" t="s">
        <v>2</v>
      </c>
      <c r="CA201" s="896"/>
      <c r="CB201" s="896"/>
      <c r="CC201" s="898" t="s">
        <v>644</v>
      </c>
      <c r="CD201" s="898"/>
      <c r="CE201" s="898"/>
      <c r="CF201" s="898"/>
      <c r="CG201" s="898"/>
      <c r="CH201" s="50"/>
      <c r="CI201" s="896" t="s">
        <v>2</v>
      </c>
      <c r="CJ201" s="896"/>
      <c r="CK201" s="896"/>
      <c r="CL201" s="898" t="s">
        <v>666</v>
      </c>
      <c r="CM201" s="898"/>
      <c r="CN201" s="898"/>
      <c r="CO201" s="898"/>
      <c r="CP201" s="898"/>
      <c r="CQ201" s="5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2"/>
      <c r="HF201" s="32"/>
    </row>
    <row r="202" spans="2:214" x14ac:dyDescent="0.25">
      <c r="B202" s="908"/>
      <c r="C202" s="48"/>
      <c r="D202" s="908"/>
      <c r="E202" s="48"/>
      <c r="F202" s="896"/>
      <c r="G202" s="896"/>
      <c r="H202" s="896"/>
      <c r="I202" s="898"/>
      <c r="J202" s="898"/>
      <c r="K202" s="898"/>
      <c r="L202" s="898"/>
      <c r="M202" s="898"/>
      <c r="N202" s="48"/>
      <c r="O202" s="896"/>
      <c r="P202" s="896"/>
      <c r="Q202" s="896"/>
      <c r="R202" s="898"/>
      <c r="S202" s="898"/>
      <c r="T202" s="898"/>
      <c r="U202" s="898"/>
      <c r="V202" s="898"/>
      <c r="W202" s="48"/>
      <c r="X202" s="896"/>
      <c r="Y202" s="896"/>
      <c r="Z202" s="896"/>
      <c r="AA202" s="898"/>
      <c r="AB202" s="898"/>
      <c r="AC202" s="898"/>
      <c r="AD202" s="898"/>
      <c r="AE202" s="898"/>
      <c r="AF202" s="48"/>
      <c r="AG202" s="896"/>
      <c r="AH202" s="896"/>
      <c r="AI202" s="896"/>
      <c r="AJ202" s="898"/>
      <c r="AK202" s="898"/>
      <c r="AL202" s="898"/>
      <c r="AM202" s="898"/>
      <c r="AN202" s="898"/>
      <c r="AO202" s="48"/>
      <c r="AP202" s="896"/>
      <c r="AQ202" s="896"/>
      <c r="AR202" s="896"/>
      <c r="AS202" s="898"/>
      <c r="AT202" s="898"/>
      <c r="AU202" s="898"/>
      <c r="AV202" s="898"/>
      <c r="AW202" s="898"/>
      <c r="AX202" s="48"/>
      <c r="AY202" s="896"/>
      <c r="AZ202" s="896"/>
      <c r="BA202" s="896"/>
      <c r="BB202" s="898"/>
      <c r="BC202" s="898"/>
      <c r="BD202" s="898"/>
      <c r="BE202" s="898"/>
      <c r="BF202" s="898"/>
      <c r="BG202" s="48"/>
      <c r="BH202" s="896"/>
      <c r="BI202" s="896"/>
      <c r="BJ202" s="896"/>
      <c r="BK202" s="898"/>
      <c r="BL202" s="898"/>
      <c r="BM202" s="898"/>
      <c r="BN202" s="898"/>
      <c r="BO202" s="898"/>
      <c r="BP202" s="48"/>
      <c r="BQ202" s="896"/>
      <c r="BR202" s="896"/>
      <c r="BS202" s="896"/>
      <c r="BT202" s="898"/>
      <c r="BU202" s="898"/>
      <c r="BV202" s="898"/>
      <c r="BW202" s="898"/>
      <c r="BX202" s="898"/>
      <c r="BY202" s="48"/>
      <c r="BZ202" s="896"/>
      <c r="CA202" s="896"/>
      <c r="CB202" s="896"/>
      <c r="CC202" s="898"/>
      <c r="CD202" s="898"/>
      <c r="CE202" s="898"/>
      <c r="CF202" s="898"/>
      <c r="CG202" s="898"/>
      <c r="CH202" s="50"/>
      <c r="CI202" s="896"/>
      <c r="CJ202" s="896"/>
      <c r="CK202" s="896"/>
      <c r="CL202" s="898"/>
      <c r="CM202" s="898"/>
      <c r="CN202" s="898"/>
      <c r="CO202" s="898"/>
      <c r="CP202" s="898"/>
      <c r="CQ202" s="5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2"/>
      <c r="HF202" s="32"/>
    </row>
    <row r="203" spans="2:214" x14ac:dyDescent="0.25">
      <c r="B203" s="908"/>
      <c r="C203" s="48"/>
      <c r="D203" s="908"/>
      <c r="E203" s="48"/>
      <c r="F203" s="896"/>
      <c r="G203" s="896"/>
      <c r="H203" s="896"/>
      <c r="I203" s="898"/>
      <c r="J203" s="898"/>
      <c r="K203" s="898"/>
      <c r="L203" s="898"/>
      <c r="M203" s="898"/>
      <c r="N203" s="48"/>
      <c r="O203" s="896"/>
      <c r="P203" s="896"/>
      <c r="Q203" s="896"/>
      <c r="R203" s="898"/>
      <c r="S203" s="898"/>
      <c r="T203" s="898"/>
      <c r="U203" s="898"/>
      <c r="V203" s="898"/>
      <c r="W203" s="48"/>
      <c r="X203" s="896"/>
      <c r="Y203" s="896"/>
      <c r="Z203" s="896"/>
      <c r="AA203" s="898"/>
      <c r="AB203" s="898"/>
      <c r="AC203" s="898"/>
      <c r="AD203" s="898"/>
      <c r="AE203" s="898"/>
      <c r="AF203" s="48"/>
      <c r="AG203" s="896"/>
      <c r="AH203" s="896"/>
      <c r="AI203" s="896"/>
      <c r="AJ203" s="898"/>
      <c r="AK203" s="898"/>
      <c r="AL203" s="898"/>
      <c r="AM203" s="898"/>
      <c r="AN203" s="898"/>
      <c r="AO203" s="48"/>
      <c r="AP203" s="896"/>
      <c r="AQ203" s="896"/>
      <c r="AR203" s="896"/>
      <c r="AS203" s="898"/>
      <c r="AT203" s="898"/>
      <c r="AU203" s="898"/>
      <c r="AV203" s="898"/>
      <c r="AW203" s="898"/>
      <c r="AX203" s="48"/>
      <c r="AY203" s="896"/>
      <c r="AZ203" s="896"/>
      <c r="BA203" s="896"/>
      <c r="BB203" s="898"/>
      <c r="BC203" s="898"/>
      <c r="BD203" s="898"/>
      <c r="BE203" s="898"/>
      <c r="BF203" s="898"/>
      <c r="BG203" s="48"/>
      <c r="BH203" s="896"/>
      <c r="BI203" s="896"/>
      <c r="BJ203" s="896"/>
      <c r="BK203" s="898"/>
      <c r="BL203" s="898"/>
      <c r="BM203" s="898"/>
      <c r="BN203" s="898"/>
      <c r="BO203" s="898"/>
      <c r="BP203" s="48"/>
      <c r="BQ203" s="896"/>
      <c r="BR203" s="896"/>
      <c r="BS203" s="896"/>
      <c r="BT203" s="898"/>
      <c r="BU203" s="898"/>
      <c r="BV203" s="898"/>
      <c r="BW203" s="898"/>
      <c r="BX203" s="898"/>
      <c r="BY203" s="48"/>
      <c r="BZ203" s="896"/>
      <c r="CA203" s="896"/>
      <c r="CB203" s="896"/>
      <c r="CC203" s="898"/>
      <c r="CD203" s="898"/>
      <c r="CE203" s="898"/>
      <c r="CF203" s="898"/>
      <c r="CG203" s="898"/>
      <c r="CH203" s="50"/>
      <c r="CI203" s="896"/>
      <c r="CJ203" s="896"/>
      <c r="CK203" s="896"/>
      <c r="CL203" s="898"/>
      <c r="CM203" s="898"/>
      <c r="CN203" s="898"/>
      <c r="CO203" s="898"/>
      <c r="CP203" s="898"/>
      <c r="CQ203" s="5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2"/>
      <c r="HF203" s="32"/>
    </row>
    <row r="204" spans="2:214" x14ac:dyDescent="0.25">
      <c r="B204" s="908"/>
      <c r="C204" s="48"/>
      <c r="D204" s="908"/>
      <c r="E204" s="48"/>
      <c r="F204" s="895" t="s">
        <v>0</v>
      </c>
      <c r="G204" s="895"/>
      <c r="H204" s="895"/>
      <c r="I204" s="895" t="s">
        <v>1</v>
      </c>
      <c r="J204" s="895"/>
      <c r="K204" s="895"/>
      <c r="L204" s="895"/>
      <c r="M204" s="895"/>
      <c r="N204" s="48"/>
      <c r="O204" s="895" t="s">
        <v>0</v>
      </c>
      <c r="P204" s="895"/>
      <c r="Q204" s="895"/>
      <c r="R204" s="895" t="s">
        <v>1</v>
      </c>
      <c r="S204" s="895"/>
      <c r="T204" s="895"/>
      <c r="U204" s="895"/>
      <c r="V204" s="895"/>
      <c r="W204" s="48"/>
      <c r="X204" s="895" t="s">
        <v>0</v>
      </c>
      <c r="Y204" s="895"/>
      <c r="Z204" s="895"/>
      <c r="AA204" s="895" t="s">
        <v>1</v>
      </c>
      <c r="AB204" s="895"/>
      <c r="AC204" s="895"/>
      <c r="AD204" s="895"/>
      <c r="AE204" s="895"/>
      <c r="AF204" s="48"/>
      <c r="AG204" s="895" t="s">
        <v>0</v>
      </c>
      <c r="AH204" s="895"/>
      <c r="AI204" s="895"/>
      <c r="AJ204" s="895" t="s">
        <v>1</v>
      </c>
      <c r="AK204" s="895"/>
      <c r="AL204" s="895"/>
      <c r="AM204" s="895"/>
      <c r="AN204" s="895"/>
      <c r="AO204" s="48"/>
      <c r="AP204" s="895" t="s">
        <v>0</v>
      </c>
      <c r="AQ204" s="895"/>
      <c r="AR204" s="895"/>
      <c r="AS204" s="895" t="s">
        <v>1</v>
      </c>
      <c r="AT204" s="895"/>
      <c r="AU204" s="895"/>
      <c r="AV204" s="895"/>
      <c r="AW204" s="895"/>
      <c r="AX204" s="48"/>
      <c r="AY204" s="895" t="s">
        <v>0</v>
      </c>
      <c r="AZ204" s="895"/>
      <c r="BA204" s="895"/>
      <c r="BB204" s="895" t="s">
        <v>1</v>
      </c>
      <c r="BC204" s="895"/>
      <c r="BD204" s="895"/>
      <c r="BE204" s="895"/>
      <c r="BF204" s="895"/>
      <c r="BG204" s="48"/>
      <c r="BH204" s="895" t="s">
        <v>0</v>
      </c>
      <c r="BI204" s="895"/>
      <c r="BJ204" s="895"/>
      <c r="BK204" s="895" t="s">
        <v>1</v>
      </c>
      <c r="BL204" s="895"/>
      <c r="BM204" s="895"/>
      <c r="BN204" s="895"/>
      <c r="BO204" s="895"/>
      <c r="BP204" s="48"/>
      <c r="BQ204" s="895" t="s">
        <v>0</v>
      </c>
      <c r="BR204" s="895"/>
      <c r="BS204" s="895"/>
      <c r="BT204" s="895" t="s">
        <v>1</v>
      </c>
      <c r="BU204" s="895"/>
      <c r="BV204" s="895"/>
      <c r="BW204" s="895"/>
      <c r="BX204" s="895"/>
      <c r="BY204" s="48"/>
      <c r="BZ204" s="895" t="s">
        <v>0</v>
      </c>
      <c r="CA204" s="895"/>
      <c r="CB204" s="895"/>
      <c r="CC204" s="895" t="s">
        <v>1</v>
      </c>
      <c r="CD204" s="895"/>
      <c r="CE204" s="895"/>
      <c r="CF204" s="895"/>
      <c r="CG204" s="895"/>
      <c r="CH204" s="50"/>
      <c r="CI204" s="895" t="s">
        <v>0</v>
      </c>
      <c r="CJ204" s="895"/>
      <c r="CK204" s="895"/>
      <c r="CL204" s="895" t="s">
        <v>1</v>
      </c>
      <c r="CM204" s="895"/>
      <c r="CN204" s="895"/>
      <c r="CO204" s="895"/>
      <c r="CP204" s="895"/>
      <c r="CQ204" s="5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2"/>
      <c r="HF204" s="32"/>
    </row>
    <row r="205" spans="2:214" ht="15.75" customHeight="1" x14ac:dyDescent="0.25">
      <c r="B205" s="908"/>
      <c r="C205" s="48"/>
      <c r="D205" s="908"/>
      <c r="E205" s="48"/>
      <c r="F205" s="896" t="s">
        <v>3</v>
      </c>
      <c r="G205" s="896"/>
      <c r="H205" s="896"/>
      <c r="I205" s="897" t="s">
        <v>326</v>
      </c>
      <c r="J205" s="898"/>
      <c r="K205" s="898"/>
      <c r="L205" s="898"/>
      <c r="M205" s="898"/>
      <c r="N205" s="48"/>
      <c r="O205" s="896" t="s">
        <v>3</v>
      </c>
      <c r="P205" s="896"/>
      <c r="Q205" s="896"/>
      <c r="R205" s="897" t="s">
        <v>327</v>
      </c>
      <c r="S205" s="898"/>
      <c r="T205" s="898"/>
      <c r="U205" s="898"/>
      <c r="V205" s="898"/>
      <c r="W205" s="48"/>
      <c r="X205" s="896" t="s">
        <v>3</v>
      </c>
      <c r="Y205" s="896"/>
      <c r="Z205" s="896"/>
      <c r="AA205" s="897" t="s">
        <v>626</v>
      </c>
      <c r="AB205" s="898"/>
      <c r="AC205" s="898"/>
      <c r="AD205" s="898"/>
      <c r="AE205" s="898"/>
      <c r="AF205" s="48"/>
      <c r="AG205" s="896" t="s">
        <v>3</v>
      </c>
      <c r="AH205" s="896"/>
      <c r="AI205" s="896"/>
      <c r="AJ205" s="897" t="s">
        <v>762</v>
      </c>
      <c r="AK205" s="898"/>
      <c r="AL205" s="898"/>
      <c r="AM205" s="898"/>
      <c r="AN205" s="898"/>
      <c r="AO205" s="48"/>
      <c r="AP205" s="896" t="s">
        <v>3</v>
      </c>
      <c r="AQ205" s="896"/>
      <c r="AR205" s="896"/>
      <c r="AS205" s="897" t="s">
        <v>328</v>
      </c>
      <c r="AT205" s="898"/>
      <c r="AU205" s="898"/>
      <c r="AV205" s="898"/>
      <c r="AW205" s="898"/>
      <c r="AX205" s="48"/>
      <c r="AY205" s="896" t="s">
        <v>3</v>
      </c>
      <c r="AZ205" s="896"/>
      <c r="BA205" s="896"/>
      <c r="BB205" s="897" t="s">
        <v>632</v>
      </c>
      <c r="BC205" s="898"/>
      <c r="BD205" s="898"/>
      <c r="BE205" s="898"/>
      <c r="BF205" s="898"/>
      <c r="BG205" s="48"/>
      <c r="BH205" s="896" t="s">
        <v>3</v>
      </c>
      <c r="BI205" s="896"/>
      <c r="BJ205" s="896"/>
      <c r="BK205" s="897" t="s">
        <v>535</v>
      </c>
      <c r="BL205" s="898"/>
      <c r="BM205" s="898"/>
      <c r="BN205" s="898"/>
      <c r="BO205" s="898"/>
      <c r="BP205" s="48"/>
      <c r="BQ205" s="896" t="s">
        <v>3</v>
      </c>
      <c r="BR205" s="896"/>
      <c r="BS205" s="896"/>
      <c r="BT205" s="897" t="s">
        <v>200</v>
      </c>
      <c r="BU205" s="898"/>
      <c r="BV205" s="898"/>
      <c r="BW205" s="898"/>
      <c r="BX205" s="898"/>
      <c r="BY205" s="48"/>
      <c r="BZ205" s="896" t="s">
        <v>3</v>
      </c>
      <c r="CA205" s="896"/>
      <c r="CB205" s="896"/>
      <c r="CC205" s="897" t="s">
        <v>645</v>
      </c>
      <c r="CD205" s="898"/>
      <c r="CE205" s="898"/>
      <c r="CF205" s="898"/>
      <c r="CG205" s="898"/>
      <c r="CH205" s="50"/>
      <c r="CI205" s="896" t="s">
        <v>3</v>
      </c>
      <c r="CJ205" s="896"/>
      <c r="CK205" s="896"/>
      <c r="CL205" s="897" t="s">
        <v>667</v>
      </c>
      <c r="CM205" s="898"/>
      <c r="CN205" s="898"/>
      <c r="CO205" s="898"/>
      <c r="CP205" s="898"/>
      <c r="CQ205" s="5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2"/>
      <c r="HF205" s="32"/>
    </row>
    <row r="206" spans="2:214" x14ac:dyDescent="0.25">
      <c r="B206" s="908"/>
      <c r="C206" s="48"/>
      <c r="D206" s="908"/>
      <c r="E206" s="48"/>
      <c r="F206" s="896"/>
      <c r="G206" s="896"/>
      <c r="H206" s="896"/>
      <c r="I206" s="898"/>
      <c r="J206" s="898"/>
      <c r="K206" s="898"/>
      <c r="L206" s="898"/>
      <c r="M206" s="898"/>
      <c r="N206" s="48"/>
      <c r="O206" s="896"/>
      <c r="P206" s="896"/>
      <c r="Q206" s="896"/>
      <c r="R206" s="898"/>
      <c r="S206" s="898"/>
      <c r="T206" s="898"/>
      <c r="U206" s="898"/>
      <c r="V206" s="898"/>
      <c r="W206" s="48"/>
      <c r="X206" s="896"/>
      <c r="Y206" s="896"/>
      <c r="Z206" s="896"/>
      <c r="AA206" s="898"/>
      <c r="AB206" s="898"/>
      <c r="AC206" s="898"/>
      <c r="AD206" s="898"/>
      <c r="AE206" s="898"/>
      <c r="AF206" s="48"/>
      <c r="AG206" s="896"/>
      <c r="AH206" s="896"/>
      <c r="AI206" s="896"/>
      <c r="AJ206" s="898"/>
      <c r="AK206" s="898"/>
      <c r="AL206" s="898"/>
      <c r="AM206" s="898"/>
      <c r="AN206" s="898"/>
      <c r="AO206" s="48"/>
      <c r="AP206" s="896"/>
      <c r="AQ206" s="896"/>
      <c r="AR206" s="896"/>
      <c r="AS206" s="898"/>
      <c r="AT206" s="898"/>
      <c r="AU206" s="898"/>
      <c r="AV206" s="898"/>
      <c r="AW206" s="898"/>
      <c r="AX206" s="48"/>
      <c r="AY206" s="896"/>
      <c r="AZ206" s="896"/>
      <c r="BA206" s="896"/>
      <c r="BB206" s="898"/>
      <c r="BC206" s="898"/>
      <c r="BD206" s="898"/>
      <c r="BE206" s="898"/>
      <c r="BF206" s="898"/>
      <c r="BG206" s="48"/>
      <c r="BH206" s="896"/>
      <c r="BI206" s="896"/>
      <c r="BJ206" s="896"/>
      <c r="BK206" s="898"/>
      <c r="BL206" s="898"/>
      <c r="BM206" s="898"/>
      <c r="BN206" s="898"/>
      <c r="BO206" s="898"/>
      <c r="BP206" s="48"/>
      <c r="BQ206" s="896"/>
      <c r="BR206" s="896"/>
      <c r="BS206" s="896"/>
      <c r="BT206" s="898"/>
      <c r="BU206" s="898"/>
      <c r="BV206" s="898"/>
      <c r="BW206" s="898"/>
      <c r="BX206" s="898"/>
      <c r="BY206" s="48"/>
      <c r="BZ206" s="896"/>
      <c r="CA206" s="896"/>
      <c r="CB206" s="896"/>
      <c r="CC206" s="898"/>
      <c r="CD206" s="898"/>
      <c r="CE206" s="898"/>
      <c r="CF206" s="898"/>
      <c r="CG206" s="898"/>
      <c r="CH206" s="50"/>
      <c r="CI206" s="896"/>
      <c r="CJ206" s="896"/>
      <c r="CK206" s="896"/>
      <c r="CL206" s="898"/>
      <c r="CM206" s="898"/>
      <c r="CN206" s="898"/>
      <c r="CO206" s="898"/>
      <c r="CP206" s="898"/>
      <c r="CQ206" s="5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2"/>
      <c r="HF206" s="32"/>
    </row>
    <row r="207" spans="2:214" x14ac:dyDescent="0.25">
      <c r="B207" s="908"/>
      <c r="C207" s="48"/>
      <c r="D207" s="908"/>
      <c r="E207" s="48"/>
      <c r="F207" s="896"/>
      <c r="G207" s="896"/>
      <c r="H207" s="896"/>
      <c r="I207" s="898"/>
      <c r="J207" s="898"/>
      <c r="K207" s="898"/>
      <c r="L207" s="898"/>
      <c r="M207" s="898"/>
      <c r="N207" s="48"/>
      <c r="O207" s="896"/>
      <c r="P207" s="896"/>
      <c r="Q207" s="896"/>
      <c r="R207" s="898"/>
      <c r="S207" s="898"/>
      <c r="T207" s="898"/>
      <c r="U207" s="898"/>
      <c r="V207" s="898"/>
      <c r="W207" s="48"/>
      <c r="X207" s="896"/>
      <c r="Y207" s="896"/>
      <c r="Z207" s="896"/>
      <c r="AA207" s="898"/>
      <c r="AB207" s="898"/>
      <c r="AC207" s="898"/>
      <c r="AD207" s="898"/>
      <c r="AE207" s="898"/>
      <c r="AF207" s="48"/>
      <c r="AG207" s="896"/>
      <c r="AH207" s="896"/>
      <c r="AI207" s="896"/>
      <c r="AJ207" s="898"/>
      <c r="AK207" s="898"/>
      <c r="AL207" s="898"/>
      <c r="AM207" s="898"/>
      <c r="AN207" s="898"/>
      <c r="AO207" s="48"/>
      <c r="AP207" s="896"/>
      <c r="AQ207" s="896"/>
      <c r="AR207" s="896"/>
      <c r="AS207" s="898"/>
      <c r="AT207" s="898"/>
      <c r="AU207" s="898"/>
      <c r="AV207" s="898"/>
      <c r="AW207" s="898"/>
      <c r="AX207" s="48"/>
      <c r="AY207" s="896"/>
      <c r="AZ207" s="896"/>
      <c r="BA207" s="896"/>
      <c r="BB207" s="898"/>
      <c r="BC207" s="898"/>
      <c r="BD207" s="898"/>
      <c r="BE207" s="898"/>
      <c r="BF207" s="898"/>
      <c r="BG207" s="48"/>
      <c r="BH207" s="896"/>
      <c r="BI207" s="896"/>
      <c r="BJ207" s="896"/>
      <c r="BK207" s="898"/>
      <c r="BL207" s="898"/>
      <c r="BM207" s="898"/>
      <c r="BN207" s="898"/>
      <c r="BO207" s="898"/>
      <c r="BP207" s="48"/>
      <c r="BQ207" s="896"/>
      <c r="BR207" s="896"/>
      <c r="BS207" s="896"/>
      <c r="BT207" s="898"/>
      <c r="BU207" s="898"/>
      <c r="BV207" s="898"/>
      <c r="BW207" s="898"/>
      <c r="BX207" s="898"/>
      <c r="BY207" s="48"/>
      <c r="BZ207" s="896"/>
      <c r="CA207" s="896"/>
      <c r="CB207" s="896"/>
      <c r="CC207" s="898"/>
      <c r="CD207" s="898"/>
      <c r="CE207" s="898"/>
      <c r="CF207" s="898"/>
      <c r="CG207" s="898"/>
      <c r="CH207" s="50"/>
      <c r="CI207" s="896"/>
      <c r="CJ207" s="896"/>
      <c r="CK207" s="896"/>
      <c r="CL207" s="898"/>
      <c r="CM207" s="898"/>
      <c r="CN207" s="898"/>
      <c r="CO207" s="898"/>
      <c r="CP207" s="898"/>
      <c r="CQ207" s="5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2"/>
      <c r="HF207" s="32"/>
    </row>
    <row r="208" spans="2:214" x14ac:dyDescent="0.25">
      <c r="B208" s="908"/>
      <c r="C208" s="48"/>
      <c r="D208" s="908"/>
      <c r="E208" s="48"/>
      <c r="F208" s="896" t="s">
        <v>4</v>
      </c>
      <c r="G208" s="896"/>
      <c r="H208" s="896"/>
      <c r="I208" s="898" t="s">
        <v>15</v>
      </c>
      <c r="J208" s="898"/>
      <c r="K208" s="898"/>
      <c r="L208" s="898"/>
      <c r="M208" s="898"/>
      <c r="N208" s="48"/>
      <c r="O208" s="896" t="s">
        <v>4</v>
      </c>
      <c r="P208" s="896"/>
      <c r="Q208" s="896"/>
      <c r="R208" s="898" t="s">
        <v>15</v>
      </c>
      <c r="S208" s="898"/>
      <c r="T208" s="898"/>
      <c r="U208" s="898"/>
      <c r="V208" s="898"/>
      <c r="W208" s="48"/>
      <c r="X208" s="896" t="s">
        <v>4</v>
      </c>
      <c r="Y208" s="896"/>
      <c r="Z208" s="896"/>
      <c r="AA208" s="898" t="s">
        <v>15</v>
      </c>
      <c r="AB208" s="898"/>
      <c r="AC208" s="898"/>
      <c r="AD208" s="898"/>
      <c r="AE208" s="898"/>
      <c r="AF208" s="48"/>
      <c r="AG208" s="896" t="s">
        <v>4</v>
      </c>
      <c r="AH208" s="896"/>
      <c r="AI208" s="896"/>
      <c r="AJ208" s="898" t="s">
        <v>15</v>
      </c>
      <c r="AK208" s="898"/>
      <c r="AL208" s="898"/>
      <c r="AM208" s="898"/>
      <c r="AN208" s="898"/>
      <c r="AO208" s="48"/>
      <c r="AP208" s="896" t="s">
        <v>4</v>
      </c>
      <c r="AQ208" s="896"/>
      <c r="AR208" s="896"/>
      <c r="AS208" s="898" t="s">
        <v>15</v>
      </c>
      <c r="AT208" s="898"/>
      <c r="AU208" s="898"/>
      <c r="AV208" s="898"/>
      <c r="AW208" s="898"/>
      <c r="AX208" s="48"/>
      <c r="AY208" s="896" t="s">
        <v>4</v>
      </c>
      <c r="AZ208" s="896"/>
      <c r="BA208" s="896"/>
      <c r="BB208" s="898" t="s">
        <v>15</v>
      </c>
      <c r="BC208" s="898"/>
      <c r="BD208" s="898"/>
      <c r="BE208" s="898"/>
      <c r="BF208" s="898"/>
      <c r="BG208" s="48"/>
      <c r="BH208" s="896" t="s">
        <v>4</v>
      </c>
      <c r="BI208" s="896"/>
      <c r="BJ208" s="896"/>
      <c r="BK208" s="898" t="s">
        <v>15</v>
      </c>
      <c r="BL208" s="898"/>
      <c r="BM208" s="898"/>
      <c r="BN208" s="898"/>
      <c r="BO208" s="898"/>
      <c r="BP208" s="48"/>
      <c r="BQ208" s="896" t="s">
        <v>4</v>
      </c>
      <c r="BR208" s="896"/>
      <c r="BS208" s="896"/>
      <c r="BT208" s="898" t="s">
        <v>15</v>
      </c>
      <c r="BU208" s="898"/>
      <c r="BV208" s="898"/>
      <c r="BW208" s="898"/>
      <c r="BX208" s="898"/>
      <c r="BY208" s="48"/>
      <c r="BZ208" s="896" t="s">
        <v>4</v>
      </c>
      <c r="CA208" s="896"/>
      <c r="CB208" s="896"/>
      <c r="CC208" s="898" t="s">
        <v>15</v>
      </c>
      <c r="CD208" s="898"/>
      <c r="CE208" s="898"/>
      <c r="CF208" s="898"/>
      <c r="CG208" s="898"/>
      <c r="CH208" s="50"/>
      <c r="CI208" s="896" t="s">
        <v>4</v>
      </c>
      <c r="CJ208" s="896"/>
      <c r="CK208" s="896"/>
      <c r="CL208" s="898" t="s">
        <v>15</v>
      </c>
      <c r="CM208" s="898"/>
      <c r="CN208" s="898"/>
      <c r="CO208" s="898"/>
      <c r="CP208" s="898"/>
      <c r="CQ208" s="5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2"/>
      <c r="HF208" s="32"/>
    </row>
    <row r="209" spans="2:214" x14ac:dyDescent="0.25">
      <c r="B209" s="908"/>
      <c r="C209" s="48"/>
      <c r="D209" s="908"/>
      <c r="E209" s="48"/>
      <c r="F209" s="896"/>
      <c r="G209" s="896"/>
      <c r="H209" s="896"/>
      <c r="I209" s="898"/>
      <c r="J209" s="898"/>
      <c r="K209" s="898"/>
      <c r="L209" s="898"/>
      <c r="M209" s="898"/>
      <c r="N209" s="48"/>
      <c r="O209" s="896"/>
      <c r="P209" s="896"/>
      <c r="Q209" s="896"/>
      <c r="R209" s="898"/>
      <c r="S209" s="898"/>
      <c r="T209" s="898"/>
      <c r="U209" s="898"/>
      <c r="V209" s="898"/>
      <c r="W209" s="48"/>
      <c r="X209" s="896"/>
      <c r="Y209" s="896"/>
      <c r="Z209" s="896"/>
      <c r="AA209" s="898"/>
      <c r="AB209" s="898"/>
      <c r="AC209" s="898"/>
      <c r="AD209" s="898"/>
      <c r="AE209" s="898"/>
      <c r="AF209" s="48"/>
      <c r="AG209" s="896"/>
      <c r="AH209" s="896"/>
      <c r="AI209" s="896"/>
      <c r="AJ209" s="898"/>
      <c r="AK209" s="898"/>
      <c r="AL209" s="898"/>
      <c r="AM209" s="898"/>
      <c r="AN209" s="898"/>
      <c r="AO209" s="48"/>
      <c r="AP209" s="896"/>
      <c r="AQ209" s="896"/>
      <c r="AR209" s="896"/>
      <c r="AS209" s="898"/>
      <c r="AT209" s="898"/>
      <c r="AU209" s="898"/>
      <c r="AV209" s="898"/>
      <c r="AW209" s="898"/>
      <c r="AX209" s="48"/>
      <c r="AY209" s="896"/>
      <c r="AZ209" s="896"/>
      <c r="BA209" s="896"/>
      <c r="BB209" s="898"/>
      <c r="BC209" s="898"/>
      <c r="BD209" s="898"/>
      <c r="BE209" s="898"/>
      <c r="BF209" s="898"/>
      <c r="BG209" s="48"/>
      <c r="BH209" s="896"/>
      <c r="BI209" s="896"/>
      <c r="BJ209" s="896"/>
      <c r="BK209" s="898"/>
      <c r="BL209" s="898"/>
      <c r="BM209" s="898"/>
      <c r="BN209" s="898"/>
      <c r="BO209" s="898"/>
      <c r="BP209" s="48"/>
      <c r="BQ209" s="896"/>
      <c r="BR209" s="896"/>
      <c r="BS209" s="896"/>
      <c r="BT209" s="898"/>
      <c r="BU209" s="898"/>
      <c r="BV209" s="898"/>
      <c r="BW209" s="898"/>
      <c r="BX209" s="898"/>
      <c r="BY209" s="48"/>
      <c r="BZ209" s="896"/>
      <c r="CA209" s="896"/>
      <c r="CB209" s="896"/>
      <c r="CC209" s="898"/>
      <c r="CD209" s="898"/>
      <c r="CE209" s="898"/>
      <c r="CF209" s="898"/>
      <c r="CG209" s="898"/>
      <c r="CH209" s="50"/>
      <c r="CI209" s="896"/>
      <c r="CJ209" s="896"/>
      <c r="CK209" s="896"/>
      <c r="CL209" s="898"/>
      <c r="CM209" s="898"/>
      <c r="CN209" s="898"/>
      <c r="CO209" s="898"/>
      <c r="CP209" s="898"/>
      <c r="CQ209" s="5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2"/>
      <c r="HF209" s="32"/>
    </row>
    <row r="210" spans="2:214" x14ac:dyDescent="0.25">
      <c r="B210" s="908"/>
      <c r="C210" s="48"/>
      <c r="D210" s="908"/>
      <c r="E210" s="48"/>
      <c r="F210" s="896"/>
      <c r="G210" s="896"/>
      <c r="H210" s="896"/>
      <c r="I210" s="898"/>
      <c r="J210" s="898"/>
      <c r="K210" s="898"/>
      <c r="L210" s="898"/>
      <c r="M210" s="898"/>
      <c r="N210" s="48"/>
      <c r="O210" s="896"/>
      <c r="P210" s="896"/>
      <c r="Q210" s="896"/>
      <c r="R210" s="898"/>
      <c r="S210" s="898"/>
      <c r="T210" s="898"/>
      <c r="U210" s="898"/>
      <c r="V210" s="898"/>
      <c r="W210" s="48"/>
      <c r="X210" s="896"/>
      <c r="Y210" s="896"/>
      <c r="Z210" s="896"/>
      <c r="AA210" s="898"/>
      <c r="AB210" s="898"/>
      <c r="AC210" s="898"/>
      <c r="AD210" s="898"/>
      <c r="AE210" s="898"/>
      <c r="AF210" s="48"/>
      <c r="AG210" s="896"/>
      <c r="AH210" s="896"/>
      <c r="AI210" s="896"/>
      <c r="AJ210" s="898"/>
      <c r="AK210" s="898"/>
      <c r="AL210" s="898"/>
      <c r="AM210" s="898"/>
      <c r="AN210" s="898"/>
      <c r="AO210" s="48"/>
      <c r="AP210" s="896"/>
      <c r="AQ210" s="896"/>
      <c r="AR210" s="896"/>
      <c r="AS210" s="898"/>
      <c r="AT210" s="898"/>
      <c r="AU210" s="898"/>
      <c r="AV210" s="898"/>
      <c r="AW210" s="898"/>
      <c r="AX210" s="48"/>
      <c r="AY210" s="896"/>
      <c r="AZ210" s="896"/>
      <c r="BA210" s="896"/>
      <c r="BB210" s="898"/>
      <c r="BC210" s="898"/>
      <c r="BD210" s="898"/>
      <c r="BE210" s="898"/>
      <c r="BF210" s="898"/>
      <c r="BG210" s="48"/>
      <c r="BH210" s="896"/>
      <c r="BI210" s="896"/>
      <c r="BJ210" s="896"/>
      <c r="BK210" s="898"/>
      <c r="BL210" s="898"/>
      <c r="BM210" s="898"/>
      <c r="BN210" s="898"/>
      <c r="BO210" s="898"/>
      <c r="BP210" s="48"/>
      <c r="BQ210" s="896"/>
      <c r="BR210" s="896"/>
      <c r="BS210" s="896"/>
      <c r="BT210" s="898"/>
      <c r="BU210" s="898"/>
      <c r="BV210" s="898"/>
      <c r="BW210" s="898"/>
      <c r="BX210" s="898"/>
      <c r="BY210" s="48"/>
      <c r="BZ210" s="896"/>
      <c r="CA210" s="896"/>
      <c r="CB210" s="896"/>
      <c r="CC210" s="898"/>
      <c r="CD210" s="898"/>
      <c r="CE210" s="898"/>
      <c r="CF210" s="898"/>
      <c r="CG210" s="898"/>
      <c r="CH210" s="50"/>
      <c r="CI210" s="896"/>
      <c r="CJ210" s="896"/>
      <c r="CK210" s="896"/>
      <c r="CL210" s="898"/>
      <c r="CM210" s="898"/>
      <c r="CN210" s="898"/>
      <c r="CO210" s="898"/>
      <c r="CP210" s="898"/>
      <c r="CQ210" s="5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2"/>
      <c r="HF210" s="32"/>
    </row>
    <row r="211" spans="2:214" ht="15.75" customHeight="1" x14ac:dyDescent="0.25">
      <c r="B211" s="908"/>
      <c r="C211" s="48"/>
      <c r="D211" s="908"/>
      <c r="E211" s="48"/>
      <c r="F211" s="896" t="s">
        <v>5</v>
      </c>
      <c r="G211" s="896"/>
      <c r="H211" s="896"/>
      <c r="I211" s="897" t="s">
        <v>526</v>
      </c>
      <c r="J211" s="898"/>
      <c r="K211" s="898"/>
      <c r="L211" s="898"/>
      <c r="M211" s="898"/>
      <c r="N211" s="48"/>
      <c r="O211" s="896" t="s">
        <v>5</v>
      </c>
      <c r="P211" s="896"/>
      <c r="Q211" s="896"/>
      <c r="R211" s="897" t="s">
        <v>624</v>
      </c>
      <c r="S211" s="898"/>
      <c r="T211" s="898"/>
      <c r="U211" s="898"/>
      <c r="V211" s="898"/>
      <c r="W211" s="48"/>
      <c r="X211" s="896" t="s">
        <v>5</v>
      </c>
      <c r="Y211" s="896"/>
      <c r="Z211" s="896"/>
      <c r="AA211" s="897" t="s">
        <v>625</v>
      </c>
      <c r="AB211" s="898"/>
      <c r="AC211" s="898"/>
      <c r="AD211" s="898"/>
      <c r="AE211" s="898"/>
      <c r="AF211" s="48"/>
      <c r="AG211" s="896" t="s">
        <v>5</v>
      </c>
      <c r="AH211" s="896"/>
      <c r="AI211" s="896"/>
      <c r="AJ211" s="897" t="s">
        <v>761</v>
      </c>
      <c r="AK211" s="898"/>
      <c r="AL211" s="898"/>
      <c r="AM211" s="898"/>
      <c r="AN211" s="898"/>
      <c r="AO211" s="48"/>
      <c r="AP211" s="896" t="s">
        <v>5</v>
      </c>
      <c r="AQ211" s="896"/>
      <c r="AR211" s="896"/>
      <c r="AS211" s="897" t="s">
        <v>530</v>
      </c>
      <c r="AT211" s="898"/>
      <c r="AU211" s="898"/>
      <c r="AV211" s="898"/>
      <c r="AW211" s="898"/>
      <c r="AX211" s="48"/>
      <c r="AY211" s="896" t="s">
        <v>5</v>
      </c>
      <c r="AZ211" s="896"/>
      <c r="BA211" s="896"/>
      <c r="BB211" s="897" t="s">
        <v>198</v>
      </c>
      <c r="BC211" s="898"/>
      <c r="BD211" s="898"/>
      <c r="BE211" s="898"/>
      <c r="BF211" s="898"/>
      <c r="BG211" s="48"/>
      <c r="BH211" s="896" t="s">
        <v>5</v>
      </c>
      <c r="BI211" s="896"/>
      <c r="BJ211" s="896"/>
      <c r="BK211" s="897" t="s">
        <v>534</v>
      </c>
      <c r="BL211" s="898"/>
      <c r="BM211" s="898"/>
      <c r="BN211" s="898"/>
      <c r="BO211" s="898"/>
      <c r="BP211" s="48"/>
      <c r="BQ211" s="896" t="s">
        <v>5</v>
      </c>
      <c r="BR211" s="896"/>
      <c r="BS211" s="896"/>
      <c r="BT211" s="897" t="s">
        <v>201</v>
      </c>
      <c r="BU211" s="898"/>
      <c r="BV211" s="898"/>
      <c r="BW211" s="898"/>
      <c r="BX211" s="898"/>
      <c r="BY211" s="48"/>
      <c r="BZ211" s="896" t="s">
        <v>5</v>
      </c>
      <c r="CA211" s="896"/>
      <c r="CB211" s="896"/>
      <c r="CC211" s="898" t="s">
        <v>646</v>
      </c>
      <c r="CD211" s="898"/>
      <c r="CE211" s="898"/>
      <c r="CF211" s="898"/>
      <c r="CG211" s="898"/>
      <c r="CH211" s="50"/>
      <c r="CI211" s="896" t="s">
        <v>5</v>
      </c>
      <c r="CJ211" s="896"/>
      <c r="CK211" s="896"/>
      <c r="CL211" s="898" t="s">
        <v>668</v>
      </c>
      <c r="CM211" s="898"/>
      <c r="CN211" s="898"/>
      <c r="CO211" s="898"/>
      <c r="CP211" s="898"/>
      <c r="CQ211" s="5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2"/>
      <c r="HF211" s="32"/>
    </row>
    <row r="212" spans="2:214" x14ac:dyDescent="0.25">
      <c r="B212" s="908"/>
      <c r="C212" s="48"/>
      <c r="D212" s="908"/>
      <c r="E212" s="48"/>
      <c r="F212" s="896"/>
      <c r="G212" s="896"/>
      <c r="H212" s="896"/>
      <c r="I212" s="898"/>
      <c r="J212" s="898"/>
      <c r="K212" s="898"/>
      <c r="L212" s="898"/>
      <c r="M212" s="898"/>
      <c r="N212" s="48"/>
      <c r="O212" s="896"/>
      <c r="P212" s="896"/>
      <c r="Q212" s="896"/>
      <c r="R212" s="898"/>
      <c r="S212" s="898"/>
      <c r="T212" s="898"/>
      <c r="U212" s="898"/>
      <c r="V212" s="898"/>
      <c r="W212" s="48"/>
      <c r="X212" s="896"/>
      <c r="Y212" s="896"/>
      <c r="Z212" s="896"/>
      <c r="AA212" s="898"/>
      <c r="AB212" s="898"/>
      <c r="AC212" s="898"/>
      <c r="AD212" s="898"/>
      <c r="AE212" s="898"/>
      <c r="AF212" s="48"/>
      <c r="AG212" s="896"/>
      <c r="AH212" s="896"/>
      <c r="AI212" s="896"/>
      <c r="AJ212" s="898"/>
      <c r="AK212" s="898"/>
      <c r="AL212" s="898"/>
      <c r="AM212" s="898"/>
      <c r="AN212" s="898"/>
      <c r="AO212" s="48"/>
      <c r="AP212" s="896"/>
      <c r="AQ212" s="896"/>
      <c r="AR212" s="896"/>
      <c r="AS212" s="898"/>
      <c r="AT212" s="898"/>
      <c r="AU212" s="898"/>
      <c r="AV212" s="898"/>
      <c r="AW212" s="898"/>
      <c r="AX212" s="48"/>
      <c r="AY212" s="896"/>
      <c r="AZ212" s="896"/>
      <c r="BA212" s="896"/>
      <c r="BB212" s="898"/>
      <c r="BC212" s="898"/>
      <c r="BD212" s="898"/>
      <c r="BE212" s="898"/>
      <c r="BF212" s="898"/>
      <c r="BG212" s="48"/>
      <c r="BH212" s="896"/>
      <c r="BI212" s="896"/>
      <c r="BJ212" s="896"/>
      <c r="BK212" s="898"/>
      <c r="BL212" s="898"/>
      <c r="BM212" s="898"/>
      <c r="BN212" s="898"/>
      <c r="BO212" s="898"/>
      <c r="BP212" s="48"/>
      <c r="BQ212" s="896"/>
      <c r="BR212" s="896"/>
      <c r="BS212" s="896"/>
      <c r="BT212" s="898"/>
      <c r="BU212" s="898"/>
      <c r="BV212" s="898"/>
      <c r="BW212" s="898"/>
      <c r="BX212" s="898"/>
      <c r="BY212" s="48"/>
      <c r="BZ212" s="896"/>
      <c r="CA212" s="896"/>
      <c r="CB212" s="896"/>
      <c r="CC212" s="898"/>
      <c r="CD212" s="898"/>
      <c r="CE212" s="898"/>
      <c r="CF212" s="898"/>
      <c r="CG212" s="898"/>
      <c r="CH212" s="50"/>
      <c r="CI212" s="896"/>
      <c r="CJ212" s="896"/>
      <c r="CK212" s="896"/>
      <c r="CL212" s="898"/>
      <c r="CM212" s="898"/>
      <c r="CN212" s="898"/>
      <c r="CO212" s="898"/>
      <c r="CP212" s="898"/>
      <c r="CQ212" s="5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2"/>
      <c r="HF212" s="32"/>
    </row>
    <row r="213" spans="2:214" x14ac:dyDescent="0.25">
      <c r="B213" s="908"/>
      <c r="C213" s="48"/>
      <c r="D213" s="908"/>
      <c r="E213" s="48"/>
      <c r="F213" s="896"/>
      <c r="G213" s="896"/>
      <c r="H213" s="896"/>
      <c r="I213" s="898"/>
      <c r="J213" s="898"/>
      <c r="K213" s="898"/>
      <c r="L213" s="898"/>
      <c r="M213" s="898"/>
      <c r="N213" s="48"/>
      <c r="O213" s="896"/>
      <c r="P213" s="896"/>
      <c r="Q213" s="896"/>
      <c r="R213" s="898"/>
      <c r="S213" s="898"/>
      <c r="T213" s="898"/>
      <c r="U213" s="898"/>
      <c r="V213" s="898"/>
      <c r="W213" s="48"/>
      <c r="X213" s="896"/>
      <c r="Y213" s="896"/>
      <c r="Z213" s="896"/>
      <c r="AA213" s="898"/>
      <c r="AB213" s="898"/>
      <c r="AC213" s="898"/>
      <c r="AD213" s="898"/>
      <c r="AE213" s="898"/>
      <c r="AF213" s="48"/>
      <c r="AG213" s="896"/>
      <c r="AH213" s="896"/>
      <c r="AI213" s="896"/>
      <c r="AJ213" s="898"/>
      <c r="AK213" s="898"/>
      <c r="AL213" s="898"/>
      <c r="AM213" s="898"/>
      <c r="AN213" s="898"/>
      <c r="AO213" s="48"/>
      <c r="AP213" s="896"/>
      <c r="AQ213" s="896"/>
      <c r="AR213" s="896"/>
      <c r="AS213" s="898"/>
      <c r="AT213" s="898"/>
      <c r="AU213" s="898"/>
      <c r="AV213" s="898"/>
      <c r="AW213" s="898"/>
      <c r="AX213" s="48"/>
      <c r="AY213" s="896"/>
      <c r="AZ213" s="896"/>
      <c r="BA213" s="896"/>
      <c r="BB213" s="898"/>
      <c r="BC213" s="898"/>
      <c r="BD213" s="898"/>
      <c r="BE213" s="898"/>
      <c r="BF213" s="898"/>
      <c r="BG213" s="48"/>
      <c r="BH213" s="896"/>
      <c r="BI213" s="896"/>
      <c r="BJ213" s="896"/>
      <c r="BK213" s="898"/>
      <c r="BL213" s="898"/>
      <c r="BM213" s="898"/>
      <c r="BN213" s="898"/>
      <c r="BO213" s="898"/>
      <c r="BP213" s="48"/>
      <c r="BQ213" s="896"/>
      <c r="BR213" s="896"/>
      <c r="BS213" s="896"/>
      <c r="BT213" s="898"/>
      <c r="BU213" s="898"/>
      <c r="BV213" s="898"/>
      <c r="BW213" s="898"/>
      <c r="BX213" s="898"/>
      <c r="BY213" s="48"/>
      <c r="BZ213" s="896"/>
      <c r="CA213" s="896"/>
      <c r="CB213" s="896"/>
      <c r="CC213" s="898"/>
      <c r="CD213" s="898"/>
      <c r="CE213" s="898"/>
      <c r="CF213" s="898"/>
      <c r="CG213" s="898"/>
      <c r="CH213" s="50"/>
      <c r="CI213" s="896"/>
      <c r="CJ213" s="896"/>
      <c r="CK213" s="896"/>
      <c r="CL213" s="898"/>
      <c r="CM213" s="898"/>
      <c r="CN213" s="898"/>
      <c r="CO213" s="898"/>
      <c r="CP213" s="898"/>
      <c r="CQ213" s="5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2"/>
      <c r="HF213" s="32"/>
    </row>
    <row r="214" spans="2:214" x14ac:dyDescent="0.25">
      <c r="B214" s="908"/>
      <c r="C214" s="48"/>
      <c r="D214" s="908"/>
      <c r="E214" s="48"/>
      <c r="F214" s="896" t="s">
        <v>6</v>
      </c>
      <c r="G214" s="896"/>
      <c r="H214" s="896"/>
      <c r="I214" s="898" t="s">
        <v>329</v>
      </c>
      <c r="J214" s="898"/>
      <c r="K214" s="898"/>
      <c r="L214" s="898"/>
      <c r="M214" s="898"/>
      <c r="N214" s="48"/>
      <c r="O214" s="896" t="s">
        <v>6</v>
      </c>
      <c r="P214" s="896"/>
      <c r="Q214" s="896"/>
      <c r="R214" s="898" t="s">
        <v>9</v>
      </c>
      <c r="S214" s="898"/>
      <c r="T214" s="898"/>
      <c r="U214" s="898"/>
      <c r="V214" s="898"/>
      <c r="W214" s="48"/>
      <c r="X214" s="896" t="s">
        <v>6</v>
      </c>
      <c r="Y214" s="896"/>
      <c r="Z214" s="896"/>
      <c r="AA214" s="898" t="s">
        <v>9</v>
      </c>
      <c r="AB214" s="898"/>
      <c r="AC214" s="898"/>
      <c r="AD214" s="898"/>
      <c r="AE214" s="898"/>
      <c r="AF214" s="48"/>
      <c r="AG214" s="896" t="s">
        <v>6</v>
      </c>
      <c r="AH214" s="896"/>
      <c r="AI214" s="896"/>
      <c r="AJ214" s="898" t="s">
        <v>9</v>
      </c>
      <c r="AK214" s="898"/>
      <c r="AL214" s="898"/>
      <c r="AM214" s="898"/>
      <c r="AN214" s="898"/>
      <c r="AO214" s="48"/>
      <c r="AP214" s="896" t="s">
        <v>6</v>
      </c>
      <c r="AQ214" s="896"/>
      <c r="AR214" s="896"/>
      <c r="AS214" s="898" t="s">
        <v>9</v>
      </c>
      <c r="AT214" s="898"/>
      <c r="AU214" s="898"/>
      <c r="AV214" s="898"/>
      <c r="AW214" s="898"/>
      <c r="AX214" s="48"/>
      <c r="AY214" s="896" t="s">
        <v>6</v>
      </c>
      <c r="AZ214" s="896"/>
      <c r="BA214" s="896"/>
      <c r="BB214" s="898" t="s">
        <v>9</v>
      </c>
      <c r="BC214" s="898"/>
      <c r="BD214" s="898"/>
      <c r="BE214" s="898"/>
      <c r="BF214" s="898"/>
      <c r="BG214" s="48"/>
      <c r="BH214" s="896" t="s">
        <v>6</v>
      </c>
      <c r="BI214" s="896"/>
      <c r="BJ214" s="896"/>
      <c r="BK214" s="898" t="s">
        <v>9</v>
      </c>
      <c r="BL214" s="898"/>
      <c r="BM214" s="898"/>
      <c r="BN214" s="898"/>
      <c r="BO214" s="898"/>
      <c r="BP214" s="48"/>
      <c r="BQ214" s="896" t="s">
        <v>6</v>
      </c>
      <c r="BR214" s="896"/>
      <c r="BS214" s="896"/>
      <c r="BT214" s="898" t="s">
        <v>9</v>
      </c>
      <c r="BU214" s="898"/>
      <c r="BV214" s="898"/>
      <c r="BW214" s="898"/>
      <c r="BX214" s="898"/>
      <c r="BY214" s="48"/>
      <c r="BZ214" s="896" t="s">
        <v>6</v>
      </c>
      <c r="CA214" s="896"/>
      <c r="CB214" s="896"/>
      <c r="CC214" s="898" t="s">
        <v>9</v>
      </c>
      <c r="CD214" s="898"/>
      <c r="CE214" s="898"/>
      <c r="CF214" s="898"/>
      <c r="CG214" s="898"/>
      <c r="CH214" s="50"/>
      <c r="CI214" s="896" t="s">
        <v>6</v>
      </c>
      <c r="CJ214" s="896"/>
      <c r="CK214" s="896"/>
      <c r="CL214" s="898" t="s">
        <v>9</v>
      </c>
      <c r="CM214" s="898"/>
      <c r="CN214" s="898"/>
      <c r="CO214" s="898"/>
      <c r="CP214" s="898"/>
      <c r="CQ214" s="5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2"/>
      <c r="HF214" s="32"/>
    </row>
    <row r="215" spans="2:214" x14ac:dyDescent="0.25">
      <c r="B215" s="908"/>
      <c r="C215" s="48"/>
      <c r="D215" s="908"/>
      <c r="E215" s="48"/>
      <c r="F215" s="896"/>
      <c r="G215" s="896"/>
      <c r="H215" s="896"/>
      <c r="I215" s="898"/>
      <c r="J215" s="898"/>
      <c r="K215" s="898"/>
      <c r="L215" s="898"/>
      <c r="M215" s="898"/>
      <c r="N215" s="48"/>
      <c r="O215" s="896"/>
      <c r="P215" s="896"/>
      <c r="Q215" s="896"/>
      <c r="R215" s="898"/>
      <c r="S215" s="898"/>
      <c r="T215" s="898"/>
      <c r="U215" s="898"/>
      <c r="V215" s="898"/>
      <c r="W215" s="48"/>
      <c r="X215" s="896"/>
      <c r="Y215" s="896"/>
      <c r="Z215" s="896"/>
      <c r="AA215" s="898"/>
      <c r="AB215" s="898"/>
      <c r="AC215" s="898"/>
      <c r="AD215" s="898"/>
      <c r="AE215" s="898"/>
      <c r="AF215" s="48"/>
      <c r="AG215" s="896"/>
      <c r="AH215" s="896"/>
      <c r="AI215" s="896"/>
      <c r="AJ215" s="898"/>
      <c r="AK215" s="898"/>
      <c r="AL215" s="898"/>
      <c r="AM215" s="898"/>
      <c r="AN215" s="898"/>
      <c r="AO215" s="48"/>
      <c r="AP215" s="896"/>
      <c r="AQ215" s="896"/>
      <c r="AR215" s="896"/>
      <c r="AS215" s="898"/>
      <c r="AT215" s="898"/>
      <c r="AU215" s="898"/>
      <c r="AV215" s="898"/>
      <c r="AW215" s="898"/>
      <c r="AX215" s="48"/>
      <c r="AY215" s="896"/>
      <c r="AZ215" s="896"/>
      <c r="BA215" s="896"/>
      <c r="BB215" s="898"/>
      <c r="BC215" s="898"/>
      <c r="BD215" s="898"/>
      <c r="BE215" s="898"/>
      <c r="BF215" s="898"/>
      <c r="BG215" s="48"/>
      <c r="BH215" s="896"/>
      <c r="BI215" s="896"/>
      <c r="BJ215" s="896"/>
      <c r="BK215" s="898"/>
      <c r="BL215" s="898"/>
      <c r="BM215" s="898"/>
      <c r="BN215" s="898"/>
      <c r="BO215" s="898"/>
      <c r="BP215" s="48"/>
      <c r="BQ215" s="896"/>
      <c r="BR215" s="896"/>
      <c r="BS215" s="896"/>
      <c r="BT215" s="898"/>
      <c r="BU215" s="898"/>
      <c r="BV215" s="898"/>
      <c r="BW215" s="898"/>
      <c r="BX215" s="898"/>
      <c r="BY215" s="48"/>
      <c r="BZ215" s="896"/>
      <c r="CA215" s="896"/>
      <c r="CB215" s="896"/>
      <c r="CC215" s="898"/>
      <c r="CD215" s="898"/>
      <c r="CE215" s="898"/>
      <c r="CF215" s="898"/>
      <c r="CG215" s="898"/>
      <c r="CH215" s="50"/>
      <c r="CI215" s="896"/>
      <c r="CJ215" s="896"/>
      <c r="CK215" s="896"/>
      <c r="CL215" s="898"/>
      <c r="CM215" s="898"/>
      <c r="CN215" s="898"/>
      <c r="CO215" s="898"/>
      <c r="CP215" s="898"/>
      <c r="CQ215" s="5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2"/>
      <c r="HF215" s="32"/>
    </row>
    <row r="216" spans="2:214" x14ac:dyDescent="0.25">
      <c r="B216" s="908"/>
      <c r="C216" s="48"/>
      <c r="D216" s="908"/>
      <c r="E216" s="48"/>
      <c r="F216" s="896"/>
      <c r="G216" s="896"/>
      <c r="H216" s="896"/>
      <c r="I216" s="898"/>
      <c r="J216" s="898"/>
      <c r="K216" s="898"/>
      <c r="L216" s="898"/>
      <c r="M216" s="898"/>
      <c r="N216" s="48"/>
      <c r="O216" s="896"/>
      <c r="P216" s="896"/>
      <c r="Q216" s="896"/>
      <c r="R216" s="898"/>
      <c r="S216" s="898"/>
      <c r="T216" s="898"/>
      <c r="U216" s="898"/>
      <c r="V216" s="898"/>
      <c r="W216" s="48"/>
      <c r="X216" s="896"/>
      <c r="Y216" s="896"/>
      <c r="Z216" s="896"/>
      <c r="AA216" s="898"/>
      <c r="AB216" s="898"/>
      <c r="AC216" s="898"/>
      <c r="AD216" s="898"/>
      <c r="AE216" s="898"/>
      <c r="AF216" s="48"/>
      <c r="AG216" s="896"/>
      <c r="AH216" s="896"/>
      <c r="AI216" s="896"/>
      <c r="AJ216" s="898"/>
      <c r="AK216" s="898"/>
      <c r="AL216" s="898"/>
      <c r="AM216" s="898"/>
      <c r="AN216" s="898"/>
      <c r="AO216" s="48"/>
      <c r="AP216" s="896"/>
      <c r="AQ216" s="896"/>
      <c r="AR216" s="896"/>
      <c r="AS216" s="898"/>
      <c r="AT216" s="898"/>
      <c r="AU216" s="898"/>
      <c r="AV216" s="898"/>
      <c r="AW216" s="898"/>
      <c r="AX216" s="48"/>
      <c r="AY216" s="896"/>
      <c r="AZ216" s="896"/>
      <c r="BA216" s="896"/>
      <c r="BB216" s="898"/>
      <c r="BC216" s="898"/>
      <c r="BD216" s="898"/>
      <c r="BE216" s="898"/>
      <c r="BF216" s="898"/>
      <c r="BG216" s="48"/>
      <c r="BH216" s="896"/>
      <c r="BI216" s="896"/>
      <c r="BJ216" s="896"/>
      <c r="BK216" s="898"/>
      <c r="BL216" s="898"/>
      <c r="BM216" s="898"/>
      <c r="BN216" s="898"/>
      <c r="BO216" s="898"/>
      <c r="BP216" s="48"/>
      <c r="BQ216" s="896"/>
      <c r="BR216" s="896"/>
      <c r="BS216" s="896"/>
      <c r="BT216" s="898"/>
      <c r="BU216" s="898"/>
      <c r="BV216" s="898"/>
      <c r="BW216" s="898"/>
      <c r="BX216" s="898"/>
      <c r="BY216" s="48"/>
      <c r="BZ216" s="896"/>
      <c r="CA216" s="896"/>
      <c r="CB216" s="896"/>
      <c r="CC216" s="898"/>
      <c r="CD216" s="898"/>
      <c r="CE216" s="898"/>
      <c r="CF216" s="898"/>
      <c r="CG216" s="898"/>
      <c r="CH216" s="50"/>
      <c r="CI216" s="896"/>
      <c r="CJ216" s="896"/>
      <c r="CK216" s="896"/>
      <c r="CL216" s="898"/>
      <c r="CM216" s="898"/>
      <c r="CN216" s="898"/>
      <c r="CO216" s="898"/>
      <c r="CP216" s="898"/>
      <c r="CQ216" s="5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2"/>
      <c r="HF216" s="32"/>
    </row>
    <row r="217" spans="2:214" ht="15.75" customHeight="1" x14ac:dyDescent="0.25">
      <c r="B217" s="908"/>
      <c r="C217" s="48"/>
      <c r="D217" s="908"/>
      <c r="E217" s="48"/>
      <c r="F217" s="896" t="s">
        <v>7</v>
      </c>
      <c r="G217" s="896"/>
      <c r="H217" s="896"/>
      <c r="I217" s="897" t="s">
        <v>330</v>
      </c>
      <c r="J217" s="898"/>
      <c r="K217" s="898"/>
      <c r="L217" s="898"/>
      <c r="M217" s="898"/>
      <c r="N217" s="48"/>
      <c r="O217" s="896" t="s">
        <v>7</v>
      </c>
      <c r="P217" s="896"/>
      <c r="Q217" s="896"/>
      <c r="R217" s="897" t="s">
        <v>331</v>
      </c>
      <c r="S217" s="898"/>
      <c r="T217" s="898"/>
      <c r="U217" s="898"/>
      <c r="V217" s="898"/>
      <c r="W217" s="48"/>
      <c r="X217" s="896" t="s">
        <v>7</v>
      </c>
      <c r="Y217" s="896"/>
      <c r="Z217" s="896"/>
      <c r="AA217" s="897" t="s">
        <v>627</v>
      </c>
      <c r="AB217" s="898"/>
      <c r="AC217" s="898"/>
      <c r="AD217" s="898"/>
      <c r="AE217" s="898"/>
      <c r="AF217" s="48"/>
      <c r="AG217" s="896" t="s">
        <v>7</v>
      </c>
      <c r="AH217" s="896"/>
      <c r="AI217" s="896"/>
      <c r="AJ217" s="897" t="s">
        <v>628</v>
      </c>
      <c r="AK217" s="898"/>
      <c r="AL217" s="898"/>
      <c r="AM217" s="898"/>
      <c r="AN217" s="898"/>
      <c r="AO217" s="48"/>
      <c r="AP217" s="896" t="s">
        <v>7</v>
      </c>
      <c r="AQ217" s="896"/>
      <c r="AR217" s="896"/>
      <c r="AS217" s="897" t="s">
        <v>629</v>
      </c>
      <c r="AT217" s="898"/>
      <c r="AU217" s="898"/>
      <c r="AV217" s="898"/>
      <c r="AW217" s="898"/>
      <c r="AX217" s="48"/>
      <c r="AY217" s="896" t="s">
        <v>7</v>
      </c>
      <c r="AZ217" s="896"/>
      <c r="BA217" s="896"/>
      <c r="BB217" s="897" t="s">
        <v>631</v>
      </c>
      <c r="BC217" s="898"/>
      <c r="BD217" s="898"/>
      <c r="BE217" s="898"/>
      <c r="BF217" s="898"/>
      <c r="BG217" s="48"/>
      <c r="BH217" s="896" t="s">
        <v>7</v>
      </c>
      <c r="BI217" s="896"/>
      <c r="BJ217" s="896"/>
      <c r="BK217" s="897" t="s">
        <v>634</v>
      </c>
      <c r="BL217" s="898"/>
      <c r="BM217" s="898"/>
      <c r="BN217" s="898"/>
      <c r="BO217" s="898"/>
      <c r="BP217" s="48"/>
      <c r="BQ217" s="896" t="s">
        <v>7</v>
      </c>
      <c r="BR217" s="896"/>
      <c r="BS217" s="896"/>
      <c r="BT217" s="897" t="s">
        <v>538</v>
      </c>
      <c r="BU217" s="898"/>
      <c r="BV217" s="898"/>
      <c r="BW217" s="898"/>
      <c r="BX217" s="898"/>
      <c r="BY217" s="48"/>
      <c r="BZ217" s="896" t="s">
        <v>7</v>
      </c>
      <c r="CA217" s="896"/>
      <c r="CB217" s="896"/>
      <c r="CC217" s="898" t="s">
        <v>671</v>
      </c>
      <c r="CD217" s="898"/>
      <c r="CE217" s="898"/>
      <c r="CF217" s="898"/>
      <c r="CG217" s="898"/>
      <c r="CH217" s="50"/>
      <c r="CI217" s="896" t="s">
        <v>7</v>
      </c>
      <c r="CJ217" s="896"/>
      <c r="CK217" s="896"/>
      <c r="CL217" s="898" t="s">
        <v>669</v>
      </c>
      <c r="CM217" s="898"/>
      <c r="CN217" s="898"/>
      <c r="CO217" s="898"/>
      <c r="CP217" s="898"/>
      <c r="CQ217" s="5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2"/>
      <c r="HF217" s="32"/>
    </row>
    <row r="218" spans="2:214" x14ac:dyDescent="0.25">
      <c r="B218" s="908"/>
      <c r="C218" s="48"/>
      <c r="D218" s="908"/>
      <c r="E218" s="48"/>
      <c r="F218" s="896"/>
      <c r="G218" s="896"/>
      <c r="H218" s="896"/>
      <c r="I218" s="898"/>
      <c r="J218" s="898"/>
      <c r="K218" s="898"/>
      <c r="L218" s="898"/>
      <c r="M218" s="898"/>
      <c r="N218" s="48"/>
      <c r="O218" s="896"/>
      <c r="P218" s="896"/>
      <c r="Q218" s="896"/>
      <c r="R218" s="898"/>
      <c r="S218" s="898"/>
      <c r="T218" s="898"/>
      <c r="U218" s="898"/>
      <c r="V218" s="898"/>
      <c r="W218" s="48"/>
      <c r="X218" s="896"/>
      <c r="Y218" s="896"/>
      <c r="Z218" s="896"/>
      <c r="AA218" s="898"/>
      <c r="AB218" s="898"/>
      <c r="AC218" s="898"/>
      <c r="AD218" s="898"/>
      <c r="AE218" s="898"/>
      <c r="AF218" s="48"/>
      <c r="AG218" s="896"/>
      <c r="AH218" s="896"/>
      <c r="AI218" s="896"/>
      <c r="AJ218" s="898"/>
      <c r="AK218" s="898"/>
      <c r="AL218" s="898"/>
      <c r="AM218" s="898"/>
      <c r="AN218" s="898"/>
      <c r="AO218" s="48"/>
      <c r="AP218" s="896"/>
      <c r="AQ218" s="896"/>
      <c r="AR218" s="896"/>
      <c r="AS218" s="898"/>
      <c r="AT218" s="898"/>
      <c r="AU218" s="898"/>
      <c r="AV218" s="898"/>
      <c r="AW218" s="898"/>
      <c r="AX218" s="48"/>
      <c r="AY218" s="896"/>
      <c r="AZ218" s="896"/>
      <c r="BA218" s="896"/>
      <c r="BB218" s="898"/>
      <c r="BC218" s="898"/>
      <c r="BD218" s="898"/>
      <c r="BE218" s="898"/>
      <c r="BF218" s="898"/>
      <c r="BG218" s="48"/>
      <c r="BH218" s="896"/>
      <c r="BI218" s="896"/>
      <c r="BJ218" s="896"/>
      <c r="BK218" s="898"/>
      <c r="BL218" s="898"/>
      <c r="BM218" s="898"/>
      <c r="BN218" s="898"/>
      <c r="BO218" s="898"/>
      <c r="BP218" s="48"/>
      <c r="BQ218" s="896"/>
      <c r="BR218" s="896"/>
      <c r="BS218" s="896"/>
      <c r="BT218" s="898"/>
      <c r="BU218" s="898"/>
      <c r="BV218" s="898"/>
      <c r="BW218" s="898"/>
      <c r="BX218" s="898"/>
      <c r="BY218" s="48"/>
      <c r="BZ218" s="896"/>
      <c r="CA218" s="896"/>
      <c r="CB218" s="896"/>
      <c r="CC218" s="898"/>
      <c r="CD218" s="898"/>
      <c r="CE218" s="898"/>
      <c r="CF218" s="898"/>
      <c r="CG218" s="898"/>
      <c r="CH218" s="50"/>
      <c r="CI218" s="896"/>
      <c r="CJ218" s="896"/>
      <c r="CK218" s="896"/>
      <c r="CL218" s="898"/>
      <c r="CM218" s="898"/>
      <c r="CN218" s="898"/>
      <c r="CO218" s="898"/>
      <c r="CP218" s="898"/>
      <c r="CQ218" s="5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2"/>
      <c r="HF218" s="32"/>
    </row>
    <row r="219" spans="2:214" ht="16.5" thickBot="1" x14ac:dyDescent="0.3">
      <c r="B219" s="908"/>
      <c r="C219" s="48"/>
      <c r="D219" s="909"/>
      <c r="E219" s="48"/>
      <c r="F219" s="896"/>
      <c r="G219" s="896"/>
      <c r="H219" s="896"/>
      <c r="I219" s="898"/>
      <c r="J219" s="898"/>
      <c r="K219" s="898"/>
      <c r="L219" s="898"/>
      <c r="M219" s="898"/>
      <c r="N219" s="48"/>
      <c r="O219" s="896"/>
      <c r="P219" s="896"/>
      <c r="Q219" s="896"/>
      <c r="R219" s="898"/>
      <c r="S219" s="898"/>
      <c r="T219" s="898"/>
      <c r="U219" s="898"/>
      <c r="V219" s="898"/>
      <c r="W219" s="48"/>
      <c r="X219" s="896"/>
      <c r="Y219" s="896"/>
      <c r="Z219" s="896"/>
      <c r="AA219" s="898"/>
      <c r="AB219" s="898"/>
      <c r="AC219" s="898"/>
      <c r="AD219" s="898"/>
      <c r="AE219" s="898"/>
      <c r="AF219" s="48"/>
      <c r="AG219" s="896"/>
      <c r="AH219" s="896"/>
      <c r="AI219" s="896"/>
      <c r="AJ219" s="898"/>
      <c r="AK219" s="898"/>
      <c r="AL219" s="898"/>
      <c r="AM219" s="898"/>
      <c r="AN219" s="898"/>
      <c r="AO219" s="48"/>
      <c r="AP219" s="896"/>
      <c r="AQ219" s="896"/>
      <c r="AR219" s="896"/>
      <c r="AS219" s="898"/>
      <c r="AT219" s="898"/>
      <c r="AU219" s="898"/>
      <c r="AV219" s="898"/>
      <c r="AW219" s="898"/>
      <c r="AX219" s="48"/>
      <c r="AY219" s="896"/>
      <c r="AZ219" s="896"/>
      <c r="BA219" s="896"/>
      <c r="BB219" s="898"/>
      <c r="BC219" s="898"/>
      <c r="BD219" s="898"/>
      <c r="BE219" s="898"/>
      <c r="BF219" s="898"/>
      <c r="BG219" s="48"/>
      <c r="BH219" s="896"/>
      <c r="BI219" s="896"/>
      <c r="BJ219" s="896"/>
      <c r="BK219" s="898"/>
      <c r="BL219" s="898"/>
      <c r="BM219" s="898"/>
      <c r="BN219" s="898"/>
      <c r="BO219" s="898"/>
      <c r="BP219" s="48"/>
      <c r="BQ219" s="896"/>
      <c r="BR219" s="896"/>
      <c r="BS219" s="896"/>
      <c r="BT219" s="898"/>
      <c r="BU219" s="898"/>
      <c r="BV219" s="898"/>
      <c r="BW219" s="898"/>
      <c r="BX219" s="898"/>
      <c r="BY219" s="48"/>
      <c r="BZ219" s="896"/>
      <c r="CA219" s="896"/>
      <c r="CB219" s="896"/>
      <c r="CC219" s="898"/>
      <c r="CD219" s="898"/>
      <c r="CE219" s="898"/>
      <c r="CF219" s="898"/>
      <c r="CG219" s="898"/>
      <c r="CH219" s="50"/>
      <c r="CI219" s="896"/>
      <c r="CJ219" s="896"/>
      <c r="CK219" s="896"/>
      <c r="CL219" s="898"/>
      <c r="CM219" s="898"/>
      <c r="CN219" s="898"/>
      <c r="CO219" s="898"/>
      <c r="CP219" s="898"/>
      <c r="CQ219" s="5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2"/>
      <c r="HF219" s="32"/>
    </row>
    <row r="220" spans="2:214" x14ac:dyDescent="0.25">
      <c r="B220" s="90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50"/>
      <c r="CA220" s="50"/>
      <c r="CB220" s="50"/>
      <c r="CC220" s="50"/>
      <c r="CD220" s="50"/>
      <c r="CE220" s="50"/>
      <c r="CF220" s="50"/>
      <c r="CG220" s="50"/>
      <c r="CH220" s="50"/>
      <c r="CI220" s="50"/>
      <c r="CJ220" s="50"/>
      <c r="CK220" s="50"/>
      <c r="CL220" s="50"/>
      <c r="CM220" s="50"/>
      <c r="CN220" s="50"/>
      <c r="CO220" s="50"/>
      <c r="CP220" s="50"/>
      <c r="CQ220" s="5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2"/>
      <c r="HF220" s="32"/>
    </row>
    <row r="221" spans="2:214" ht="16.5" thickBot="1" x14ac:dyDescent="0.3">
      <c r="B221" s="90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9"/>
    </row>
    <row r="222" spans="2:214" ht="15.75" customHeight="1" x14ac:dyDescent="0.25">
      <c r="B222" s="908"/>
      <c r="C222" s="48"/>
      <c r="D222" s="907" t="s">
        <v>936</v>
      </c>
      <c r="E222" s="48"/>
      <c r="F222" s="910" t="s">
        <v>8</v>
      </c>
      <c r="G222" s="910"/>
      <c r="H222" s="910"/>
      <c r="I222" s="910"/>
      <c r="J222" s="910"/>
      <c r="K222" s="910"/>
      <c r="L222" s="910"/>
      <c r="M222" s="910"/>
      <c r="N222" s="48"/>
      <c r="O222" s="910" t="s">
        <v>8</v>
      </c>
      <c r="P222" s="910"/>
      <c r="Q222" s="910"/>
      <c r="R222" s="910"/>
      <c r="S222" s="910"/>
      <c r="T222" s="910"/>
      <c r="U222" s="910"/>
      <c r="V222" s="910"/>
      <c r="W222" s="48"/>
      <c r="X222" s="910" t="s">
        <v>8</v>
      </c>
      <c r="Y222" s="910"/>
      <c r="Z222" s="910"/>
      <c r="AA222" s="910"/>
      <c r="AB222" s="910"/>
      <c r="AC222" s="910"/>
      <c r="AD222" s="910"/>
      <c r="AE222" s="910"/>
      <c r="AF222" s="50"/>
      <c r="AG222" s="910" t="s">
        <v>8</v>
      </c>
      <c r="AH222" s="910"/>
      <c r="AI222" s="910"/>
      <c r="AJ222" s="910"/>
      <c r="AK222" s="910"/>
      <c r="AL222" s="910"/>
      <c r="AM222" s="910"/>
      <c r="AN222" s="910"/>
      <c r="AO222" s="50"/>
      <c r="AP222" s="910" t="s">
        <v>8</v>
      </c>
      <c r="AQ222" s="910"/>
      <c r="AR222" s="910"/>
      <c r="AS222" s="910"/>
      <c r="AT222" s="910"/>
      <c r="AU222" s="910"/>
      <c r="AV222" s="910"/>
      <c r="AW222" s="91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48"/>
      <c r="CI222" s="48"/>
      <c r="CJ222" s="48"/>
      <c r="CK222" s="48"/>
      <c r="CL222" s="48"/>
      <c r="CM222" s="48"/>
      <c r="CN222" s="48"/>
      <c r="CO222" s="48"/>
      <c r="CP222" s="48"/>
      <c r="CQ222" s="49"/>
    </row>
    <row r="223" spans="2:214" x14ac:dyDescent="0.25">
      <c r="B223" s="908"/>
      <c r="C223" s="48"/>
      <c r="D223" s="908"/>
      <c r="E223" s="48"/>
      <c r="F223" s="895" t="s">
        <v>0</v>
      </c>
      <c r="G223" s="895"/>
      <c r="H223" s="895"/>
      <c r="I223" s="895" t="s">
        <v>1</v>
      </c>
      <c r="J223" s="895"/>
      <c r="K223" s="895"/>
      <c r="L223" s="895"/>
      <c r="M223" s="895"/>
      <c r="N223" s="48"/>
      <c r="O223" s="895" t="s">
        <v>0</v>
      </c>
      <c r="P223" s="895"/>
      <c r="Q223" s="895"/>
      <c r="R223" s="895" t="s">
        <v>1</v>
      </c>
      <c r="S223" s="895"/>
      <c r="T223" s="895"/>
      <c r="U223" s="895"/>
      <c r="V223" s="895"/>
      <c r="W223" s="48"/>
      <c r="X223" s="895" t="s">
        <v>0</v>
      </c>
      <c r="Y223" s="895"/>
      <c r="Z223" s="895"/>
      <c r="AA223" s="895" t="s">
        <v>1</v>
      </c>
      <c r="AB223" s="895"/>
      <c r="AC223" s="895"/>
      <c r="AD223" s="895"/>
      <c r="AE223" s="895"/>
      <c r="AF223" s="50"/>
      <c r="AG223" s="895" t="s">
        <v>0</v>
      </c>
      <c r="AH223" s="895"/>
      <c r="AI223" s="895"/>
      <c r="AJ223" s="895" t="s">
        <v>1</v>
      </c>
      <c r="AK223" s="895"/>
      <c r="AL223" s="895"/>
      <c r="AM223" s="895"/>
      <c r="AN223" s="895"/>
      <c r="AO223" s="50"/>
      <c r="AP223" s="895" t="s">
        <v>0</v>
      </c>
      <c r="AQ223" s="895"/>
      <c r="AR223" s="895"/>
      <c r="AS223" s="895" t="s">
        <v>1</v>
      </c>
      <c r="AT223" s="895"/>
      <c r="AU223" s="895"/>
      <c r="AV223" s="895"/>
      <c r="AW223" s="895"/>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48"/>
      <c r="CI223" s="48"/>
      <c r="CJ223" s="48"/>
      <c r="CK223" s="48"/>
      <c r="CL223" s="48"/>
      <c r="CM223" s="48"/>
      <c r="CN223" s="48"/>
      <c r="CO223" s="48"/>
      <c r="CP223" s="48"/>
      <c r="CQ223" s="49"/>
    </row>
    <row r="224" spans="2:214" x14ac:dyDescent="0.25">
      <c r="B224" s="908"/>
      <c r="C224" s="48"/>
      <c r="D224" s="908"/>
      <c r="E224" s="48"/>
      <c r="F224" s="896" t="s">
        <v>2</v>
      </c>
      <c r="G224" s="896"/>
      <c r="H224" s="896"/>
      <c r="I224" s="898" t="s">
        <v>987</v>
      </c>
      <c r="J224" s="898"/>
      <c r="K224" s="898"/>
      <c r="L224" s="898"/>
      <c r="M224" s="898"/>
      <c r="N224" s="48"/>
      <c r="O224" s="896" t="s">
        <v>2</v>
      </c>
      <c r="P224" s="896"/>
      <c r="Q224" s="896"/>
      <c r="R224" s="898" t="s">
        <v>986</v>
      </c>
      <c r="S224" s="898"/>
      <c r="T224" s="898"/>
      <c r="U224" s="898"/>
      <c r="V224" s="898"/>
      <c r="W224" s="48"/>
      <c r="X224" s="896" t="s">
        <v>2</v>
      </c>
      <c r="Y224" s="896"/>
      <c r="Z224" s="896"/>
      <c r="AA224" s="898" t="s">
        <v>944</v>
      </c>
      <c r="AB224" s="898"/>
      <c r="AC224" s="898"/>
      <c r="AD224" s="898"/>
      <c r="AE224" s="898"/>
      <c r="AF224" s="50"/>
      <c r="AG224" s="896" t="s">
        <v>2</v>
      </c>
      <c r="AH224" s="896"/>
      <c r="AI224" s="896"/>
      <c r="AJ224" s="898" t="s">
        <v>945</v>
      </c>
      <c r="AK224" s="898"/>
      <c r="AL224" s="898"/>
      <c r="AM224" s="898"/>
      <c r="AN224" s="898"/>
      <c r="AO224" s="50"/>
      <c r="AP224" s="896" t="s">
        <v>2</v>
      </c>
      <c r="AQ224" s="896"/>
      <c r="AR224" s="896"/>
      <c r="AS224" s="898" t="s">
        <v>191</v>
      </c>
      <c r="AT224" s="898"/>
      <c r="AU224" s="898"/>
      <c r="AV224" s="898"/>
      <c r="AW224" s="898"/>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48"/>
      <c r="CI224" s="48"/>
      <c r="CJ224" s="48"/>
      <c r="CK224" s="48"/>
      <c r="CL224" s="48"/>
      <c r="CM224" s="48"/>
      <c r="CN224" s="48"/>
      <c r="CO224" s="48"/>
      <c r="CP224" s="48"/>
      <c r="CQ224" s="49"/>
    </row>
    <row r="225" spans="2:95" x14ac:dyDescent="0.25">
      <c r="B225" s="908"/>
      <c r="C225" s="48"/>
      <c r="D225" s="908"/>
      <c r="E225" s="48"/>
      <c r="F225" s="896"/>
      <c r="G225" s="896"/>
      <c r="H225" s="896"/>
      <c r="I225" s="898"/>
      <c r="J225" s="898"/>
      <c r="K225" s="898"/>
      <c r="L225" s="898"/>
      <c r="M225" s="898"/>
      <c r="N225" s="48"/>
      <c r="O225" s="896"/>
      <c r="P225" s="896"/>
      <c r="Q225" s="896"/>
      <c r="R225" s="898"/>
      <c r="S225" s="898"/>
      <c r="T225" s="898"/>
      <c r="U225" s="898"/>
      <c r="V225" s="898"/>
      <c r="W225" s="48"/>
      <c r="X225" s="896"/>
      <c r="Y225" s="896"/>
      <c r="Z225" s="896"/>
      <c r="AA225" s="898"/>
      <c r="AB225" s="898"/>
      <c r="AC225" s="898"/>
      <c r="AD225" s="898"/>
      <c r="AE225" s="898"/>
      <c r="AF225" s="50"/>
      <c r="AG225" s="896"/>
      <c r="AH225" s="896"/>
      <c r="AI225" s="896"/>
      <c r="AJ225" s="898"/>
      <c r="AK225" s="898"/>
      <c r="AL225" s="898"/>
      <c r="AM225" s="898"/>
      <c r="AN225" s="898"/>
      <c r="AO225" s="50"/>
      <c r="AP225" s="896"/>
      <c r="AQ225" s="896"/>
      <c r="AR225" s="896"/>
      <c r="AS225" s="898"/>
      <c r="AT225" s="898"/>
      <c r="AU225" s="898"/>
      <c r="AV225" s="898"/>
      <c r="AW225" s="898"/>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48"/>
      <c r="CI225" s="48"/>
      <c r="CJ225" s="48"/>
      <c r="CK225" s="48"/>
      <c r="CL225" s="48"/>
      <c r="CM225" s="48"/>
      <c r="CN225" s="48"/>
      <c r="CO225" s="48"/>
      <c r="CP225" s="48"/>
      <c r="CQ225" s="49"/>
    </row>
    <row r="226" spans="2:95" x14ac:dyDescent="0.25">
      <c r="B226" s="908"/>
      <c r="C226" s="48"/>
      <c r="D226" s="908"/>
      <c r="E226" s="48"/>
      <c r="F226" s="896"/>
      <c r="G226" s="896"/>
      <c r="H226" s="896"/>
      <c r="I226" s="898"/>
      <c r="J226" s="898"/>
      <c r="K226" s="898"/>
      <c r="L226" s="898"/>
      <c r="M226" s="898"/>
      <c r="N226" s="48"/>
      <c r="O226" s="896"/>
      <c r="P226" s="896"/>
      <c r="Q226" s="896"/>
      <c r="R226" s="898"/>
      <c r="S226" s="898"/>
      <c r="T226" s="898"/>
      <c r="U226" s="898"/>
      <c r="V226" s="898"/>
      <c r="W226" s="48"/>
      <c r="X226" s="896"/>
      <c r="Y226" s="896"/>
      <c r="Z226" s="896"/>
      <c r="AA226" s="898"/>
      <c r="AB226" s="898"/>
      <c r="AC226" s="898"/>
      <c r="AD226" s="898"/>
      <c r="AE226" s="898"/>
      <c r="AF226" s="50"/>
      <c r="AG226" s="896"/>
      <c r="AH226" s="896"/>
      <c r="AI226" s="896"/>
      <c r="AJ226" s="898"/>
      <c r="AK226" s="898"/>
      <c r="AL226" s="898"/>
      <c r="AM226" s="898"/>
      <c r="AN226" s="898"/>
      <c r="AO226" s="50"/>
      <c r="AP226" s="896"/>
      <c r="AQ226" s="896"/>
      <c r="AR226" s="896"/>
      <c r="AS226" s="898"/>
      <c r="AT226" s="898"/>
      <c r="AU226" s="898"/>
      <c r="AV226" s="898"/>
      <c r="AW226" s="898"/>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48"/>
      <c r="CI226" s="48"/>
      <c r="CJ226" s="48"/>
      <c r="CK226" s="48"/>
      <c r="CL226" s="48"/>
      <c r="CM226" s="48"/>
      <c r="CN226" s="48"/>
      <c r="CO226" s="48"/>
      <c r="CP226" s="48"/>
      <c r="CQ226" s="49"/>
    </row>
    <row r="227" spans="2:95" x14ac:dyDescent="0.25">
      <c r="B227" s="908"/>
      <c r="C227" s="48"/>
      <c r="D227" s="908"/>
      <c r="E227" s="48"/>
      <c r="F227" s="895" t="s">
        <v>0</v>
      </c>
      <c r="G227" s="895"/>
      <c r="H227" s="895"/>
      <c r="I227" s="895" t="s">
        <v>1</v>
      </c>
      <c r="J227" s="895"/>
      <c r="K227" s="895"/>
      <c r="L227" s="895"/>
      <c r="M227" s="895"/>
      <c r="N227" s="48"/>
      <c r="O227" s="895" t="s">
        <v>0</v>
      </c>
      <c r="P227" s="895"/>
      <c r="Q227" s="895"/>
      <c r="R227" s="895" t="s">
        <v>1</v>
      </c>
      <c r="S227" s="895"/>
      <c r="T227" s="895"/>
      <c r="U227" s="895"/>
      <c r="V227" s="895"/>
      <c r="W227" s="48"/>
      <c r="X227" s="895" t="s">
        <v>0</v>
      </c>
      <c r="Y227" s="895"/>
      <c r="Z227" s="895"/>
      <c r="AA227" s="895" t="s">
        <v>1</v>
      </c>
      <c r="AB227" s="895"/>
      <c r="AC227" s="895"/>
      <c r="AD227" s="895"/>
      <c r="AE227" s="895"/>
      <c r="AF227" s="50"/>
      <c r="AG227" s="895" t="s">
        <v>0</v>
      </c>
      <c r="AH227" s="895"/>
      <c r="AI227" s="895"/>
      <c r="AJ227" s="895" t="s">
        <v>1</v>
      </c>
      <c r="AK227" s="895"/>
      <c r="AL227" s="895"/>
      <c r="AM227" s="895"/>
      <c r="AN227" s="895"/>
      <c r="AO227" s="50"/>
      <c r="AP227" s="895" t="s">
        <v>0</v>
      </c>
      <c r="AQ227" s="895"/>
      <c r="AR227" s="895"/>
      <c r="AS227" s="895" t="s">
        <v>1</v>
      </c>
      <c r="AT227" s="895"/>
      <c r="AU227" s="895"/>
      <c r="AV227" s="895"/>
      <c r="AW227" s="895"/>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48"/>
      <c r="CI227" s="48"/>
      <c r="CJ227" s="48"/>
      <c r="CK227" s="48"/>
      <c r="CL227" s="48"/>
      <c r="CM227" s="48"/>
      <c r="CN227" s="48"/>
      <c r="CO227" s="48"/>
      <c r="CP227" s="48"/>
      <c r="CQ227" s="49"/>
    </row>
    <row r="228" spans="2:95" ht="15.75" customHeight="1" x14ac:dyDescent="0.25">
      <c r="B228" s="908"/>
      <c r="C228" s="48"/>
      <c r="D228" s="908"/>
      <c r="E228" s="48"/>
      <c r="F228" s="896" t="s">
        <v>3</v>
      </c>
      <c r="G228" s="896"/>
      <c r="H228" s="896"/>
      <c r="I228" s="898" t="s">
        <v>193</v>
      </c>
      <c r="J228" s="898"/>
      <c r="K228" s="898"/>
      <c r="L228" s="898"/>
      <c r="M228" s="898"/>
      <c r="N228" s="48"/>
      <c r="O228" s="896" t="s">
        <v>3</v>
      </c>
      <c r="P228" s="896"/>
      <c r="Q228" s="896"/>
      <c r="R228" s="897" t="s">
        <v>197</v>
      </c>
      <c r="S228" s="898"/>
      <c r="T228" s="898"/>
      <c r="U228" s="898"/>
      <c r="V228" s="898"/>
      <c r="W228" s="48"/>
      <c r="X228" s="896" t="s">
        <v>3</v>
      </c>
      <c r="Y228" s="896"/>
      <c r="Z228" s="896"/>
      <c r="AA228" s="897" t="s">
        <v>650</v>
      </c>
      <c r="AB228" s="898"/>
      <c r="AC228" s="898"/>
      <c r="AD228" s="898"/>
      <c r="AE228" s="898"/>
      <c r="AF228" s="50"/>
      <c r="AG228" s="896" t="s">
        <v>3</v>
      </c>
      <c r="AH228" s="896"/>
      <c r="AI228" s="896"/>
      <c r="AJ228" s="897" t="s">
        <v>655</v>
      </c>
      <c r="AK228" s="898"/>
      <c r="AL228" s="898"/>
      <c r="AM228" s="898"/>
      <c r="AN228" s="898"/>
      <c r="AO228" s="50"/>
      <c r="AP228" s="896" t="s">
        <v>3</v>
      </c>
      <c r="AQ228" s="896"/>
      <c r="AR228" s="896"/>
      <c r="AS228" s="898" t="s">
        <v>190</v>
      </c>
      <c r="AT228" s="898"/>
      <c r="AU228" s="898"/>
      <c r="AV228" s="898"/>
      <c r="AW228" s="898"/>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48"/>
      <c r="CI228" s="48"/>
      <c r="CJ228" s="48"/>
      <c r="CK228" s="48"/>
      <c r="CL228" s="48"/>
      <c r="CM228" s="48"/>
      <c r="CN228" s="48"/>
      <c r="CO228" s="48"/>
      <c r="CP228" s="48"/>
      <c r="CQ228" s="49"/>
    </row>
    <row r="229" spans="2:95" x14ac:dyDescent="0.25">
      <c r="B229" s="908"/>
      <c r="C229" s="48"/>
      <c r="D229" s="908"/>
      <c r="E229" s="48"/>
      <c r="F229" s="896"/>
      <c r="G229" s="896"/>
      <c r="H229" s="896"/>
      <c r="I229" s="898"/>
      <c r="J229" s="898"/>
      <c r="K229" s="898"/>
      <c r="L229" s="898"/>
      <c r="M229" s="898"/>
      <c r="N229" s="48"/>
      <c r="O229" s="896"/>
      <c r="P229" s="896"/>
      <c r="Q229" s="896"/>
      <c r="R229" s="898"/>
      <c r="S229" s="898"/>
      <c r="T229" s="898"/>
      <c r="U229" s="898"/>
      <c r="V229" s="898"/>
      <c r="W229" s="48"/>
      <c r="X229" s="896"/>
      <c r="Y229" s="896"/>
      <c r="Z229" s="896"/>
      <c r="AA229" s="898"/>
      <c r="AB229" s="898"/>
      <c r="AC229" s="898"/>
      <c r="AD229" s="898"/>
      <c r="AE229" s="898"/>
      <c r="AF229" s="50"/>
      <c r="AG229" s="896"/>
      <c r="AH229" s="896"/>
      <c r="AI229" s="896"/>
      <c r="AJ229" s="898"/>
      <c r="AK229" s="898"/>
      <c r="AL229" s="898"/>
      <c r="AM229" s="898"/>
      <c r="AN229" s="898"/>
      <c r="AO229" s="50"/>
      <c r="AP229" s="896"/>
      <c r="AQ229" s="896"/>
      <c r="AR229" s="896"/>
      <c r="AS229" s="898"/>
      <c r="AT229" s="898"/>
      <c r="AU229" s="898"/>
      <c r="AV229" s="898"/>
      <c r="AW229" s="898"/>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48"/>
      <c r="CI229" s="48"/>
      <c r="CJ229" s="48"/>
      <c r="CK229" s="48"/>
      <c r="CL229" s="48"/>
      <c r="CM229" s="48"/>
      <c r="CN229" s="48"/>
      <c r="CO229" s="48"/>
      <c r="CP229" s="48"/>
      <c r="CQ229" s="49"/>
    </row>
    <row r="230" spans="2:95" x14ac:dyDescent="0.25">
      <c r="B230" s="908"/>
      <c r="C230" s="48"/>
      <c r="D230" s="908"/>
      <c r="E230" s="48"/>
      <c r="F230" s="896"/>
      <c r="G230" s="896"/>
      <c r="H230" s="896"/>
      <c r="I230" s="898"/>
      <c r="J230" s="898"/>
      <c r="K230" s="898"/>
      <c r="L230" s="898"/>
      <c r="M230" s="898"/>
      <c r="N230" s="48"/>
      <c r="O230" s="896"/>
      <c r="P230" s="896"/>
      <c r="Q230" s="896"/>
      <c r="R230" s="898"/>
      <c r="S230" s="898"/>
      <c r="T230" s="898"/>
      <c r="U230" s="898"/>
      <c r="V230" s="898"/>
      <c r="W230" s="48"/>
      <c r="X230" s="896"/>
      <c r="Y230" s="896"/>
      <c r="Z230" s="896"/>
      <c r="AA230" s="898"/>
      <c r="AB230" s="898"/>
      <c r="AC230" s="898"/>
      <c r="AD230" s="898"/>
      <c r="AE230" s="898"/>
      <c r="AF230" s="50"/>
      <c r="AG230" s="896"/>
      <c r="AH230" s="896"/>
      <c r="AI230" s="896"/>
      <c r="AJ230" s="898"/>
      <c r="AK230" s="898"/>
      <c r="AL230" s="898"/>
      <c r="AM230" s="898"/>
      <c r="AN230" s="898"/>
      <c r="AO230" s="50"/>
      <c r="AP230" s="896"/>
      <c r="AQ230" s="896"/>
      <c r="AR230" s="896"/>
      <c r="AS230" s="898"/>
      <c r="AT230" s="898"/>
      <c r="AU230" s="898"/>
      <c r="AV230" s="898"/>
      <c r="AW230" s="898"/>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48"/>
      <c r="CI230" s="48"/>
      <c r="CJ230" s="48"/>
      <c r="CK230" s="48"/>
      <c r="CL230" s="48"/>
      <c r="CM230" s="48"/>
      <c r="CN230" s="48"/>
      <c r="CO230" s="48"/>
      <c r="CP230" s="48"/>
      <c r="CQ230" s="49"/>
    </row>
    <row r="231" spans="2:95" x14ac:dyDescent="0.25">
      <c r="B231" s="908"/>
      <c r="C231" s="48"/>
      <c r="D231" s="908"/>
      <c r="E231" s="48"/>
      <c r="F231" s="896" t="s">
        <v>4</v>
      </c>
      <c r="G231" s="896"/>
      <c r="H231" s="896"/>
      <c r="I231" s="898" t="s">
        <v>15</v>
      </c>
      <c r="J231" s="898"/>
      <c r="K231" s="898"/>
      <c r="L231" s="898"/>
      <c r="M231" s="898"/>
      <c r="N231" s="48"/>
      <c r="O231" s="896" t="s">
        <v>4</v>
      </c>
      <c r="P231" s="896"/>
      <c r="Q231" s="896"/>
      <c r="R231" s="898" t="s">
        <v>15</v>
      </c>
      <c r="S231" s="898"/>
      <c r="T231" s="898"/>
      <c r="U231" s="898"/>
      <c r="V231" s="898"/>
      <c r="W231" s="48"/>
      <c r="X231" s="896" t="s">
        <v>4</v>
      </c>
      <c r="Y231" s="896"/>
      <c r="Z231" s="896"/>
      <c r="AA231" s="898" t="s">
        <v>15</v>
      </c>
      <c r="AB231" s="898"/>
      <c r="AC231" s="898"/>
      <c r="AD231" s="898"/>
      <c r="AE231" s="898"/>
      <c r="AF231" s="50"/>
      <c r="AG231" s="896" t="s">
        <v>4</v>
      </c>
      <c r="AH231" s="896"/>
      <c r="AI231" s="896"/>
      <c r="AJ231" s="898" t="s">
        <v>15</v>
      </c>
      <c r="AK231" s="898"/>
      <c r="AL231" s="898"/>
      <c r="AM231" s="898"/>
      <c r="AN231" s="898"/>
      <c r="AO231" s="50"/>
      <c r="AP231" s="896" t="s">
        <v>4</v>
      </c>
      <c r="AQ231" s="896"/>
      <c r="AR231" s="896"/>
      <c r="AS231" s="898" t="s">
        <v>15</v>
      </c>
      <c r="AT231" s="898"/>
      <c r="AU231" s="898"/>
      <c r="AV231" s="898"/>
      <c r="AW231" s="898"/>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48"/>
      <c r="CI231" s="48"/>
      <c r="CJ231" s="48"/>
      <c r="CK231" s="48"/>
      <c r="CL231" s="48"/>
      <c r="CM231" s="48"/>
      <c r="CN231" s="48"/>
      <c r="CO231" s="48"/>
      <c r="CP231" s="48"/>
      <c r="CQ231" s="49"/>
    </row>
    <row r="232" spans="2:95" x14ac:dyDescent="0.25">
      <c r="B232" s="908"/>
      <c r="C232" s="48"/>
      <c r="D232" s="908"/>
      <c r="E232" s="48"/>
      <c r="F232" s="896"/>
      <c r="G232" s="896"/>
      <c r="H232" s="896"/>
      <c r="I232" s="898"/>
      <c r="J232" s="898"/>
      <c r="K232" s="898"/>
      <c r="L232" s="898"/>
      <c r="M232" s="898"/>
      <c r="N232" s="48"/>
      <c r="O232" s="896"/>
      <c r="P232" s="896"/>
      <c r="Q232" s="896"/>
      <c r="R232" s="898"/>
      <c r="S232" s="898"/>
      <c r="T232" s="898"/>
      <c r="U232" s="898"/>
      <c r="V232" s="898"/>
      <c r="W232" s="48"/>
      <c r="X232" s="896"/>
      <c r="Y232" s="896"/>
      <c r="Z232" s="896"/>
      <c r="AA232" s="898"/>
      <c r="AB232" s="898"/>
      <c r="AC232" s="898"/>
      <c r="AD232" s="898"/>
      <c r="AE232" s="898"/>
      <c r="AF232" s="50"/>
      <c r="AG232" s="896"/>
      <c r="AH232" s="896"/>
      <c r="AI232" s="896"/>
      <c r="AJ232" s="898"/>
      <c r="AK232" s="898"/>
      <c r="AL232" s="898"/>
      <c r="AM232" s="898"/>
      <c r="AN232" s="898"/>
      <c r="AO232" s="50"/>
      <c r="AP232" s="896"/>
      <c r="AQ232" s="896"/>
      <c r="AR232" s="896"/>
      <c r="AS232" s="898"/>
      <c r="AT232" s="898"/>
      <c r="AU232" s="898"/>
      <c r="AV232" s="898"/>
      <c r="AW232" s="898"/>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48"/>
      <c r="CI232" s="48"/>
      <c r="CJ232" s="48"/>
      <c r="CK232" s="48"/>
      <c r="CL232" s="48"/>
      <c r="CM232" s="48"/>
      <c r="CN232" s="48"/>
      <c r="CO232" s="48"/>
      <c r="CP232" s="48"/>
      <c r="CQ232" s="49"/>
    </row>
    <row r="233" spans="2:95" x14ac:dyDescent="0.25">
      <c r="B233" s="908"/>
      <c r="C233" s="48"/>
      <c r="D233" s="908"/>
      <c r="E233" s="48"/>
      <c r="F233" s="896"/>
      <c r="G233" s="896"/>
      <c r="H233" s="896"/>
      <c r="I233" s="898"/>
      <c r="J233" s="898"/>
      <c r="K233" s="898"/>
      <c r="L233" s="898"/>
      <c r="M233" s="898"/>
      <c r="N233" s="48"/>
      <c r="O233" s="896"/>
      <c r="P233" s="896"/>
      <c r="Q233" s="896"/>
      <c r="R233" s="898"/>
      <c r="S233" s="898"/>
      <c r="T233" s="898"/>
      <c r="U233" s="898"/>
      <c r="V233" s="898"/>
      <c r="W233" s="48"/>
      <c r="X233" s="896"/>
      <c r="Y233" s="896"/>
      <c r="Z233" s="896"/>
      <c r="AA233" s="898"/>
      <c r="AB233" s="898"/>
      <c r="AC233" s="898"/>
      <c r="AD233" s="898"/>
      <c r="AE233" s="898"/>
      <c r="AF233" s="50"/>
      <c r="AG233" s="896"/>
      <c r="AH233" s="896"/>
      <c r="AI233" s="896"/>
      <c r="AJ233" s="898"/>
      <c r="AK233" s="898"/>
      <c r="AL233" s="898"/>
      <c r="AM233" s="898"/>
      <c r="AN233" s="898"/>
      <c r="AO233" s="50"/>
      <c r="AP233" s="896"/>
      <c r="AQ233" s="896"/>
      <c r="AR233" s="896"/>
      <c r="AS233" s="898"/>
      <c r="AT233" s="898"/>
      <c r="AU233" s="898"/>
      <c r="AV233" s="898"/>
      <c r="AW233" s="898"/>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48"/>
      <c r="CI233" s="48"/>
      <c r="CJ233" s="48"/>
      <c r="CK233" s="48"/>
      <c r="CL233" s="48"/>
      <c r="CM233" s="48"/>
      <c r="CN233" s="48"/>
      <c r="CO233" s="48"/>
      <c r="CP233" s="48"/>
      <c r="CQ233" s="49"/>
    </row>
    <row r="234" spans="2:95" x14ac:dyDescent="0.25">
      <c r="B234" s="908"/>
      <c r="C234" s="48"/>
      <c r="D234" s="908"/>
      <c r="E234" s="48"/>
      <c r="F234" s="896" t="s">
        <v>5</v>
      </c>
      <c r="G234" s="896"/>
      <c r="H234" s="896"/>
      <c r="I234" s="898" t="s">
        <v>194</v>
      </c>
      <c r="J234" s="898"/>
      <c r="K234" s="898"/>
      <c r="L234" s="898"/>
      <c r="M234" s="898"/>
      <c r="N234" s="48"/>
      <c r="O234" s="896" t="s">
        <v>5</v>
      </c>
      <c r="P234" s="896"/>
      <c r="Q234" s="896"/>
      <c r="R234" s="898" t="s">
        <v>196</v>
      </c>
      <c r="S234" s="898"/>
      <c r="T234" s="898"/>
      <c r="U234" s="898"/>
      <c r="V234" s="898"/>
      <c r="W234" s="48"/>
      <c r="X234" s="896" t="s">
        <v>5</v>
      </c>
      <c r="Y234" s="896"/>
      <c r="Z234" s="896"/>
      <c r="AA234" s="898" t="s">
        <v>651</v>
      </c>
      <c r="AB234" s="898"/>
      <c r="AC234" s="898"/>
      <c r="AD234" s="898"/>
      <c r="AE234" s="898"/>
      <c r="AF234" s="50"/>
      <c r="AG234" s="896" t="s">
        <v>5</v>
      </c>
      <c r="AH234" s="896"/>
      <c r="AI234" s="896"/>
      <c r="AJ234" s="898" t="s">
        <v>654</v>
      </c>
      <c r="AK234" s="898"/>
      <c r="AL234" s="898"/>
      <c r="AM234" s="898"/>
      <c r="AN234" s="898"/>
      <c r="AO234" s="50"/>
      <c r="AP234" s="896" t="s">
        <v>5</v>
      </c>
      <c r="AQ234" s="896"/>
      <c r="AR234" s="896"/>
      <c r="AS234" s="898" t="s">
        <v>192</v>
      </c>
      <c r="AT234" s="898"/>
      <c r="AU234" s="898"/>
      <c r="AV234" s="898"/>
      <c r="AW234" s="898"/>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48"/>
      <c r="CI234" s="48"/>
      <c r="CJ234" s="48"/>
      <c r="CK234" s="48"/>
      <c r="CL234" s="48"/>
      <c r="CM234" s="48"/>
      <c r="CN234" s="48"/>
      <c r="CO234" s="48"/>
      <c r="CP234" s="48"/>
      <c r="CQ234" s="49"/>
    </row>
    <row r="235" spans="2:95" x14ac:dyDescent="0.25">
      <c r="B235" s="908"/>
      <c r="C235" s="48"/>
      <c r="D235" s="908"/>
      <c r="E235" s="48"/>
      <c r="F235" s="896"/>
      <c r="G235" s="896"/>
      <c r="H235" s="896"/>
      <c r="I235" s="898"/>
      <c r="J235" s="898"/>
      <c r="K235" s="898"/>
      <c r="L235" s="898"/>
      <c r="M235" s="898"/>
      <c r="N235" s="48"/>
      <c r="O235" s="896"/>
      <c r="P235" s="896"/>
      <c r="Q235" s="896"/>
      <c r="R235" s="898"/>
      <c r="S235" s="898"/>
      <c r="T235" s="898"/>
      <c r="U235" s="898"/>
      <c r="V235" s="898"/>
      <c r="W235" s="48"/>
      <c r="X235" s="896"/>
      <c r="Y235" s="896"/>
      <c r="Z235" s="896"/>
      <c r="AA235" s="898"/>
      <c r="AB235" s="898"/>
      <c r="AC235" s="898"/>
      <c r="AD235" s="898"/>
      <c r="AE235" s="898"/>
      <c r="AF235" s="50"/>
      <c r="AG235" s="896"/>
      <c r="AH235" s="896"/>
      <c r="AI235" s="896"/>
      <c r="AJ235" s="898"/>
      <c r="AK235" s="898"/>
      <c r="AL235" s="898"/>
      <c r="AM235" s="898"/>
      <c r="AN235" s="898"/>
      <c r="AO235" s="50"/>
      <c r="AP235" s="896"/>
      <c r="AQ235" s="896"/>
      <c r="AR235" s="896"/>
      <c r="AS235" s="898"/>
      <c r="AT235" s="898"/>
      <c r="AU235" s="898"/>
      <c r="AV235" s="898"/>
      <c r="AW235" s="898"/>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48"/>
      <c r="CI235" s="48"/>
      <c r="CJ235" s="48"/>
      <c r="CK235" s="48"/>
      <c r="CL235" s="48"/>
      <c r="CM235" s="48"/>
      <c r="CN235" s="48"/>
      <c r="CO235" s="48"/>
      <c r="CP235" s="48"/>
      <c r="CQ235" s="49"/>
    </row>
    <row r="236" spans="2:95" x14ac:dyDescent="0.25">
      <c r="B236" s="908"/>
      <c r="C236" s="48"/>
      <c r="D236" s="908"/>
      <c r="E236" s="48"/>
      <c r="F236" s="896"/>
      <c r="G236" s="896"/>
      <c r="H236" s="896"/>
      <c r="I236" s="898"/>
      <c r="J236" s="898"/>
      <c r="K236" s="898"/>
      <c r="L236" s="898"/>
      <c r="M236" s="898"/>
      <c r="N236" s="48"/>
      <c r="O236" s="896"/>
      <c r="P236" s="896"/>
      <c r="Q236" s="896"/>
      <c r="R236" s="898"/>
      <c r="S236" s="898"/>
      <c r="T236" s="898"/>
      <c r="U236" s="898"/>
      <c r="V236" s="898"/>
      <c r="W236" s="48"/>
      <c r="X236" s="896"/>
      <c r="Y236" s="896"/>
      <c r="Z236" s="896"/>
      <c r="AA236" s="898"/>
      <c r="AB236" s="898"/>
      <c r="AC236" s="898"/>
      <c r="AD236" s="898"/>
      <c r="AE236" s="898"/>
      <c r="AF236" s="50"/>
      <c r="AG236" s="896"/>
      <c r="AH236" s="896"/>
      <c r="AI236" s="896"/>
      <c r="AJ236" s="898"/>
      <c r="AK236" s="898"/>
      <c r="AL236" s="898"/>
      <c r="AM236" s="898"/>
      <c r="AN236" s="898"/>
      <c r="AO236" s="50"/>
      <c r="AP236" s="896"/>
      <c r="AQ236" s="896"/>
      <c r="AR236" s="896"/>
      <c r="AS236" s="898"/>
      <c r="AT236" s="898"/>
      <c r="AU236" s="898"/>
      <c r="AV236" s="898"/>
      <c r="AW236" s="898"/>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48"/>
      <c r="CI236" s="48"/>
      <c r="CJ236" s="48"/>
      <c r="CK236" s="48"/>
      <c r="CL236" s="48"/>
      <c r="CM236" s="48"/>
      <c r="CN236" s="48"/>
      <c r="CO236" s="48"/>
      <c r="CP236" s="48"/>
      <c r="CQ236" s="49"/>
    </row>
    <row r="237" spans="2:95" x14ac:dyDescent="0.25">
      <c r="B237" s="908"/>
      <c r="C237" s="48"/>
      <c r="D237" s="908"/>
      <c r="E237" s="48"/>
      <c r="F237" s="896" t="s">
        <v>6</v>
      </c>
      <c r="G237" s="896"/>
      <c r="H237" s="896"/>
      <c r="I237" s="898" t="s">
        <v>9</v>
      </c>
      <c r="J237" s="898"/>
      <c r="K237" s="898"/>
      <c r="L237" s="898"/>
      <c r="M237" s="898"/>
      <c r="N237" s="48"/>
      <c r="O237" s="896" t="s">
        <v>6</v>
      </c>
      <c r="P237" s="896"/>
      <c r="Q237" s="896"/>
      <c r="R237" s="898" t="s">
        <v>9</v>
      </c>
      <c r="S237" s="898"/>
      <c r="T237" s="898"/>
      <c r="U237" s="898"/>
      <c r="V237" s="898"/>
      <c r="W237" s="48"/>
      <c r="X237" s="896" t="s">
        <v>6</v>
      </c>
      <c r="Y237" s="896"/>
      <c r="Z237" s="896"/>
      <c r="AA237" s="898" t="s">
        <v>9</v>
      </c>
      <c r="AB237" s="898"/>
      <c r="AC237" s="898"/>
      <c r="AD237" s="898"/>
      <c r="AE237" s="898"/>
      <c r="AF237" s="50"/>
      <c r="AG237" s="896" t="s">
        <v>6</v>
      </c>
      <c r="AH237" s="896"/>
      <c r="AI237" s="896"/>
      <c r="AJ237" s="898" t="s">
        <v>9</v>
      </c>
      <c r="AK237" s="898"/>
      <c r="AL237" s="898"/>
      <c r="AM237" s="898"/>
      <c r="AN237" s="898"/>
      <c r="AO237" s="50"/>
      <c r="AP237" s="896" t="s">
        <v>6</v>
      </c>
      <c r="AQ237" s="896"/>
      <c r="AR237" s="896"/>
      <c r="AS237" s="898" t="s">
        <v>9</v>
      </c>
      <c r="AT237" s="898"/>
      <c r="AU237" s="898"/>
      <c r="AV237" s="898"/>
      <c r="AW237" s="898"/>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48"/>
      <c r="CI237" s="48"/>
      <c r="CJ237" s="48"/>
      <c r="CK237" s="48"/>
      <c r="CL237" s="48"/>
      <c r="CM237" s="48"/>
      <c r="CN237" s="48"/>
      <c r="CO237" s="48"/>
      <c r="CP237" s="48"/>
      <c r="CQ237" s="49"/>
    </row>
    <row r="238" spans="2:95" x14ac:dyDescent="0.25">
      <c r="B238" s="908"/>
      <c r="C238" s="48"/>
      <c r="D238" s="908"/>
      <c r="E238" s="48"/>
      <c r="F238" s="896"/>
      <c r="G238" s="896"/>
      <c r="H238" s="896"/>
      <c r="I238" s="898"/>
      <c r="J238" s="898"/>
      <c r="K238" s="898"/>
      <c r="L238" s="898"/>
      <c r="M238" s="898"/>
      <c r="N238" s="48"/>
      <c r="O238" s="896"/>
      <c r="P238" s="896"/>
      <c r="Q238" s="896"/>
      <c r="R238" s="898"/>
      <c r="S238" s="898"/>
      <c r="T238" s="898"/>
      <c r="U238" s="898"/>
      <c r="V238" s="898"/>
      <c r="W238" s="48"/>
      <c r="X238" s="896"/>
      <c r="Y238" s="896"/>
      <c r="Z238" s="896"/>
      <c r="AA238" s="898"/>
      <c r="AB238" s="898"/>
      <c r="AC238" s="898"/>
      <c r="AD238" s="898"/>
      <c r="AE238" s="898"/>
      <c r="AF238" s="50"/>
      <c r="AG238" s="896"/>
      <c r="AH238" s="896"/>
      <c r="AI238" s="896"/>
      <c r="AJ238" s="898"/>
      <c r="AK238" s="898"/>
      <c r="AL238" s="898"/>
      <c r="AM238" s="898"/>
      <c r="AN238" s="898"/>
      <c r="AO238" s="50"/>
      <c r="AP238" s="896"/>
      <c r="AQ238" s="896"/>
      <c r="AR238" s="896"/>
      <c r="AS238" s="898"/>
      <c r="AT238" s="898"/>
      <c r="AU238" s="898"/>
      <c r="AV238" s="898"/>
      <c r="AW238" s="898"/>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48"/>
      <c r="CI238" s="48"/>
      <c r="CJ238" s="48"/>
      <c r="CK238" s="48"/>
      <c r="CL238" s="48"/>
      <c r="CM238" s="48"/>
      <c r="CN238" s="48"/>
      <c r="CO238" s="48"/>
      <c r="CP238" s="48"/>
      <c r="CQ238" s="49"/>
    </row>
    <row r="239" spans="2:95" x14ac:dyDescent="0.25">
      <c r="B239" s="908"/>
      <c r="C239" s="48"/>
      <c r="D239" s="908"/>
      <c r="E239" s="48"/>
      <c r="F239" s="896"/>
      <c r="G239" s="896"/>
      <c r="H239" s="896"/>
      <c r="I239" s="898"/>
      <c r="J239" s="898"/>
      <c r="K239" s="898"/>
      <c r="L239" s="898"/>
      <c r="M239" s="898"/>
      <c r="N239" s="48"/>
      <c r="O239" s="896"/>
      <c r="P239" s="896"/>
      <c r="Q239" s="896"/>
      <c r="R239" s="898"/>
      <c r="S239" s="898"/>
      <c r="T239" s="898"/>
      <c r="U239" s="898"/>
      <c r="V239" s="898"/>
      <c r="W239" s="48"/>
      <c r="X239" s="896"/>
      <c r="Y239" s="896"/>
      <c r="Z239" s="896"/>
      <c r="AA239" s="898"/>
      <c r="AB239" s="898"/>
      <c r="AC239" s="898"/>
      <c r="AD239" s="898"/>
      <c r="AE239" s="898"/>
      <c r="AF239" s="50"/>
      <c r="AG239" s="896"/>
      <c r="AH239" s="896"/>
      <c r="AI239" s="896"/>
      <c r="AJ239" s="898"/>
      <c r="AK239" s="898"/>
      <c r="AL239" s="898"/>
      <c r="AM239" s="898"/>
      <c r="AN239" s="898"/>
      <c r="AO239" s="50"/>
      <c r="AP239" s="896"/>
      <c r="AQ239" s="896"/>
      <c r="AR239" s="896"/>
      <c r="AS239" s="898"/>
      <c r="AT239" s="898"/>
      <c r="AU239" s="898"/>
      <c r="AV239" s="898"/>
      <c r="AW239" s="898"/>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48"/>
      <c r="CI239" s="48"/>
      <c r="CJ239" s="48"/>
      <c r="CK239" s="48"/>
      <c r="CL239" s="48"/>
      <c r="CM239" s="48"/>
      <c r="CN239" s="48"/>
      <c r="CO239" s="48"/>
      <c r="CP239" s="48"/>
      <c r="CQ239" s="49"/>
    </row>
    <row r="240" spans="2:95" x14ac:dyDescent="0.25">
      <c r="B240" s="908"/>
      <c r="C240" s="48"/>
      <c r="D240" s="908"/>
      <c r="E240" s="48"/>
      <c r="F240" s="896" t="s">
        <v>7</v>
      </c>
      <c r="G240" s="896"/>
      <c r="H240" s="896"/>
      <c r="I240" s="898" t="s">
        <v>195</v>
      </c>
      <c r="J240" s="898"/>
      <c r="K240" s="898"/>
      <c r="L240" s="898"/>
      <c r="M240" s="898"/>
      <c r="N240" s="48"/>
      <c r="O240" s="896" t="s">
        <v>7</v>
      </c>
      <c r="P240" s="896"/>
      <c r="Q240" s="896"/>
      <c r="R240" s="898" t="s">
        <v>332</v>
      </c>
      <c r="S240" s="898"/>
      <c r="T240" s="898"/>
      <c r="U240" s="898"/>
      <c r="V240" s="898"/>
      <c r="W240" s="48"/>
      <c r="X240" s="896" t="s">
        <v>7</v>
      </c>
      <c r="Y240" s="896"/>
      <c r="Z240" s="896"/>
      <c r="AA240" s="898" t="s">
        <v>658</v>
      </c>
      <c r="AB240" s="898"/>
      <c r="AC240" s="898"/>
      <c r="AD240" s="898"/>
      <c r="AE240" s="898"/>
      <c r="AF240" s="50"/>
      <c r="AG240" s="896" t="s">
        <v>7</v>
      </c>
      <c r="AH240" s="896"/>
      <c r="AI240" s="896"/>
      <c r="AJ240" s="898" t="s">
        <v>656</v>
      </c>
      <c r="AK240" s="898"/>
      <c r="AL240" s="898"/>
      <c r="AM240" s="898"/>
      <c r="AN240" s="898"/>
      <c r="AO240" s="50"/>
      <c r="AP240" s="896" t="s">
        <v>7</v>
      </c>
      <c r="AQ240" s="896"/>
      <c r="AR240" s="896"/>
      <c r="AS240" s="898" t="s">
        <v>637</v>
      </c>
      <c r="AT240" s="898"/>
      <c r="AU240" s="898"/>
      <c r="AV240" s="898"/>
      <c r="AW240" s="898"/>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48"/>
      <c r="CI240" s="48"/>
      <c r="CJ240" s="48"/>
      <c r="CK240" s="48"/>
      <c r="CL240" s="48"/>
      <c r="CM240" s="48"/>
      <c r="CN240" s="48"/>
      <c r="CO240" s="48"/>
      <c r="CP240" s="48"/>
      <c r="CQ240" s="49"/>
    </row>
    <row r="241" spans="2:95" x14ac:dyDescent="0.25">
      <c r="B241" s="908"/>
      <c r="C241" s="48"/>
      <c r="D241" s="908"/>
      <c r="E241" s="48"/>
      <c r="F241" s="896"/>
      <c r="G241" s="896"/>
      <c r="H241" s="896"/>
      <c r="I241" s="898"/>
      <c r="J241" s="898"/>
      <c r="K241" s="898"/>
      <c r="L241" s="898"/>
      <c r="M241" s="898"/>
      <c r="N241" s="48"/>
      <c r="O241" s="896"/>
      <c r="P241" s="896"/>
      <c r="Q241" s="896"/>
      <c r="R241" s="898"/>
      <c r="S241" s="898"/>
      <c r="T241" s="898"/>
      <c r="U241" s="898"/>
      <c r="V241" s="898"/>
      <c r="W241" s="48"/>
      <c r="X241" s="896"/>
      <c r="Y241" s="896"/>
      <c r="Z241" s="896"/>
      <c r="AA241" s="898"/>
      <c r="AB241" s="898"/>
      <c r="AC241" s="898"/>
      <c r="AD241" s="898"/>
      <c r="AE241" s="898"/>
      <c r="AF241" s="50"/>
      <c r="AG241" s="896"/>
      <c r="AH241" s="896"/>
      <c r="AI241" s="896"/>
      <c r="AJ241" s="898"/>
      <c r="AK241" s="898"/>
      <c r="AL241" s="898"/>
      <c r="AM241" s="898"/>
      <c r="AN241" s="898"/>
      <c r="AO241" s="50"/>
      <c r="AP241" s="896"/>
      <c r="AQ241" s="896"/>
      <c r="AR241" s="896"/>
      <c r="AS241" s="898"/>
      <c r="AT241" s="898"/>
      <c r="AU241" s="898"/>
      <c r="AV241" s="898"/>
      <c r="AW241" s="898"/>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48"/>
      <c r="CI241" s="48"/>
      <c r="CJ241" s="48"/>
      <c r="CK241" s="48"/>
      <c r="CL241" s="48"/>
      <c r="CM241" s="48"/>
      <c r="CN241" s="48"/>
      <c r="CO241" s="48"/>
      <c r="CP241" s="48"/>
      <c r="CQ241" s="49"/>
    </row>
    <row r="242" spans="2:95" ht="16.5" thickBot="1" x14ac:dyDescent="0.3">
      <c r="B242" s="908"/>
      <c r="C242" s="48"/>
      <c r="D242" s="909"/>
      <c r="E242" s="48"/>
      <c r="F242" s="896"/>
      <c r="G242" s="896"/>
      <c r="H242" s="896"/>
      <c r="I242" s="898"/>
      <c r="J242" s="898"/>
      <c r="K242" s="898"/>
      <c r="L242" s="898"/>
      <c r="M242" s="898"/>
      <c r="N242" s="48"/>
      <c r="O242" s="896"/>
      <c r="P242" s="896"/>
      <c r="Q242" s="896"/>
      <c r="R242" s="898"/>
      <c r="S242" s="898"/>
      <c r="T242" s="898"/>
      <c r="U242" s="898"/>
      <c r="V242" s="898"/>
      <c r="W242" s="48"/>
      <c r="X242" s="896"/>
      <c r="Y242" s="896"/>
      <c r="Z242" s="896"/>
      <c r="AA242" s="898"/>
      <c r="AB242" s="898"/>
      <c r="AC242" s="898"/>
      <c r="AD242" s="898"/>
      <c r="AE242" s="898"/>
      <c r="AF242" s="50"/>
      <c r="AG242" s="896"/>
      <c r="AH242" s="896"/>
      <c r="AI242" s="896"/>
      <c r="AJ242" s="898"/>
      <c r="AK242" s="898"/>
      <c r="AL242" s="898"/>
      <c r="AM242" s="898"/>
      <c r="AN242" s="898"/>
      <c r="AO242" s="50"/>
      <c r="AP242" s="896"/>
      <c r="AQ242" s="896"/>
      <c r="AR242" s="896"/>
      <c r="AS242" s="898"/>
      <c r="AT242" s="898"/>
      <c r="AU242" s="898"/>
      <c r="AV242" s="898"/>
      <c r="AW242" s="898"/>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48"/>
      <c r="CI242" s="48"/>
      <c r="CJ242" s="48"/>
      <c r="CK242" s="48"/>
      <c r="CL242" s="48"/>
      <c r="CM242" s="48"/>
      <c r="CN242" s="48"/>
      <c r="CO242" s="48"/>
      <c r="CP242" s="48"/>
      <c r="CQ242" s="49"/>
    </row>
    <row r="243" spans="2:95" x14ac:dyDescent="0.25">
      <c r="B243" s="90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9"/>
    </row>
    <row r="244" spans="2:95" x14ac:dyDescent="0.25">
      <c r="B244" s="90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9"/>
    </row>
    <row r="245" spans="2:95" x14ac:dyDescent="0.25">
      <c r="B245" s="90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9"/>
    </row>
    <row r="246" spans="2:95" x14ac:dyDescent="0.25">
      <c r="B246" s="90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9"/>
    </row>
    <row r="247" spans="2:95" ht="16.5" thickBot="1" x14ac:dyDescent="0.3">
      <c r="B247" s="90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9"/>
    </row>
    <row r="248" spans="2:95" ht="15.75" customHeight="1" x14ac:dyDescent="0.25">
      <c r="B248" s="908"/>
      <c r="C248" s="48"/>
      <c r="D248" s="907" t="s">
        <v>977</v>
      </c>
      <c r="E248" s="48"/>
      <c r="F248" s="910" t="s">
        <v>8</v>
      </c>
      <c r="G248" s="910"/>
      <c r="H248" s="910"/>
      <c r="I248" s="910"/>
      <c r="J248" s="910"/>
      <c r="K248" s="910"/>
      <c r="L248" s="910"/>
      <c r="M248" s="910"/>
      <c r="N248" s="48"/>
      <c r="O248" s="910" t="s">
        <v>8</v>
      </c>
      <c r="P248" s="910"/>
      <c r="Q248" s="910"/>
      <c r="R248" s="910"/>
      <c r="S248" s="910"/>
      <c r="T248" s="910"/>
      <c r="U248" s="910"/>
      <c r="V248" s="910"/>
      <c r="W248" s="50"/>
      <c r="X248" s="899" t="s">
        <v>8</v>
      </c>
      <c r="Y248" s="900"/>
      <c r="Z248" s="900"/>
      <c r="AA248" s="900"/>
      <c r="AB248" s="900"/>
      <c r="AC248" s="900"/>
      <c r="AD248" s="900"/>
      <c r="AE248" s="901"/>
      <c r="AF248" s="50"/>
      <c r="AG248" s="899" t="s">
        <v>8</v>
      </c>
      <c r="AH248" s="900"/>
      <c r="AI248" s="900"/>
      <c r="AJ248" s="900"/>
      <c r="AK248" s="900"/>
      <c r="AL248" s="900"/>
      <c r="AM248" s="900"/>
      <c r="AN248" s="901"/>
      <c r="AO248" s="50"/>
      <c r="AP248" s="899" t="s">
        <v>8</v>
      </c>
      <c r="AQ248" s="900"/>
      <c r="AR248" s="900"/>
      <c r="AS248" s="900"/>
      <c r="AT248" s="900"/>
      <c r="AU248" s="900"/>
      <c r="AV248" s="900"/>
      <c r="AW248" s="901"/>
      <c r="AX248" s="50"/>
      <c r="AY248" s="899" t="s">
        <v>8</v>
      </c>
      <c r="AZ248" s="900"/>
      <c r="BA248" s="900"/>
      <c r="BB248" s="900"/>
      <c r="BC248" s="900"/>
      <c r="BD248" s="900"/>
      <c r="BE248" s="900"/>
      <c r="BF248" s="901"/>
      <c r="BG248" s="50"/>
      <c r="BH248" s="899" t="s">
        <v>8</v>
      </c>
      <c r="BI248" s="900"/>
      <c r="BJ248" s="900"/>
      <c r="BK248" s="900"/>
      <c r="BL248" s="900"/>
      <c r="BM248" s="900"/>
      <c r="BN248" s="900"/>
      <c r="BO248" s="901"/>
      <c r="BP248" s="50"/>
      <c r="BQ248" s="50"/>
      <c r="BR248" s="50"/>
      <c r="BS248" s="50"/>
      <c r="BT248" s="50"/>
      <c r="BU248" s="50"/>
      <c r="BV248" s="50"/>
      <c r="BW248" s="50"/>
      <c r="BX248" s="50"/>
      <c r="BY248" s="50"/>
      <c r="BZ248" s="50"/>
      <c r="CA248" s="50"/>
      <c r="CB248" s="50"/>
      <c r="CC248" s="50"/>
      <c r="CD248" s="50"/>
      <c r="CE248" s="50"/>
      <c r="CF248" s="50"/>
      <c r="CG248" s="50"/>
      <c r="CH248" s="48"/>
      <c r="CI248" s="48"/>
      <c r="CJ248" s="48"/>
      <c r="CK248" s="48"/>
      <c r="CL248" s="48"/>
      <c r="CM248" s="48"/>
      <c r="CN248" s="48"/>
      <c r="CO248" s="48"/>
      <c r="CP248" s="48"/>
      <c r="CQ248" s="49"/>
    </row>
    <row r="249" spans="2:95" x14ac:dyDescent="0.25">
      <c r="B249" s="908"/>
      <c r="C249" s="48"/>
      <c r="D249" s="908"/>
      <c r="E249" s="48"/>
      <c r="F249" s="895" t="s">
        <v>0</v>
      </c>
      <c r="G249" s="895"/>
      <c r="H249" s="895"/>
      <c r="I249" s="895" t="s">
        <v>1</v>
      </c>
      <c r="J249" s="895"/>
      <c r="K249" s="895"/>
      <c r="L249" s="895"/>
      <c r="M249" s="895"/>
      <c r="N249" s="48"/>
      <c r="O249" s="895" t="s">
        <v>0</v>
      </c>
      <c r="P249" s="895"/>
      <c r="Q249" s="895"/>
      <c r="R249" s="895" t="s">
        <v>1</v>
      </c>
      <c r="S249" s="895"/>
      <c r="T249" s="895"/>
      <c r="U249" s="895"/>
      <c r="V249" s="895"/>
      <c r="W249" s="50"/>
      <c r="X249" s="895" t="s">
        <v>0</v>
      </c>
      <c r="Y249" s="895"/>
      <c r="Z249" s="895"/>
      <c r="AA249" s="895" t="s">
        <v>1</v>
      </c>
      <c r="AB249" s="895"/>
      <c r="AC249" s="895"/>
      <c r="AD249" s="895"/>
      <c r="AE249" s="895"/>
      <c r="AF249" s="50"/>
      <c r="AG249" s="895" t="s">
        <v>0</v>
      </c>
      <c r="AH249" s="895"/>
      <c r="AI249" s="895"/>
      <c r="AJ249" s="895" t="s">
        <v>1</v>
      </c>
      <c r="AK249" s="895"/>
      <c r="AL249" s="895"/>
      <c r="AM249" s="895"/>
      <c r="AN249" s="895"/>
      <c r="AO249" s="50"/>
      <c r="AP249" s="895" t="s">
        <v>0</v>
      </c>
      <c r="AQ249" s="895"/>
      <c r="AR249" s="895"/>
      <c r="AS249" s="895" t="s">
        <v>1</v>
      </c>
      <c r="AT249" s="895"/>
      <c r="AU249" s="895"/>
      <c r="AV249" s="895"/>
      <c r="AW249" s="895"/>
      <c r="AX249" s="50"/>
      <c r="AY249" s="895" t="s">
        <v>0</v>
      </c>
      <c r="AZ249" s="895"/>
      <c r="BA249" s="895"/>
      <c r="BB249" s="895" t="s">
        <v>1</v>
      </c>
      <c r="BC249" s="895"/>
      <c r="BD249" s="895"/>
      <c r="BE249" s="895"/>
      <c r="BF249" s="895"/>
      <c r="BG249" s="50"/>
      <c r="BH249" s="895" t="s">
        <v>0</v>
      </c>
      <c r="BI249" s="895"/>
      <c r="BJ249" s="895"/>
      <c r="BK249" s="895" t="s">
        <v>1</v>
      </c>
      <c r="BL249" s="895"/>
      <c r="BM249" s="895"/>
      <c r="BN249" s="895"/>
      <c r="BO249" s="895"/>
      <c r="BP249" s="50"/>
      <c r="BQ249" s="50"/>
      <c r="BR249" s="50"/>
      <c r="BS249" s="50"/>
      <c r="BT249" s="50"/>
      <c r="BU249" s="50"/>
      <c r="BV249" s="50"/>
      <c r="BW249" s="50"/>
      <c r="BX249" s="50"/>
      <c r="BY249" s="50"/>
      <c r="BZ249" s="50"/>
      <c r="CA249" s="50"/>
      <c r="CB249" s="50"/>
      <c r="CC249" s="50"/>
      <c r="CD249" s="50"/>
      <c r="CE249" s="50"/>
      <c r="CF249" s="50"/>
      <c r="CG249" s="50"/>
      <c r="CH249" s="48"/>
      <c r="CI249" s="48"/>
      <c r="CJ249" s="48"/>
      <c r="CK249" s="48"/>
      <c r="CL249" s="48"/>
      <c r="CM249" s="48"/>
      <c r="CN249" s="48"/>
      <c r="CO249" s="48"/>
      <c r="CP249" s="48"/>
      <c r="CQ249" s="49"/>
    </row>
    <row r="250" spans="2:95" x14ac:dyDescent="0.25">
      <c r="B250" s="908"/>
      <c r="C250" s="48"/>
      <c r="D250" s="908"/>
      <c r="E250" s="48"/>
      <c r="F250" s="896" t="s">
        <v>2</v>
      </c>
      <c r="G250" s="896"/>
      <c r="H250" s="896"/>
      <c r="I250" s="898" t="s">
        <v>205</v>
      </c>
      <c r="J250" s="898"/>
      <c r="K250" s="898"/>
      <c r="L250" s="898"/>
      <c r="M250" s="898"/>
      <c r="N250" s="48"/>
      <c r="O250" s="896" t="s">
        <v>2</v>
      </c>
      <c r="P250" s="896"/>
      <c r="Q250" s="896"/>
      <c r="R250" s="898" t="s">
        <v>659</v>
      </c>
      <c r="S250" s="898"/>
      <c r="T250" s="898"/>
      <c r="U250" s="898"/>
      <c r="V250" s="898"/>
      <c r="W250" s="50"/>
      <c r="X250" s="896" t="s">
        <v>2</v>
      </c>
      <c r="Y250" s="896"/>
      <c r="Z250" s="896"/>
      <c r="AA250" s="898" t="s">
        <v>202</v>
      </c>
      <c r="AB250" s="898"/>
      <c r="AC250" s="898"/>
      <c r="AD250" s="898"/>
      <c r="AE250" s="898"/>
      <c r="AF250" s="50"/>
      <c r="AG250" s="896" t="s">
        <v>2</v>
      </c>
      <c r="AH250" s="896"/>
      <c r="AI250" s="896"/>
      <c r="AJ250" s="898" t="s">
        <v>989</v>
      </c>
      <c r="AK250" s="898"/>
      <c r="AL250" s="898"/>
      <c r="AM250" s="898"/>
      <c r="AN250" s="898"/>
      <c r="AO250" s="50"/>
      <c r="AP250" s="896" t="s">
        <v>2</v>
      </c>
      <c r="AQ250" s="896"/>
      <c r="AR250" s="896"/>
      <c r="AS250" s="898" t="s">
        <v>993</v>
      </c>
      <c r="AT250" s="898"/>
      <c r="AU250" s="898"/>
      <c r="AV250" s="898"/>
      <c r="AW250" s="898"/>
      <c r="AX250" s="50"/>
      <c r="AY250" s="896" t="s">
        <v>2</v>
      </c>
      <c r="AZ250" s="896"/>
      <c r="BA250" s="896"/>
      <c r="BB250" s="898" t="s">
        <v>997</v>
      </c>
      <c r="BC250" s="898"/>
      <c r="BD250" s="898"/>
      <c r="BE250" s="898"/>
      <c r="BF250" s="898"/>
      <c r="BG250" s="50"/>
      <c r="BH250" s="896" t="s">
        <v>2</v>
      </c>
      <c r="BI250" s="896"/>
      <c r="BJ250" s="896"/>
      <c r="BK250" s="898" t="s">
        <v>1001</v>
      </c>
      <c r="BL250" s="898"/>
      <c r="BM250" s="898"/>
      <c r="BN250" s="898"/>
      <c r="BO250" s="898"/>
      <c r="BP250" s="50"/>
      <c r="BQ250" s="50"/>
      <c r="BR250" s="50"/>
      <c r="BS250" s="50"/>
      <c r="BT250" s="50"/>
      <c r="BU250" s="50"/>
      <c r="BV250" s="50"/>
      <c r="BW250" s="50"/>
      <c r="BX250" s="50"/>
      <c r="BY250" s="50"/>
      <c r="BZ250" s="50"/>
      <c r="CA250" s="50"/>
      <c r="CB250" s="50"/>
      <c r="CC250" s="50"/>
      <c r="CD250" s="50"/>
      <c r="CE250" s="50"/>
      <c r="CF250" s="50"/>
      <c r="CG250" s="50"/>
      <c r="CH250" s="48"/>
      <c r="CI250" s="48"/>
      <c r="CJ250" s="48"/>
      <c r="CK250" s="48"/>
      <c r="CL250" s="48"/>
      <c r="CM250" s="48"/>
      <c r="CN250" s="48"/>
      <c r="CO250" s="48"/>
      <c r="CP250" s="48"/>
      <c r="CQ250" s="49"/>
    </row>
    <row r="251" spans="2:95" x14ac:dyDescent="0.25">
      <c r="B251" s="908"/>
      <c r="C251" s="48"/>
      <c r="D251" s="908"/>
      <c r="E251" s="48"/>
      <c r="F251" s="896"/>
      <c r="G251" s="896"/>
      <c r="H251" s="896"/>
      <c r="I251" s="898"/>
      <c r="J251" s="898"/>
      <c r="K251" s="898"/>
      <c r="L251" s="898"/>
      <c r="M251" s="898"/>
      <c r="N251" s="48"/>
      <c r="O251" s="896"/>
      <c r="P251" s="896"/>
      <c r="Q251" s="896"/>
      <c r="R251" s="898"/>
      <c r="S251" s="898"/>
      <c r="T251" s="898"/>
      <c r="U251" s="898"/>
      <c r="V251" s="898"/>
      <c r="W251" s="50"/>
      <c r="X251" s="896"/>
      <c r="Y251" s="896"/>
      <c r="Z251" s="896"/>
      <c r="AA251" s="898"/>
      <c r="AB251" s="898"/>
      <c r="AC251" s="898"/>
      <c r="AD251" s="898"/>
      <c r="AE251" s="898"/>
      <c r="AF251" s="50"/>
      <c r="AG251" s="896"/>
      <c r="AH251" s="896"/>
      <c r="AI251" s="896"/>
      <c r="AJ251" s="898"/>
      <c r="AK251" s="898"/>
      <c r="AL251" s="898"/>
      <c r="AM251" s="898"/>
      <c r="AN251" s="898"/>
      <c r="AO251" s="50"/>
      <c r="AP251" s="896"/>
      <c r="AQ251" s="896"/>
      <c r="AR251" s="896"/>
      <c r="AS251" s="898"/>
      <c r="AT251" s="898"/>
      <c r="AU251" s="898"/>
      <c r="AV251" s="898"/>
      <c r="AW251" s="898"/>
      <c r="AX251" s="50"/>
      <c r="AY251" s="896"/>
      <c r="AZ251" s="896"/>
      <c r="BA251" s="896"/>
      <c r="BB251" s="898"/>
      <c r="BC251" s="898"/>
      <c r="BD251" s="898"/>
      <c r="BE251" s="898"/>
      <c r="BF251" s="898"/>
      <c r="BG251" s="50"/>
      <c r="BH251" s="896"/>
      <c r="BI251" s="896"/>
      <c r="BJ251" s="896"/>
      <c r="BK251" s="898"/>
      <c r="BL251" s="898"/>
      <c r="BM251" s="898"/>
      <c r="BN251" s="898"/>
      <c r="BO251" s="898"/>
      <c r="BP251" s="50"/>
      <c r="BQ251" s="50"/>
      <c r="BR251" s="50"/>
      <c r="BS251" s="50"/>
      <c r="BT251" s="50"/>
      <c r="BU251" s="50"/>
      <c r="BV251" s="50"/>
      <c r="BW251" s="50"/>
      <c r="BX251" s="50"/>
      <c r="BY251" s="50"/>
      <c r="BZ251" s="50"/>
      <c r="CA251" s="50"/>
      <c r="CB251" s="50"/>
      <c r="CC251" s="50"/>
      <c r="CD251" s="50"/>
      <c r="CE251" s="50"/>
      <c r="CF251" s="50"/>
      <c r="CG251" s="50"/>
      <c r="CH251" s="48"/>
      <c r="CI251" s="48"/>
      <c r="CJ251" s="48"/>
      <c r="CK251" s="48"/>
      <c r="CL251" s="48"/>
      <c r="CM251" s="48"/>
      <c r="CN251" s="48"/>
      <c r="CO251" s="48"/>
      <c r="CP251" s="48"/>
      <c r="CQ251" s="49"/>
    </row>
    <row r="252" spans="2:95" x14ac:dyDescent="0.25">
      <c r="B252" s="908"/>
      <c r="C252" s="48"/>
      <c r="D252" s="908"/>
      <c r="E252" s="48"/>
      <c r="F252" s="896"/>
      <c r="G252" s="896"/>
      <c r="H252" s="896"/>
      <c r="I252" s="898"/>
      <c r="J252" s="898"/>
      <c r="K252" s="898"/>
      <c r="L252" s="898"/>
      <c r="M252" s="898"/>
      <c r="N252" s="48"/>
      <c r="O252" s="896"/>
      <c r="P252" s="896"/>
      <c r="Q252" s="896"/>
      <c r="R252" s="898"/>
      <c r="S252" s="898"/>
      <c r="T252" s="898"/>
      <c r="U252" s="898"/>
      <c r="V252" s="898"/>
      <c r="W252" s="50"/>
      <c r="X252" s="896"/>
      <c r="Y252" s="896"/>
      <c r="Z252" s="896"/>
      <c r="AA252" s="898"/>
      <c r="AB252" s="898"/>
      <c r="AC252" s="898"/>
      <c r="AD252" s="898"/>
      <c r="AE252" s="898"/>
      <c r="AF252" s="50"/>
      <c r="AG252" s="896"/>
      <c r="AH252" s="896"/>
      <c r="AI252" s="896"/>
      <c r="AJ252" s="898"/>
      <c r="AK252" s="898"/>
      <c r="AL252" s="898"/>
      <c r="AM252" s="898"/>
      <c r="AN252" s="898"/>
      <c r="AO252" s="50"/>
      <c r="AP252" s="896"/>
      <c r="AQ252" s="896"/>
      <c r="AR252" s="896"/>
      <c r="AS252" s="898"/>
      <c r="AT252" s="898"/>
      <c r="AU252" s="898"/>
      <c r="AV252" s="898"/>
      <c r="AW252" s="898"/>
      <c r="AX252" s="50"/>
      <c r="AY252" s="896"/>
      <c r="AZ252" s="896"/>
      <c r="BA252" s="896"/>
      <c r="BB252" s="898"/>
      <c r="BC252" s="898"/>
      <c r="BD252" s="898"/>
      <c r="BE252" s="898"/>
      <c r="BF252" s="898"/>
      <c r="BG252" s="50"/>
      <c r="BH252" s="896"/>
      <c r="BI252" s="896"/>
      <c r="BJ252" s="896"/>
      <c r="BK252" s="898"/>
      <c r="BL252" s="898"/>
      <c r="BM252" s="898"/>
      <c r="BN252" s="898"/>
      <c r="BO252" s="898"/>
      <c r="BP252" s="50"/>
      <c r="BQ252" s="50"/>
      <c r="BR252" s="50"/>
      <c r="BS252" s="50"/>
      <c r="BT252" s="50"/>
      <c r="BU252" s="50"/>
      <c r="BV252" s="50"/>
      <c r="BW252" s="50"/>
      <c r="BX252" s="50"/>
      <c r="BY252" s="50"/>
      <c r="BZ252" s="50"/>
      <c r="CA252" s="50"/>
      <c r="CB252" s="50"/>
      <c r="CC252" s="50"/>
      <c r="CD252" s="50"/>
      <c r="CE252" s="50"/>
      <c r="CF252" s="50"/>
      <c r="CG252" s="50"/>
      <c r="CH252" s="48"/>
      <c r="CI252" s="48"/>
      <c r="CJ252" s="48"/>
      <c r="CK252" s="48"/>
      <c r="CL252" s="48"/>
      <c r="CM252" s="48"/>
      <c r="CN252" s="48"/>
      <c r="CO252" s="48"/>
      <c r="CP252" s="48"/>
      <c r="CQ252" s="49"/>
    </row>
    <row r="253" spans="2:95" x14ac:dyDescent="0.25">
      <c r="B253" s="908"/>
      <c r="C253" s="48"/>
      <c r="D253" s="908"/>
      <c r="E253" s="48"/>
      <c r="F253" s="895" t="s">
        <v>0</v>
      </c>
      <c r="G253" s="895"/>
      <c r="H253" s="895"/>
      <c r="I253" s="895" t="s">
        <v>1</v>
      </c>
      <c r="J253" s="895"/>
      <c r="K253" s="895"/>
      <c r="L253" s="895"/>
      <c r="M253" s="895"/>
      <c r="N253" s="48"/>
      <c r="O253" s="895" t="s">
        <v>0</v>
      </c>
      <c r="P253" s="895"/>
      <c r="Q253" s="895"/>
      <c r="R253" s="895" t="s">
        <v>1</v>
      </c>
      <c r="S253" s="895"/>
      <c r="T253" s="895"/>
      <c r="U253" s="895"/>
      <c r="V253" s="895"/>
      <c r="W253" s="50"/>
      <c r="X253" s="895" t="s">
        <v>0</v>
      </c>
      <c r="Y253" s="895"/>
      <c r="Z253" s="895"/>
      <c r="AA253" s="895" t="s">
        <v>1</v>
      </c>
      <c r="AB253" s="895"/>
      <c r="AC253" s="895"/>
      <c r="AD253" s="895"/>
      <c r="AE253" s="895"/>
      <c r="AF253" s="50"/>
      <c r="AG253" s="895" t="s">
        <v>0</v>
      </c>
      <c r="AH253" s="895"/>
      <c r="AI253" s="895"/>
      <c r="AJ253" s="895" t="s">
        <v>1</v>
      </c>
      <c r="AK253" s="895"/>
      <c r="AL253" s="895"/>
      <c r="AM253" s="895"/>
      <c r="AN253" s="895"/>
      <c r="AO253" s="50"/>
      <c r="AP253" s="895" t="s">
        <v>0</v>
      </c>
      <c r="AQ253" s="895"/>
      <c r="AR253" s="895"/>
      <c r="AS253" s="895" t="s">
        <v>1</v>
      </c>
      <c r="AT253" s="895"/>
      <c r="AU253" s="895"/>
      <c r="AV253" s="895"/>
      <c r="AW253" s="895"/>
      <c r="AX253" s="50"/>
      <c r="AY253" s="895" t="s">
        <v>0</v>
      </c>
      <c r="AZ253" s="895"/>
      <c r="BA253" s="895"/>
      <c r="BB253" s="895" t="s">
        <v>1</v>
      </c>
      <c r="BC253" s="895"/>
      <c r="BD253" s="895"/>
      <c r="BE253" s="895"/>
      <c r="BF253" s="895"/>
      <c r="BG253" s="50"/>
      <c r="BH253" s="895" t="s">
        <v>0</v>
      </c>
      <c r="BI253" s="895"/>
      <c r="BJ253" s="895"/>
      <c r="BK253" s="895" t="s">
        <v>1</v>
      </c>
      <c r="BL253" s="895"/>
      <c r="BM253" s="895"/>
      <c r="BN253" s="895"/>
      <c r="BO253" s="895"/>
      <c r="BP253" s="50"/>
      <c r="BQ253" s="50"/>
      <c r="BR253" s="50"/>
      <c r="BS253" s="50"/>
      <c r="BT253" s="50"/>
      <c r="BU253" s="50"/>
      <c r="BV253" s="50"/>
      <c r="BW253" s="50"/>
      <c r="BX253" s="50"/>
      <c r="BY253" s="50"/>
      <c r="BZ253" s="50"/>
      <c r="CA253" s="50"/>
      <c r="CB253" s="50"/>
      <c r="CC253" s="50"/>
      <c r="CD253" s="50"/>
      <c r="CE253" s="50"/>
      <c r="CF253" s="50"/>
      <c r="CG253" s="50"/>
      <c r="CH253" s="48"/>
      <c r="CI253" s="48"/>
      <c r="CJ253" s="48"/>
      <c r="CK253" s="48"/>
      <c r="CL253" s="48"/>
      <c r="CM253" s="48"/>
      <c r="CN253" s="48"/>
      <c r="CO253" s="48"/>
      <c r="CP253" s="48"/>
      <c r="CQ253" s="49"/>
    </row>
    <row r="254" spans="2:95" ht="15.75" customHeight="1" x14ac:dyDescent="0.25">
      <c r="B254" s="908"/>
      <c r="C254" s="48"/>
      <c r="D254" s="908"/>
      <c r="E254" s="48"/>
      <c r="F254" s="896" t="s">
        <v>3</v>
      </c>
      <c r="G254" s="896"/>
      <c r="H254" s="896"/>
      <c r="I254" s="897" t="s">
        <v>206</v>
      </c>
      <c r="J254" s="898"/>
      <c r="K254" s="898"/>
      <c r="L254" s="898"/>
      <c r="M254" s="898"/>
      <c r="N254" s="48"/>
      <c r="O254" s="896" t="s">
        <v>3</v>
      </c>
      <c r="P254" s="896"/>
      <c r="Q254" s="896"/>
      <c r="R254" s="897" t="s">
        <v>660</v>
      </c>
      <c r="S254" s="898"/>
      <c r="T254" s="898"/>
      <c r="U254" s="898"/>
      <c r="V254" s="898"/>
      <c r="W254" s="50"/>
      <c r="X254" s="896" t="s">
        <v>3</v>
      </c>
      <c r="Y254" s="896"/>
      <c r="Z254" s="896"/>
      <c r="AA254" s="897" t="s">
        <v>203</v>
      </c>
      <c r="AB254" s="898"/>
      <c r="AC254" s="898"/>
      <c r="AD254" s="898"/>
      <c r="AE254" s="898"/>
      <c r="AF254" s="50"/>
      <c r="AG254" s="896" t="s">
        <v>3</v>
      </c>
      <c r="AH254" s="896"/>
      <c r="AI254" s="896"/>
      <c r="AJ254" s="897" t="s">
        <v>990</v>
      </c>
      <c r="AK254" s="898"/>
      <c r="AL254" s="898"/>
      <c r="AM254" s="898"/>
      <c r="AN254" s="898"/>
      <c r="AO254" s="50"/>
      <c r="AP254" s="896" t="s">
        <v>3</v>
      </c>
      <c r="AQ254" s="896"/>
      <c r="AR254" s="896"/>
      <c r="AS254" s="897" t="s">
        <v>994</v>
      </c>
      <c r="AT254" s="898"/>
      <c r="AU254" s="898"/>
      <c r="AV254" s="898"/>
      <c r="AW254" s="898"/>
      <c r="AX254" s="50"/>
      <c r="AY254" s="896" t="s">
        <v>3</v>
      </c>
      <c r="AZ254" s="896"/>
      <c r="BA254" s="896"/>
      <c r="BB254" s="897" t="s">
        <v>998</v>
      </c>
      <c r="BC254" s="898"/>
      <c r="BD254" s="898"/>
      <c r="BE254" s="898"/>
      <c r="BF254" s="898"/>
      <c r="BG254" s="50"/>
      <c r="BH254" s="896" t="s">
        <v>3</v>
      </c>
      <c r="BI254" s="896"/>
      <c r="BJ254" s="896"/>
      <c r="BK254" s="897" t="s">
        <v>1002</v>
      </c>
      <c r="BL254" s="898"/>
      <c r="BM254" s="898"/>
      <c r="BN254" s="898"/>
      <c r="BO254" s="898"/>
      <c r="BP254" s="50"/>
      <c r="BQ254" s="50"/>
      <c r="BR254" s="50"/>
      <c r="BS254" s="50"/>
      <c r="BT254" s="50"/>
      <c r="BU254" s="50"/>
      <c r="BV254" s="50"/>
      <c r="BW254" s="50"/>
      <c r="BX254" s="50"/>
      <c r="BY254" s="50"/>
      <c r="BZ254" s="50"/>
      <c r="CA254" s="50"/>
      <c r="CB254" s="50"/>
      <c r="CC254" s="50"/>
      <c r="CD254" s="50"/>
      <c r="CE254" s="50"/>
      <c r="CF254" s="50"/>
      <c r="CG254" s="50"/>
      <c r="CH254" s="48"/>
      <c r="CI254" s="48"/>
      <c r="CJ254" s="48"/>
      <c r="CK254" s="48"/>
      <c r="CL254" s="48"/>
      <c r="CM254" s="48"/>
      <c r="CN254" s="48"/>
      <c r="CO254" s="48"/>
      <c r="CP254" s="48"/>
      <c r="CQ254" s="49"/>
    </row>
    <row r="255" spans="2:95" x14ac:dyDescent="0.25">
      <c r="B255" s="908"/>
      <c r="C255" s="48"/>
      <c r="D255" s="908"/>
      <c r="E255" s="48"/>
      <c r="F255" s="896"/>
      <c r="G255" s="896"/>
      <c r="H255" s="896"/>
      <c r="I255" s="898"/>
      <c r="J255" s="898"/>
      <c r="K255" s="898"/>
      <c r="L255" s="898"/>
      <c r="M255" s="898"/>
      <c r="N255" s="48"/>
      <c r="O255" s="896"/>
      <c r="P255" s="896"/>
      <c r="Q255" s="896"/>
      <c r="R255" s="898"/>
      <c r="S255" s="898"/>
      <c r="T255" s="898"/>
      <c r="U255" s="898"/>
      <c r="V255" s="898"/>
      <c r="W255" s="50"/>
      <c r="X255" s="896"/>
      <c r="Y255" s="896"/>
      <c r="Z255" s="896"/>
      <c r="AA255" s="898"/>
      <c r="AB255" s="898"/>
      <c r="AC255" s="898"/>
      <c r="AD255" s="898"/>
      <c r="AE255" s="898"/>
      <c r="AF255" s="50"/>
      <c r="AG255" s="896"/>
      <c r="AH255" s="896"/>
      <c r="AI255" s="896"/>
      <c r="AJ255" s="898"/>
      <c r="AK255" s="898"/>
      <c r="AL255" s="898"/>
      <c r="AM255" s="898"/>
      <c r="AN255" s="898"/>
      <c r="AO255" s="50"/>
      <c r="AP255" s="896"/>
      <c r="AQ255" s="896"/>
      <c r="AR255" s="896"/>
      <c r="AS255" s="898"/>
      <c r="AT255" s="898"/>
      <c r="AU255" s="898"/>
      <c r="AV255" s="898"/>
      <c r="AW255" s="898"/>
      <c r="AX255" s="50"/>
      <c r="AY255" s="896"/>
      <c r="AZ255" s="896"/>
      <c r="BA255" s="896"/>
      <c r="BB255" s="898"/>
      <c r="BC255" s="898"/>
      <c r="BD255" s="898"/>
      <c r="BE255" s="898"/>
      <c r="BF255" s="898"/>
      <c r="BG255" s="50"/>
      <c r="BH255" s="896"/>
      <c r="BI255" s="896"/>
      <c r="BJ255" s="896"/>
      <c r="BK255" s="898"/>
      <c r="BL255" s="898"/>
      <c r="BM255" s="898"/>
      <c r="BN255" s="898"/>
      <c r="BO255" s="898"/>
      <c r="BP255" s="50"/>
      <c r="BQ255" s="50"/>
      <c r="BR255" s="50"/>
      <c r="BS255" s="50"/>
      <c r="BT255" s="50"/>
      <c r="BU255" s="50"/>
      <c r="BV255" s="50"/>
      <c r="BW255" s="50"/>
      <c r="BX255" s="50"/>
      <c r="BY255" s="50"/>
      <c r="BZ255" s="50"/>
      <c r="CA255" s="50"/>
      <c r="CB255" s="50"/>
      <c r="CC255" s="50"/>
      <c r="CD255" s="50"/>
      <c r="CE255" s="50"/>
      <c r="CF255" s="50"/>
      <c r="CG255" s="50"/>
      <c r="CH255" s="48"/>
      <c r="CI255" s="48"/>
      <c r="CJ255" s="48"/>
      <c r="CK255" s="48"/>
      <c r="CL255" s="48"/>
      <c r="CM255" s="48"/>
      <c r="CN255" s="48"/>
      <c r="CO255" s="48"/>
      <c r="CP255" s="48"/>
      <c r="CQ255" s="49"/>
    </row>
    <row r="256" spans="2:95" x14ac:dyDescent="0.25">
      <c r="B256" s="908"/>
      <c r="C256" s="48"/>
      <c r="D256" s="908"/>
      <c r="E256" s="48"/>
      <c r="F256" s="896"/>
      <c r="G256" s="896"/>
      <c r="H256" s="896"/>
      <c r="I256" s="898"/>
      <c r="J256" s="898"/>
      <c r="K256" s="898"/>
      <c r="L256" s="898"/>
      <c r="M256" s="898"/>
      <c r="N256" s="48"/>
      <c r="O256" s="896"/>
      <c r="P256" s="896"/>
      <c r="Q256" s="896"/>
      <c r="R256" s="898"/>
      <c r="S256" s="898"/>
      <c r="T256" s="898"/>
      <c r="U256" s="898"/>
      <c r="V256" s="898"/>
      <c r="W256" s="50"/>
      <c r="X256" s="896"/>
      <c r="Y256" s="896"/>
      <c r="Z256" s="896"/>
      <c r="AA256" s="898"/>
      <c r="AB256" s="898"/>
      <c r="AC256" s="898"/>
      <c r="AD256" s="898"/>
      <c r="AE256" s="898"/>
      <c r="AF256" s="50"/>
      <c r="AG256" s="896"/>
      <c r="AH256" s="896"/>
      <c r="AI256" s="896"/>
      <c r="AJ256" s="898"/>
      <c r="AK256" s="898"/>
      <c r="AL256" s="898"/>
      <c r="AM256" s="898"/>
      <c r="AN256" s="898"/>
      <c r="AO256" s="50"/>
      <c r="AP256" s="896"/>
      <c r="AQ256" s="896"/>
      <c r="AR256" s="896"/>
      <c r="AS256" s="898"/>
      <c r="AT256" s="898"/>
      <c r="AU256" s="898"/>
      <c r="AV256" s="898"/>
      <c r="AW256" s="898"/>
      <c r="AX256" s="50"/>
      <c r="AY256" s="896"/>
      <c r="AZ256" s="896"/>
      <c r="BA256" s="896"/>
      <c r="BB256" s="898"/>
      <c r="BC256" s="898"/>
      <c r="BD256" s="898"/>
      <c r="BE256" s="898"/>
      <c r="BF256" s="898"/>
      <c r="BG256" s="50"/>
      <c r="BH256" s="896"/>
      <c r="BI256" s="896"/>
      <c r="BJ256" s="896"/>
      <c r="BK256" s="898"/>
      <c r="BL256" s="898"/>
      <c r="BM256" s="898"/>
      <c r="BN256" s="898"/>
      <c r="BO256" s="898"/>
      <c r="BP256" s="50"/>
      <c r="BQ256" s="50"/>
      <c r="BR256" s="50"/>
      <c r="BS256" s="50"/>
      <c r="BT256" s="50"/>
      <c r="BU256" s="50"/>
      <c r="BV256" s="50"/>
      <c r="BW256" s="50"/>
      <c r="BX256" s="50"/>
      <c r="BY256" s="50"/>
      <c r="BZ256" s="50"/>
      <c r="CA256" s="50"/>
      <c r="CB256" s="50"/>
      <c r="CC256" s="50"/>
      <c r="CD256" s="50"/>
      <c r="CE256" s="50"/>
      <c r="CF256" s="50"/>
      <c r="CG256" s="50"/>
      <c r="CH256" s="48"/>
      <c r="CI256" s="48"/>
      <c r="CJ256" s="48"/>
      <c r="CK256" s="48"/>
      <c r="CL256" s="48"/>
      <c r="CM256" s="48"/>
      <c r="CN256" s="48"/>
      <c r="CO256" s="48"/>
      <c r="CP256" s="48"/>
      <c r="CQ256" s="49"/>
    </row>
    <row r="257" spans="2:95" x14ac:dyDescent="0.25">
      <c r="B257" s="908"/>
      <c r="C257" s="48"/>
      <c r="D257" s="908"/>
      <c r="E257" s="48"/>
      <c r="F257" s="896" t="s">
        <v>4</v>
      </c>
      <c r="G257" s="896"/>
      <c r="H257" s="896"/>
      <c r="I257" s="898" t="s">
        <v>15</v>
      </c>
      <c r="J257" s="898"/>
      <c r="K257" s="898"/>
      <c r="L257" s="898"/>
      <c r="M257" s="898"/>
      <c r="N257" s="48"/>
      <c r="O257" s="896" t="s">
        <v>4</v>
      </c>
      <c r="P257" s="896"/>
      <c r="Q257" s="896"/>
      <c r="R257" s="898" t="s">
        <v>15</v>
      </c>
      <c r="S257" s="898"/>
      <c r="T257" s="898"/>
      <c r="U257" s="898"/>
      <c r="V257" s="898"/>
      <c r="W257" s="50"/>
      <c r="X257" s="896" t="s">
        <v>4</v>
      </c>
      <c r="Y257" s="896"/>
      <c r="Z257" s="896"/>
      <c r="AA257" s="898" t="s">
        <v>15</v>
      </c>
      <c r="AB257" s="898"/>
      <c r="AC257" s="898"/>
      <c r="AD257" s="898"/>
      <c r="AE257" s="898"/>
      <c r="AF257" s="50"/>
      <c r="AG257" s="896" t="s">
        <v>4</v>
      </c>
      <c r="AH257" s="896"/>
      <c r="AI257" s="896"/>
      <c r="AJ257" s="898" t="s">
        <v>15</v>
      </c>
      <c r="AK257" s="898"/>
      <c r="AL257" s="898"/>
      <c r="AM257" s="898"/>
      <c r="AN257" s="898"/>
      <c r="AO257" s="50"/>
      <c r="AP257" s="896" t="s">
        <v>4</v>
      </c>
      <c r="AQ257" s="896"/>
      <c r="AR257" s="896"/>
      <c r="AS257" s="898" t="s">
        <v>15</v>
      </c>
      <c r="AT257" s="898"/>
      <c r="AU257" s="898"/>
      <c r="AV257" s="898"/>
      <c r="AW257" s="898"/>
      <c r="AX257" s="50"/>
      <c r="AY257" s="896" t="s">
        <v>4</v>
      </c>
      <c r="AZ257" s="896"/>
      <c r="BA257" s="896"/>
      <c r="BB257" s="898" t="s">
        <v>15</v>
      </c>
      <c r="BC257" s="898"/>
      <c r="BD257" s="898"/>
      <c r="BE257" s="898"/>
      <c r="BF257" s="898"/>
      <c r="BG257" s="50"/>
      <c r="BH257" s="896" t="s">
        <v>4</v>
      </c>
      <c r="BI257" s="896"/>
      <c r="BJ257" s="896"/>
      <c r="BK257" s="898" t="s">
        <v>15</v>
      </c>
      <c r="BL257" s="898"/>
      <c r="BM257" s="898"/>
      <c r="BN257" s="898"/>
      <c r="BO257" s="898"/>
      <c r="BP257" s="50"/>
      <c r="BQ257" s="50"/>
      <c r="BR257" s="50"/>
      <c r="BS257" s="50"/>
      <c r="BT257" s="50"/>
      <c r="BU257" s="50"/>
      <c r="BV257" s="50"/>
      <c r="BW257" s="50"/>
      <c r="BX257" s="50"/>
      <c r="BY257" s="50"/>
      <c r="BZ257" s="50"/>
      <c r="CA257" s="50"/>
      <c r="CB257" s="50"/>
      <c r="CC257" s="50"/>
      <c r="CD257" s="50"/>
      <c r="CE257" s="50"/>
      <c r="CF257" s="50"/>
      <c r="CG257" s="50"/>
      <c r="CH257" s="48"/>
      <c r="CI257" s="48"/>
      <c r="CJ257" s="48"/>
      <c r="CK257" s="48"/>
      <c r="CL257" s="48"/>
      <c r="CM257" s="48"/>
      <c r="CN257" s="48"/>
      <c r="CO257" s="48"/>
      <c r="CP257" s="48"/>
      <c r="CQ257" s="49"/>
    </row>
    <row r="258" spans="2:95" x14ac:dyDescent="0.25">
      <c r="B258" s="908"/>
      <c r="C258" s="48"/>
      <c r="D258" s="908"/>
      <c r="E258" s="48"/>
      <c r="F258" s="896"/>
      <c r="G258" s="896"/>
      <c r="H258" s="896"/>
      <c r="I258" s="898"/>
      <c r="J258" s="898"/>
      <c r="K258" s="898"/>
      <c r="L258" s="898"/>
      <c r="M258" s="898"/>
      <c r="N258" s="48"/>
      <c r="O258" s="896"/>
      <c r="P258" s="896"/>
      <c r="Q258" s="896"/>
      <c r="R258" s="898"/>
      <c r="S258" s="898"/>
      <c r="T258" s="898"/>
      <c r="U258" s="898"/>
      <c r="V258" s="898"/>
      <c r="W258" s="50"/>
      <c r="X258" s="896"/>
      <c r="Y258" s="896"/>
      <c r="Z258" s="896"/>
      <c r="AA258" s="898"/>
      <c r="AB258" s="898"/>
      <c r="AC258" s="898"/>
      <c r="AD258" s="898"/>
      <c r="AE258" s="898"/>
      <c r="AF258" s="50"/>
      <c r="AG258" s="896"/>
      <c r="AH258" s="896"/>
      <c r="AI258" s="896"/>
      <c r="AJ258" s="898"/>
      <c r="AK258" s="898"/>
      <c r="AL258" s="898"/>
      <c r="AM258" s="898"/>
      <c r="AN258" s="898"/>
      <c r="AO258" s="50"/>
      <c r="AP258" s="896"/>
      <c r="AQ258" s="896"/>
      <c r="AR258" s="896"/>
      <c r="AS258" s="898"/>
      <c r="AT258" s="898"/>
      <c r="AU258" s="898"/>
      <c r="AV258" s="898"/>
      <c r="AW258" s="898"/>
      <c r="AX258" s="50"/>
      <c r="AY258" s="896"/>
      <c r="AZ258" s="896"/>
      <c r="BA258" s="896"/>
      <c r="BB258" s="898"/>
      <c r="BC258" s="898"/>
      <c r="BD258" s="898"/>
      <c r="BE258" s="898"/>
      <c r="BF258" s="898"/>
      <c r="BG258" s="50"/>
      <c r="BH258" s="896"/>
      <c r="BI258" s="896"/>
      <c r="BJ258" s="896"/>
      <c r="BK258" s="898"/>
      <c r="BL258" s="898"/>
      <c r="BM258" s="898"/>
      <c r="BN258" s="898"/>
      <c r="BO258" s="898"/>
      <c r="BP258" s="50"/>
      <c r="BQ258" s="50"/>
      <c r="BR258" s="50"/>
      <c r="BS258" s="50"/>
      <c r="BT258" s="50"/>
      <c r="BU258" s="50"/>
      <c r="BV258" s="50"/>
      <c r="BW258" s="50"/>
      <c r="BX258" s="50"/>
      <c r="BY258" s="50"/>
      <c r="BZ258" s="50"/>
      <c r="CA258" s="50"/>
      <c r="CB258" s="50"/>
      <c r="CC258" s="50"/>
      <c r="CD258" s="50"/>
      <c r="CE258" s="50"/>
      <c r="CF258" s="50"/>
      <c r="CG258" s="50"/>
      <c r="CH258" s="48"/>
      <c r="CI258" s="48"/>
      <c r="CJ258" s="48"/>
      <c r="CK258" s="48"/>
      <c r="CL258" s="48"/>
      <c r="CM258" s="48"/>
      <c r="CN258" s="48"/>
      <c r="CO258" s="48"/>
      <c r="CP258" s="48"/>
      <c r="CQ258" s="49"/>
    </row>
    <row r="259" spans="2:95" x14ac:dyDescent="0.25">
      <c r="B259" s="908"/>
      <c r="C259" s="48"/>
      <c r="D259" s="908"/>
      <c r="E259" s="48"/>
      <c r="F259" s="896"/>
      <c r="G259" s="896"/>
      <c r="H259" s="896"/>
      <c r="I259" s="898"/>
      <c r="J259" s="898"/>
      <c r="K259" s="898"/>
      <c r="L259" s="898"/>
      <c r="M259" s="898"/>
      <c r="N259" s="48"/>
      <c r="O259" s="896"/>
      <c r="P259" s="896"/>
      <c r="Q259" s="896"/>
      <c r="R259" s="898"/>
      <c r="S259" s="898"/>
      <c r="T259" s="898"/>
      <c r="U259" s="898"/>
      <c r="V259" s="898"/>
      <c r="W259" s="50"/>
      <c r="X259" s="896"/>
      <c r="Y259" s="896"/>
      <c r="Z259" s="896"/>
      <c r="AA259" s="898"/>
      <c r="AB259" s="898"/>
      <c r="AC259" s="898"/>
      <c r="AD259" s="898"/>
      <c r="AE259" s="898"/>
      <c r="AF259" s="50"/>
      <c r="AG259" s="896"/>
      <c r="AH259" s="896"/>
      <c r="AI259" s="896"/>
      <c r="AJ259" s="898"/>
      <c r="AK259" s="898"/>
      <c r="AL259" s="898"/>
      <c r="AM259" s="898"/>
      <c r="AN259" s="898"/>
      <c r="AO259" s="50"/>
      <c r="AP259" s="896"/>
      <c r="AQ259" s="896"/>
      <c r="AR259" s="896"/>
      <c r="AS259" s="898"/>
      <c r="AT259" s="898"/>
      <c r="AU259" s="898"/>
      <c r="AV259" s="898"/>
      <c r="AW259" s="898"/>
      <c r="AX259" s="50"/>
      <c r="AY259" s="896"/>
      <c r="AZ259" s="896"/>
      <c r="BA259" s="896"/>
      <c r="BB259" s="898"/>
      <c r="BC259" s="898"/>
      <c r="BD259" s="898"/>
      <c r="BE259" s="898"/>
      <c r="BF259" s="898"/>
      <c r="BG259" s="50"/>
      <c r="BH259" s="896"/>
      <c r="BI259" s="896"/>
      <c r="BJ259" s="896"/>
      <c r="BK259" s="898"/>
      <c r="BL259" s="898"/>
      <c r="BM259" s="898"/>
      <c r="BN259" s="898"/>
      <c r="BO259" s="898"/>
      <c r="BP259" s="50"/>
      <c r="BQ259" s="50"/>
      <c r="BR259" s="50"/>
      <c r="BS259" s="50"/>
      <c r="BT259" s="50"/>
      <c r="BU259" s="50"/>
      <c r="BV259" s="50"/>
      <c r="BW259" s="50"/>
      <c r="BX259" s="50"/>
      <c r="BY259" s="50"/>
      <c r="BZ259" s="50"/>
      <c r="CA259" s="50"/>
      <c r="CB259" s="50"/>
      <c r="CC259" s="50"/>
      <c r="CD259" s="50"/>
      <c r="CE259" s="50"/>
      <c r="CF259" s="50"/>
      <c r="CG259" s="50"/>
      <c r="CH259" s="48"/>
      <c r="CI259" s="48"/>
      <c r="CJ259" s="48"/>
      <c r="CK259" s="48"/>
      <c r="CL259" s="48"/>
      <c r="CM259" s="48"/>
      <c r="CN259" s="48"/>
      <c r="CO259" s="48"/>
      <c r="CP259" s="48"/>
      <c r="CQ259" s="49"/>
    </row>
    <row r="260" spans="2:95" x14ac:dyDescent="0.25">
      <c r="B260" s="908"/>
      <c r="C260" s="48"/>
      <c r="D260" s="908"/>
      <c r="E260" s="48"/>
      <c r="F260" s="896" t="s">
        <v>5</v>
      </c>
      <c r="G260" s="896"/>
      <c r="H260" s="896"/>
      <c r="I260" s="898" t="s">
        <v>207</v>
      </c>
      <c r="J260" s="898"/>
      <c r="K260" s="898"/>
      <c r="L260" s="898"/>
      <c r="M260" s="898"/>
      <c r="N260" s="48"/>
      <c r="O260" s="896" t="s">
        <v>5</v>
      </c>
      <c r="P260" s="896"/>
      <c r="Q260" s="896"/>
      <c r="R260" s="898" t="s">
        <v>659</v>
      </c>
      <c r="S260" s="898"/>
      <c r="T260" s="898"/>
      <c r="U260" s="898"/>
      <c r="V260" s="898"/>
      <c r="W260" s="50"/>
      <c r="X260" s="896" t="s">
        <v>5</v>
      </c>
      <c r="Y260" s="896"/>
      <c r="Z260" s="896"/>
      <c r="AA260" s="898" t="s">
        <v>204</v>
      </c>
      <c r="AB260" s="898"/>
      <c r="AC260" s="898"/>
      <c r="AD260" s="898"/>
      <c r="AE260" s="898"/>
      <c r="AF260" s="50"/>
      <c r="AG260" s="896" t="s">
        <v>5</v>
      </c>
      <c r="AH260" s="896"/>
      <c r="AI260" s="896"/>
      <c r="AJ260" s="898" t="s">
        <v>991</v>
      </c>
      <c r="AK260" s="898"/>
      <c r="AL260" s="898"/>
      <c r="AM260" s="898"/>
      <c r="AN260" s="898"/>
      <c r="AO260" s="50"/>
      <c r="AP260" s="896" t="s">
        <v>5</v>
      </c>
      <c r="AQ260" s="896"/>
      <c r="AR260" s="896"/>
      <c r="AS260" s="898" t="s">
        <v>995</v>
      </c>
      <c r="AT260" s="898"/>
      <c r="AU260" s="898"/>
      <c r="AV260" s="898"/>
      <c r="AW260" s="898"/>
      <c r="AX260" s="50"/>
      <c r="AY260" s="896" t="s">
        <v>5</v>
      </c>
      <c r="AZ260" s="896"/>
      <c r="BA260" s="896"/>
      <c r="BB260" s="898" t="s">
        <v>999</v>
      </c>
      <c r="BC260" s="898"/>
      <c r="BD260" s="898"/>
      <c r="BE260" s="898"/>
      <c r="BF260" s="898"/>
      <c r="BG260" s="50"/>
      <c r="BH260" s="896" t="s">
        <v>5</v>
      </c>
      <c r="BI260" s="896"/>
      <c r="BJ260" s="896"/>
      <c r="BK260" s="898" t="s">
        <v>1003</v>
      </c>
      <c r="BL260" s="898"/>
      <c r="BM260" s="898"/>
      <c r="BN260" s="898"/>
      <c r="BO260" s="898"/>
      <c r="BP260" s="50"/>
      <c r="BQ260" s="50"/>
      <c r="BR260" s="50"/>
      <c r="BS260" s="50"/>
      <c r="BT260" s="50"/>
      <c r="BU260" s="50"/>
      <c r="BV260" s="50"/>
      <c r="BW260" s="50"/>
      <c r="BX260" s="50"/>
      <c r="BY260" s="50"/>
      <c r="BZ260" s="50"/>
      <c r="CA260" s="50"/>
      <c r="CB260" s="50"/>
      <c r="CC260" s="50"/>
      <c r="CD260" s="50"/>
      <c r="CE260" s="50"/>
      <c r="CF260" s="50"/>
      <c r="CG260" s="50"/>
      <c r="CH260" s="48"/>
      <c r="CI260" s="48"/>
      <c r="CJ260" s="48"/>
      <c r="CK260" s="48"/>
      <c r="CL260" s="48"/>
      <c r="CM260" s="48"/>
      <c r="CN260" s="48"/>
      <c r="CO260" s="48"/>
      <c r="CP260" s="48"/>
      <c r="CQ260" s="49"/>
    </row>
    <row r="261" spans="2:95" x14ac:dyDescent="0.25">
      <c r="B261" s="908"/>
      <c r="C261" s="48"/>
      <c r="D261" s="908"/>
      <c r="E261" s="48"/>
      <c r="F261" s="896"/>
      <c r="G261" s="896"/>
      <c r="H261" s="896"/>
      <c r="I261" s="898"/>
      <c r="J261" s="898"/>
      <c r="K261" s="898"/>
      <c r="L261" s="898"/>
      <c r="M261" s="898"/>
      <c r="N261" s="48"/>
      <c r="O261" s="896"/>
      <c r="P261" s="896"/>
      <c r="Q261" s="896"/>
      <c r="R261" s="898"/>
      <c r="S261" s="898"/>
      <c r="T261" s="898"/>
      <c r="U261" s="898"/>
      <c r="V261" s="898"/>
      <c r="W261" s="50"/>
      <c r="X261" s="896"/>
      <c r="Y261" s="896"/>
      <c r="Z261" s="896"/>
      <c r="AA261" s="898"/>
      <c r="AB261" s="898"/>
      <c r="AC261" s="898"/>
      <c r="AD261" s="898"/>
      <c r="AE261" s="898"/>
      <c r="AF261" s="50"/>
      <c r="AG261" s="896"/>
      <c r="AH261" s="896"/>
      <c r="AI261" s="896"/>
      <c r="AJ261" s="898"/>
      <c r="AK261" s="898"/>
      <c r="AL261" s="898"/>
      <c r="AM261" s="898"/>
      <c r="AN261" s="898"/>
      <c r="AO261" s="50"/>
      <c r="AP261" s="896"/>
      <c r="AQ261" s="896"/>
      <c r="AR261" s="896"/>
      <c r="AS261" s="898"/>
      <c r="AT261" s="898"/>
      <c r="AU261" s="898"/>
      <c r="AV261" s="898"/>
      <c r="AW261" s="898"/>
      <c r="AX261" s="50"/>
      <c r="AY261" s="896"/>
      <c r="AZ261" s="896"/>
      <c r="BA261" s="896"/>
      <c r="BB261" s="898"/>
      <c r="BC261" s="898"/>
      <c r="BD261" s="898"/>
      <c r="BE261" s="898"/>
      <c r="BF261" s="898"/>
      <c r="BG261" s="50"/>
      <c r="BH261" s="896"/>
      <c r="BI261" s="896"/>
      <c r="BJ261" s="896"/>
      <c r="BK261" s="898"/>
      <c r="BL261" s="898"/>
      <c r="BM261" s="898"/>
      <c r="BN261" s="898"/>
      <c r="BO261" s="898"/>
      <c r="BP261" s="50"/>
      <c r="BQ261" s="50"/>
      <c r="BR261" s="50"/>
      <c r="BS261" s="50"/>
      <c r="BT261" s="50"/>
      <c r="BU261" s="50"/>
      <c r="BV261" s="50"/>
      <c r="BW261" s="50"/>
      <c r="BX261" s="50"/>
      <c r="BY261" s="50"/>
      <c r="BZ261" s="50"/>
      <c r="CA261" s="50"/>
      <c r="CB261" s="50"/>
      <c r="CC261" s="50"/>
      <c r="CD261" s="50"/>
      <c r="CE261" s="50"/>
      <c r="CF261" s="50"/>
      <c r="CG261" s="50"/>
      <c r="CH261" s="48"/>
      <c r="CI261" s="48"/>
      <c r="CJ261" s="48"/>
      <c r="CK261" s="48"/>
      <c r="CL261" s="48"/>
      <c r="CM261" s="48"/>
      <c r="CN261" s="48"/>
      <c r="CO261" s="48"/>
      <c r="CP261" s="48"/>
      <c r="CQ261" s="49"/>
    </row>
    <row r="262" spans="2:95" x14ac:dyDescent="0.25">
      <c r="B262" s="908"/>
      <c r="C262" s="48"/>
      <c r="D262" s="908"/>
      <c r="E262" s="48"/>
      <c r="F262" s="896"/>
      <c r="G262" s="896"/>
      <c r="H262" s="896"/>
      <c r="I262" s="898"/>
      <c r="J262" s="898"/>
      <c r="K262" s="898"/>
      <c r="L262" s="898"/>
      <c r="M262" s="898"/>
      <c r="N262" s="48"/>
      <c r="O262" s="896"/>
      <c r="P262" s="896"/>
      <c r="Q262" s="896"/>
      <c r="R262" s="898"/>
      <c r="S262" s="898"/>
      <c r="T262" s="898"/>
      <c r="U262" s="898"/>
      <c r="V262" s="898"/>
      <c r="W262" s="50"/>
      <c r="X262" s="896"/>
      <c r="Y262" s="896"/>
      <c r="Z262" s="896"/>
      <c r="AA262" s="898"/>
      <c r="AB262" s="898"/>
      <c r="AC262" s="898"/>
      <c r="AD262" s="898"/>
      <c r="AE262" s="898"/>
      <c r="AF262" s="50"/>
      <c r="AG262" s="896"/>
      <c r="AH262" s="896"/>
      <c r="AI262" s="896"/>
      <c r="AJ262" s="898"/>
      <c r="AK262" s="898"/>
      <c r="AL262" s="898"/>
      <c r="AM262" s="898"/>
      <c r="AN262" s="898"/>
      <c r="AO262" s="50"/>
      <c r="AP262" s="896"/>
      <c r="AQ262" s="896"/>
      <c r="AR262" s="896"/>
      <c r="AS262" s="898"/>
      <c r="AT262" s="898"/>
      <c r="AU262" s="898"/>
      <c r="AV262" s="898"/>
      <c r="AW262" s="898"/>
      <c r="AX262" s="50"/>
      <c r="AY262" s="896"/>
      <c r="AZ262" s="896"/>
      <c r="BA262" s="896"/>
      <c r="BB262" s="898"/>
      <c r="BC262" s="898"/>
      <c r="BD262" s="898"/>
      <c r="BE262" s="898"/>
      <c r="BF262" s="898"/>
      <c r="BG262" s="50"/>
      <c r="BH262" s="896"/>
      <c r="BI262" s="896"/>
      <c r="BJ262" s="896"/>
      <c r="BK262" s="898"/>
      <c r="BL262" s="898"/>
      <c r="BM262" s="898"/>
      <c r="BN262" s="898"/>
      <c r="BO262" s="898"/>
      <c r="BP262" s="50"/>
      <c r="BQ262" s="50"/>
      <c r="BR262" s="50"/>
      <c r="BS262" s="50"/>
      <c r="BT262" s="50"/>
      <c r="BU262" s="50"/>
      <c r="BV262" s="50"/>
      <c r="BW262" s="50"/>
      <c r="BX262" s="50"/>
      <c r="BY262" s="50"/>
      <c r="BZ262" s="50"/>
      <c r="CA262" s="50"/>
      <c r="CB262" s="50"/>
      <c r="CC262" s="50"/>
      <c r="CD262" s="50"/>
      <c r="CE262" s="50"/>
      <c r="CF262" s="50"/>
      <c r="CG262" s="50"/>
      <c r="CH262" s="48"/>
      <c r="CI262" s="48"/>
      <c r="CJ262" s="48"/>
      <c r="CK262" s="48"/>
      <c r="CL262" s="48"/>
      <c r="CM262" s="48"/>
      <c r="CN262" s="48"/>
      <c r="CO262" s="48"/>
      <c r="CP262" s="48"/>
      <c r="CQ262" s="49"/>
    </row>
    <row r="263" spans="2:95" x14ac:dyDescent="0.25">
      <c r="B263" s="908"/>
      <c r="C263" s="48"/>
      <c r="D263" s="908"/>
      <c r="E263" s="48"/>
      <c r="F263" s="896" t="s">
        <v>6</v>
      </c>
      <c r="G263" s="896"/>
      <c r="H263" s="896"/>
      <c r="I263" s="898" t="s">
        <v>9</v>
      </c>
      <c r="J263" s="898"/>
      <c r="K263" s="898"/>
      <c r="L263" s="898"/>
      <c r="M263" s="898"/>
      <c r="N263" s="48"/>
      <c r="O263" s="896" t="s">
        <v>6</v>
      </c>
      <c r="P263" s="896"/>
      <c r="Q263" s="896"/>
      <c r="R263" s="898" t="s">
        <v>9</v>
      </c>
      <c r="S263" s="898"/>
      <c r="T263" s="898"/>
      <c r="U263" s="898"/>
      <c r="V263" s="898"/>
      <c r="W263" s="50"/>
      <c r="X263" s="896" t="s">
        <v>6</v>
      </c>
      <c r="Y263" s="896"/>
      <c r="Z263" s="896"/>
      <c r="AA263" s="898" t="s">
        <v>9</v>
      </c>
      <c r="AB263" s="898"/>
      <c r="AC263" s="898"/>
      <c r="AD263" s="898"/>
      <c r="AE263" s="898"/>
      <c r="AF263" s="50"/>
      <c r="AG263" s="896" t="s">
        <v>6</v>
      </c>
      <c r="AH263" s="896"/>
      <c r="AI263" s="896"/>
      <c r="AJ263" s="898" t="s">
        <v>9</v>
      </c>
      <c r="AK263" s="898"/>
      <c r="AL263" s="898"/>
      <c r="AM263" s="898"/>
      <c r="AN263" s="898"/>
      <c r="AO263" s="50"/>
      <c r="AP263" s="896" t="s">
        <v>6</v>
      </c>
      <c r="AQ263" s="896"/>
      <c r="AR263" s="896"/>
      <c r="AS263" s="898" t="s">
        <v>9</v>
      </c>
      <c r="AT263" s="898"/>
      <c r="AU263" s="898"/>
      <c r="AV263" s="898"/>
      <c r="AW263" s="898"/>
      <c r="AX263" s="50"/>
      <c r="AY263" s="896" t="s">
        <v>6</v>
      </c>
      <c r="AZ263" s="896"/>
      <c r="BA263" s="896"/>
      <c r="BB263" s="898" t="s">
        <v>9</v>
      </c>
      <c r="BC263" s="898"/>
      <c r="BD263" s="898"/>
      <c r="BE263" s="898"/>
      <c r="BF263" s="898"/>
      <c r="BG263" s="50"/>
      <c r="BH263" s="896" t="s">
        <v>6</v>
      </c>
      <c r="BI263" s="896"/>
      <c r="BJ263" s="896"/>
      <c r="BK263" s="898" t="s">
        <v>9</v>
      </c>
      <c r="BL263" s="898"/>
      <c r="BM263" s="898"/>
      <c r="BN263" s="898"/>
      <c r="BO263" s="898"/>
      <c r="BP263" s="50"/>
      <c r="BQ263" s="50"/>
      <c r="BR263" s="50"/>
      <c r="BS263" s="50"/>
      <c r="BT263" s="50"/>
      <c r="BU263" s="50"/>
      <c r="BV263" s="50"/>
      <c r="BW263" s="50"/>
      <c r="BX263" s="50"/>
      <c r="BY263" s="50"/>
      <c r="BZ263" s="50"/>
      <c r="CA263" s="50"/>
      <c r="CB263" s="50"/>
      <c r="CC263" s="50"/>
      <c r="CD263" s="50"/>
      <c r="CE263" s="50"/>
      <c r="CF263" s="50"/>
      <c r="CG263" s="50"/>
      <c r="CH263" s="48"/>
      <c r="CI263" s="48"/>
      <c r="CJ263" s="48"/>
      <c r="CK263" s="48"/>
      <c r="CL263" s="48"/>
      <c r="CM263" s="48"/>
      <c r="CN263" s="48"/>
      <c r="CO263" s="48"/>
      <c r="CP263" s="48"/>
      <c r="CQ263" s="49"/>
    </row>
    <row r="264" spans="2:95" x14ac:dyDescent="0.25">
      <c r="B264" s="908"/>
      <c r="C264" s="48"/>
      <c r="D264" s="908"/>
      <c r="E264" s="48"/>
      <c r="F264" s="896"/>
      <c r="G264" s="896"/>
      <c r="H264" s="896"/>
      <c r="I264" s="898"/>
      <c r="J264" s="898"/>
      <c r="K264" s="898"/>
      <c r="L264" s="898"/>
      <c r="M264" s="898"/>
      <c r="N264" s="48"/>
      <c r="O264" s="896"/>
      <c r="P264" s="896"/>
      <c r="Q264" s="896"/>
      <c r="R264" s="898"/>
      <c r="S264" s="898"/>
      <c r="T264" s="898"/>
      <c r="U264" s="898"/>
      <c r="V264" s="898"/>
      <c r="W264" s="50"/>
      <c r="X264" s="896"/>
      <c r="Y264" s="896"/>
      <c r="Z264" s="896"/>
      <c r="AA264" s="898"/>
      <c r="AB264" s="898"/>
      <c r="AC264" s="898"/>
      <c r="AD264" s="898"/>
      <c r="AE264" s="898"/>
      <c r="AF264" s="50"/>
      <c r="AG264" s="896"/>
      <c r="AH264" s="896"/>
      <c r="AI264" s="896"/>
      <c r="AJ264" s="898"/>
      <c r="AK264" s="898"/>
      <c r="AL264" s="898"/>
      <c r="AM264" s="898"/>
      <c r="AN264" s="898"/>
      <c r="AO264" s="50"/>
      <c r="AP264" s="896"/>
      <c r="AQ264" s="896"/>
      <c r="AR264" s="896"/>
      <c r="AS264" s="898"/>
      <c r="AT264" s="898"/>
      <c r="AU264" s="898"/>
      <c r="AV264" s="898"/>
      <c r="AW264" s="898"/>
      <c r="AX264" s="50"/>
      <c r="AY264" s="896"/>
      <c r="AZ264" s="896"/>
      <c r="BA264" s="896"/>
      <c r="BB264" s="898"/>
      <c r="BC264" s="898"/>
      <c r="BD264" s="898"/>
      <c r="BE264" s="898"/>
      <c r="BF264" s="898"/>
      <c r="BG264" s="50"/>
      <c r="BH264" s="896"/>
      <c r="BI264" s="896"/>
      <c r="BJ264" s="896"/>
      <c r="BK264" s="898"/>
      <c r="BL264" s="898"/>
      <c r="BM264" s="898"/>
      <c r="BN264" s="898"/>
      <c r="BO264" s="898"/>
      <c r="BP264" s="50"/>
      <c r="BQ264" s="50"/>
      <c r="BR264" s="50"/>
      <c r="BS264" s="50"/>
      <c r="BT264" s="50"/>
      <c r="BU264" s="50"/>
      <c r="BV264" s="50"/>
      <c r="BW264" s="50"/>
      <c r="BX264" s="50"/>
      <c r="BY264" s="50"/>
      <c r="BZ264" s="50"/>
      <c r="CA264" s="50"/>
      <c r="CB264" s="50"/>
      <c r="CC264" s="50"/>
      <c r="CD264" s="50"/>
      <c r="CE264" s="50"/>
      <c r="CF264" s="50"/>
      <c r="CG264" s="50"/>
      <c r="CH264" s="48"/>
      <c r="CI264" s="48"/>
      <c r="CJ264" s="48"/>
      <c r="CK264" s="48"/>
      <c r="CL264" s="48"/>
      <c r="CM264" s="48"/>
      <c r="CN264" s="48"/>
      <c r="CO264" s="48"/>
      <c r="CP264" s="48"/>
      <c r="CQ264" s="49"/>
    </row>
    <row r="265" spans="2:95" x14ac:dyDescent="0.25">
      <c r="B265" s="908"/>
      <c r="C265" s="48"/>
      <c r="D265" s="908"/>
      <c r="E265" s="48"/>
      <c r="F265" s="896"/>
      <c r="G265" s="896"/>
      <c r="H265" s="896"/>
      <c r="I265" s="898"/>
      <c r="J265" s="898"/>
      <c r="K265" s="898"/>
      <c r="L265" s="898"/>
      <c r="M265" s="898"/>
      <c r="N265" s="48"/>
      <c r="O265" s="896"/>
      <c r="P265" s="896"/>
      <c r="Q265" s="896"/>
      <c r="R265" s="898"/>
      <c r="S265" s="898"/>
      <c r="T265" s="898"/>
      <c r="U265" s="898"/>
      <c r="V265" s="898"/>
      <c r="W265" s="50"/>
      <c r="X265" s="896"/>
      <c r="Y265" s="896"/>
      <c r="Z265" s="896"/>
      <c r="AA265" s="898"/>
      <c r="AB265" s="898"/>
      <c r="AC265" s="898"/>
      <c r="AD265" s="898"/>
      <c r="AE265" s="898"/>
      <c r="AF265" s="50"/>
      <c r="AG265" s="896"/>
      <c r="AH265" s="896"/>
      <c r="AI265" s="896"/>
      <c r="AJ265" s="898"/>
      <c r="AK265" s="898"/>
      <c r="AL265" s="898"/>
      <c r="AM265" s="898"/>
      <c r="AN265" s="898"/>
      <c r="AO265" s="50"/>
      <c r="AP265" s="896"/>
      <c r="AQ265" s="896"/>
      <c r="AR265" s="896"/>
      <c r="AS265" s="898"/>
      <c r="AT265" s="898"/>
      <c r="AU265" s="898"/>
      <c r="AV265" s="898"/>
      <c r="AW265" s="898"/>
      <c r="AX265" s="50"/>
      <c r="AY265" s="896"/>
      <c r="AZ265" s="896"/>
      <c r="BA265" s="896"/>
      <c r="BB265" s="898"/>
      <c r="BC265" s="898"/>
      <c r="BD265" s="898"/>
      <c r="BE265" s="898"/>
      <c r="BF265" s="898"/>
      <c r="BG265" s="50"/>
      <c r="BH265" s="896"/>
      <c r="BI265" s="896"/>
      <c r="BJ265" s="896"/>
      <c r="BK265" s="898"/>
      <c r="BL265" s="898"/>
      <c r="BM265" s="898"/>
      <c r="BN265" s="898"/>
      <c r="BO265" s="898"/>
      <c r="BP265" s="50"/>
      <c r="BQ265" s="50"/>
      <c r="BR265" s="50"/>
      <c r="BS265" s="50"/>
      <c r="BT265" s="50"/>
      <c r="BU265" s="50"/>
      <c r="BV265" s="50"/>
      <c r="BW265" s="50"/>
      <c r="BX265" s="50"/>
      <c r="BY265" s="50"/>
      <c r="BZ265" s="50"/>
      <c r="CA265" s="50"/>
      <c r="CB265" s="50"/>
      <c r="CC265" s="50"/>
      <c r="CD265" s="50"/>
      <c r="CE265" s="50"/>
      <c r="CF265" s="50"/>
      <c r="CG265" s="50"/>
      <c r="CH265" s="48"/>
      <c r="CI265" s="48"/>
      <c r="CJ265" s="48"/>
      <c r="CK265" s="48"/>
      <c r="CL265" s="48"/>
      <c r="CM265" s="48"/>
      <c r="CN265" s="48"/>
      <c r="CO265" s="48"/>
      <c r="CP265" s="48"/>
      <c r="CQ265" s="49"/>
    </row>
    <row r="266" spans="2:95" x14ac:dyDescent="0.25">
      <c r="B266" s="908"/>
      <c r="C266" s="48"/>
      <c r="D266" s="908"/>
      <c r="E266" s="48"/>
      <c r="F266" s="896" t="s">
        <v>7</v>
      </c>
      <c r="G266" s="896"/>
      <c r="H266" s="896"/>
      <c r="I266" s="898" t="s">
        <v>208</v>
      </c>
      <c r="J266" s="898"/>
      <c r="K266" s="898"/>
      <c r="L266" s="898"/>
      <c r="M266" s="898"/>
      <c r="N266" s="48"/>
      <c r="O266" s="896" t="s">
        <v>7</v>
      </c>
      <c r="P266" s="896"/>
      <c r="Q266" s="896"/>
      <c r="R266" s="898" t="s">
        <v>661</v>
      </c>
      <c r="S266" s="898"/>
      <c r="T266" s="898"/>
      <c r="U266" s="898"/>
      <c r="V266" s="898"/>
      <c r="W266" s="50"/>
      <c r="X266" s="896" t="s">
        <v>7</v>
      </c>
      <c r="Y266" s="896"/>
      <c r="Z266" s="896"/>
      <c r="AA266" s="898" t="s">
        <v>636</v>
      </c>
      <c r="AB266" s="898"/>
      <c r="AC266" s="898"/>
      <c r="AD266" s="898"/>
      <c r="AE266" s="898"/>
      <c r="AF266" s="50"/>
      <c r="AG266" s="896" t="s">
        <v>7</v>
      </c>
      <c r="AH266" s="896"/>
      <c r="AI266" s="896"/>
      <c r="AJ266" s="898" t="s">
        <v>992</v>
      </c>
      <c r="AK266" s="898"/>
      <c r="AL266" s="898"/>
      <c r="AM266" s="898"/>
      <c r="AN266" s="898"/>
      <c r="AO266" s="50"/>
      <c r="AP266" s="896" t="s">
        <v>7</v>
      </c>
      <c r="AQ266" s="896"/>
      <c r="AR266" s="896"/>
      <c r="AS266" s="898" t="s">
        <v>996</v>
      </c>
      <c r="AT266" s="898"/>
      <c r="AU266" s="898"/>
      <c r="AV266" s="898"/>
      <c r="AW266" s="898"/>
      <c r="AX266" s="50"/>
      <c r="AY266" s="896" t="s">
        <v>7</v>
      </c>
      <c r="AZ266" s="896"/>
      <c r="BA266" s="896"/>
      <c r="BB266" s="898" t="s">
        <v>1000</v>
      </c>
      <c r="BC266" s="898"/>
      <c r="BD266" s="898"/>
      <c r="BE266" s="898"/>
      <c r="BF266" s="898"/>
      <c r="BG266" s="50"/>
      <c r="BH266" s="896" t="s">
        <v>7</v>
      </c>
      <c r="BI266" s="896"/>
      <c r="BJ266" s="896"/>
      <c r="BK266" s="898" t="s">
        <v>1004</v>
      </c>
      <c r="BL266" s="898"/>
      <c r="BM266" s="898"/>
      <c r="BN266" s="898"/>
      <c r="BO266" s="898"/>
      <c r="BP266" s="50"/>
      <c r="BQ266" s="50"/>
      <c r="BR266" s="50"/>
      <c r="BS266" s="50"/>
      <c r="BT266" s="50"/>
      <c r="BU266" s="50"/>
      <c r="BV266" s="50"/>
      <c r="BW266" s="50"/>
      <c r="BX266" s="50"/>
      <c r="BY266" s="50"/>
      <c r="BZ266" s="50"/>
      <c r="CA266" s="50"/>
      <c r="CB266" s="50"/>
      <c r="CC266" s="50"/>
      <c r="CD266" s="50"/>
      <c r="CE266" s="50"/>
      <c r="CF266" s="50"/>
      <c r="CG266" s="50"/>
      <c r="CH266" s="48"/>
      <c r="CI266" s="48"/>
      <c r="CJ266" s="48"/>
      <c r="CK266" s="48"/>
      <c r="CL266" s="48"/>
      <c r="CM266" s="48"/>
      <c r="CN266" s="48"/>
      <c r="CO266" s="48"/>
      <c r="CP266" s="48"/>
      <c r="CQ266" s="49"/>
    </row>
    <row r="267" spans="2:95" x14ac:dyDescent="0.25">
      <c r="B267" s="908"/>
      <c r="C267" s="48"/>
      <c r="D267" s="908"/>
      <c r="E267" s="48"/>
      <c r="F267" s="896"/>
      <c r="G267" s="896"/>
      <c r="H267" s="896"/>
      <c r="I267" s="898"/>
      <c r="J267" s="898"/>
      <c r="K267" s="898"/>
      <c r="L267" s="898"/>
      <c r="M267" s="898"/>
      <c r="N267" s="48"/>
      <c r="O267" s="896"/>
      <c r="P267" s="896"/>
      <c r="Q267" s="896"/>
      <c r="R267" s="898"/>
      <c r="S267" s="898"/>
      <c r="T267" s="898"/>
      <c r="U267" s="898"/>
      <c r="V267" s="898"/>
      <c r="W267" s="50"/>
      <c r="X267" s="896"/>
      <c r="Y267" s="896"/>
      <c r="Z267" s="896"/>
      <c r="AA267" s="898"/>
      <c r="AB267" s="898"/>
      <c r="AC267" s="898"/>
      <c r="AD267" s="898"/>
      <c r="AE267" s="898"/>
      <c r="AF267" s="50"/>
      <c r="AG267" s="896"/>
      <c r="AH267" s="896"/>
      <c r="AI267" s="896"/>
      <c r="AJ267" s="898"/>
      <c r="AK267" s="898"/>
      <c r="AL267" s="898"/>
      <c r="AM267" s="898"/>
      <c r="AN267" s="898"/>
      <c r="AO267" s="50"/>
      <c r="AP267" s="896"/>
      <c r="AQ267" s="896"/>
      <c r="AR267" s="896"/>
      <c r="AS267" s="898"/>
      <c r="AT267" s="898"/>
      <c r="AU267" s="898"/>
      <c r="AV267" s="898"/>
      <c r="AW267" s="898"/>
      <c r="AX267" s="50"/>
      <c r="AY267" s="896"/>
      <c r="AZ267" s="896"/>
      <c r="BA267" s="896"/>
      <c r="BB267" s="898"/>
      <c r="BC267" s="898"/>
      <c r="BD267" s="898"/>
      <c r="BE267" s="898"/>
      <c r="BF267" s="898"/>
      <c r="BG267" s="50"/>
      <c r="BH267" s="896"/>
      <c r="BI267" s="896"/>
      <c r="BJ267" s="896"/>
      <c r="BK267" s="898"/>
      <c r="BL267" s="898"/>
      <c r="BM267" s="898"/>
      <c r="BN267" s="898"/>
      <c r="BO267" s="898"/>
      <c r="BP267" s="50"/>
      <c r="BQ267" s="50"/>
      <c r="BR267" s="50"/>
      <c r="BS267" s="50"/>
      <c r="BT267" s="50"/>
      <c r="BU267" s="50"/>
      <c r="BV267" s="50"/>
      <c r="BW267" s="50"/>
      <c r="BX267" s="50"/>
      <c r="BY267" s="50"/>
      <c r="BZ267" s="50"/>
      <c r="CA267" s="50"/>
      <c r="CB267" s="50"/>
      <c r="CC267" s="50"/>
      <c r="CD267" s="50"/>
      <c r="CE267" s="50"/>
      <c r="CF267" s="50"/>
      <c r="CG267" s="50"/>
      <c r="CH267" s="48"/>
      <c r="CI267" s="48"/>
      <c r="CJ267" s="48"/>
      <c r="CK267" s="48"/>
      <c r="CL267" s="48"/>
      <c r="CM267" s="48"/>
      <c r="CN267" s="48"/>
      <c r="CO267" s="48"/>
      <c r="CP267" s="48"/>
      <c r="CQ267" s="49"/>
    </row>
    <row r="268" spans="2:95" ht="16.5" thickBot="1" x14ac:dyDescent="0.3">
      <c r="B268" s="908"/>
      <c r="C268" s="48"/>
      <c r="D268" s="909"/>
      <c r="E268" s="48"/>
      <c r="F268" s="896"/>
      <c r="G268" s="896"/>
      <c r="H268" s="896"/>
      <c r="I268" s="898"/>
      <c r="J268" s="898"/>
      <c r="K268" s="898"/>
      <c r="L268" s="898"/>
      <c r="M268" s="898"/>
      <c r="N268" s="48"/>
      <c r="O268" s="896"/>
      <c r="P268" s="896"/>
      <c r="Q268" s="896"/>
      <c r="R268" s="898"/>
      <c r="S268" s="898"/>
      <c r="T268" s="898"/>
      <c r="U268" s="898"/>
      <c r="V268" s="898"/>
      <c r="W268" s="50"/>
      <c r="X268" s="896"/>
      <c r="Y268" s="896"/>
      <c r="Z268" s="896"/>
      <c r="AA268" s="898"/>
      <c r="AB268" s="898"/>
      <c r="AC268" s="898"/>
      <c r="AD268" s="898"/>
      <c r="AE268" s="898"/>
      <c r="AF268" s="50"/>
      <c r="AG268" s="896"/>
      <c r="AH268" s="896"/>
      <c r="AI268" s="896"/>
      <c r="AJ268" s="898"/>
      <c r="AK268" s="898"/>
      <c r="AL268" s="898"/>
      <c r="AM268" s="898"/>
      <c r="AN268" s="898"/>
      <c r="AO268" s="50"/>
      <c r="AP268" s="896"/>
      <c r="AQ268" s="896"/>
      <c r="AR268" s="896"/>
      <c r="AS268" s="898"/>
      <c r="AT268" s="898"/>
      <c r="AU268" s="898"/>
      <c r="AV268" s="898"/>
      <c r="AW268" s="898"/>
      <c r="AX268" s="50"/>
      <c r="AY268" s="896"/>
      <c r="AZ268" s="896"/>
      <c r="BA268" s="896"/>
      <c r="BB268" s="898"/>
      <c r="BC268" s="898"/>
      <c r="BD268" s="898"/>
      <c r="BE268" s="898"/>
      <c r="BF268" s="898"/>
      <c r="BG268" s="50"/>
      <c r="BH268" s="896"/>
      <c r="BI268" s="896"/>
      <c r="BJ268" s="896"/>
      <c r="BK268" s="898"/>
      <c r="BL268" s="898"/>
      <c r="BM268" s="898"/>
      <c r="BN268" s="898"/>
      <c r="BO268" s="898"/>
      <c r="BP268" s="50"/>
      <c r="BQ268" s="50"/>
      <c r="BR268" s="50"/>
      <c r="BS268" s="50"/>
      <c r="BT268" s="50"/>
      <c r="BU268" s="50"/>
      <c r="BV268" s="50"/>
      <c r="BW268" s="50"/>
      <c r="BX268" s="50"/>
      <c r="BY268" s="50"/>
      <c r="BZ268" s="50"/>
      <c r="CA268" s="50"/>
      <c r="CB268" s="50"/>
      <c r="CC268" s="50"/>
      <c r="CD268" s="50"/>
      <c r="CE268" s="50"/>
      <c r="CF268" s="50"/>
      <c r="CG268" s="50"/>
      <c r="CH268" s="48"/>
      <c r="CI268" s="48"/>
      <c r="CJ268" s="48"/>
      <c r="CK268" s="48"/>
      <c r="CL268" s="48"/>
      <c r="CM268" s="48"/>
      <c r="CN268" s="48"/>
      <c r="CO268" s="48"/>
      <c r="CP268" s="48"/>
      <c r="CQ268" s="49"/>
    </row>
    <row r="269" spans="2:95" x14ac:dyDescent="0.25">
      <c r="B269" s="908"/>
      <c r="C269" s="48"/>
      <c r="D269" s="48"/>
      <c r="E269" s="48"/>
      <c r="F269" s="48"/>
      <c r="G269" s="48"/>
      <c r="H269" s="48"/>
      <c r="I269" s="48"/>
      <c r="J269" s="48"/>
      <c r="K269" s="48"/>
      <c r="L269" s="48"/>
      <c r="M269" s="48"/>
      <c r="N269" s="48"/>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48"/>
      <c r="CI269" s="48"/>
      <c r="CJ269" s="48"/>
      <c r="CK269" s="48"/>
      <c r="CL269" s="48"/>
      <c r="CM269" s="48"/>
      <c r="CN269" s="48"/>
      <c r="CO269" s="48"/>
      <c r="CP269" s="48"/>
      <c r="CQ269" s="49"/>
    </row>
    <row r="270" spans="2:95" x14ac:dyDescent="0.25">
      <c r="B270" s="908"/>
      <c r="C270" s="48"/>
      <c r="D270" s="48"/>
      <c r="E270" s="48"/>
      <c r="F270" s="48"/>
      <c r="G270" s="48"/>
      <c r="H270" s="48"/>
      <c r="I270" s="48"/>
      <c r="J270" s="48"/>
      <c r="K270" s="48"/>
      <c r="L270" s="48"/>
      <c r="M270" s="48"/>
      <c r="N270" s="48"/>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48"/>
      <c r="CI270" s="48"/>
      <c r="CJ270" s="48"/>
      <c r="CK270" s="48"/>
      <c r="CL270" s="48"/>
      <c r="CM270" s="48"/>
      <c r="CN270" s="48"/>
      <c r="CO270" s="48"/>
      <c r="CP270" s="48"/>
      <c r="CQ270" s="49"/>
    </row>
    <row r="271" spans="2:95" x14ac:dyDescent="0.25">
      <c r="B271" s="90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9"/>
    </row>
    <row r="272" spans="2:95" ht="16.5" thickBot="1" x14ac:dyDescent="0.3">
      <c r="B272" s="90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9"/>
    </row>
    <row r="273" spans="2:95" ht="15.75" customHeight="1" x14ac:dyDescent="0.25">
      <c r="B273" s="908"/>
      <c r="C273" s="48"/>
      <c r="D273" s="907" t="s">
        <v>55</v>
      </c>
      <c r="E273" s="48"/>
      <c r="F273" s="910" t="s">
        <v>8</v>
      </c>
      <c r="G273" s="910"/>
      <c r="H273" s="910"/>
      <c r="I273" s="910"/>
      <c r="J273" s="910"/>
      <c r="K273" s="910"/>
      <c r="L273" s="910"/>
      <c r="M273" s="910"/>
      <c r="N273" s="48"/>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48"/>
      <c r="BZ273" s="48"/>
      <c r="CA273" s="48"/>
      <c r="CB273" s="48"/>
      <c r="CC273" s="48"/>
      <c r="CD273" s="48"/>
      <c r="CE273" s="48"/>
      <c r="CF273" s="48"/>
      <c r="CG273" s="48"/>
      <c r="CH273" s="48"/>
      <c r="CI273" s="48"/>
      <c r="CJ273" s="48"/>
      <c r="CK273" s="48"/>
      <c r="CL273" s="48"/>
      <c r="CM273" s="48"/>
      <c r="CN273" s="48"/>
      <c r="CO273" s="48"/>
      <c r="CP273" s="48"/>
      <c r="CQ273" s="49"/>
    </row>
    <row r="274" spans="2:95" x14ac:dyDescent="0.25">
      <c r="B274" s="908"/>
      <c r="C274" s="48"/>
      <c r="D274" s="908"/>
      <c r="E274" s="48"/>
      <c r="F274" s="895" t="s">
        <v>0</v>
      </c>
      <c r="G274" s="895"/>
      <c r="H274" s="895"/>
      <c r="I274" s="895" t="s">
        <v>1</v>
      </c>
      <c r="J274" s="895"/>
      <c r="K274" s="895"/>
      <c r="L274" s="895"/>
      <c r="M274" s="895"/>
      <c r="N274" s="48"/>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48"/>
      <c r="BZ274" s="48"/>
      <c r="CA274" s="48"/>
      <c r="CB274" s="48"/>
      <c r="CC274" s="48"/>
      <c r="CD274" s="48"/>
      <c r="CE274" s="48"/>
      <c r="CF274" s="48"/>
      <c r="CG274" s="48"/>
      <c r="CH274" s="48"/>
      <c r="CI274" s="48"/>
      <c r="CJ274" s="48"/>
      <c r="CK274" s="48"/>
      <c r="CL274" s="48"/>
      <c r="CM274" s="48"/>
      <c r="CN274" s="48"/>
      <c r="CO274" s="48"/>
      <c r="CP274" s="48"/>
      <c r="CQ274" s="49"/>
    </row>
    <row r="275" spans="2:95" x14ac:dyDescent="0.25">
      <c r="B275" s="908"/>
      <c r="C275" s="48"/>
      <c r="D275" s="908"/>
      <c r="E275" s="48"/>
      <c r="F275" s="896" t="s">
        <v>2</v>
      </c>
      <c r="G275" s="896"/>
      <c r="H275" s="896"/>
      <c r="I275" s="898" t="s">
        <v>209</v>
      </c>
      <c r="J275" s="898"/>
      <c r="K275" s="898"/>
      <c r="L275" s="898"/>
      <c r="M275" s="898"/>
      <c r="N275" s="48"/>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48"/>
      <c r="BZ275" s="48"/>
      <c r="CA275" s="48"/>
      <c r="CB275" s="48"/>
      <c r="CC275" s="48"/>
      <c r="CD275" s="48"/>
      <c r="CE275" s="48"/>
      <c r="CF275" s="48"/>
      <c r="CG275" s="48"/>
      <c r="CH275" s="48"/>
      <c r="CI275" s="48"/>
      <c r="CJ275" s="48"/>
      <c r="CK275" s="48"/>
      <c r="CL275" s="48"/>
      <c r="CM275" s="48"/>
      <c r="CN275" s="48"/>
      <c r="CO275" s="48"/>
      <c r="CP275" s="48"/>
      <c r="CQ275" s="49"/>
    </row>
    <row r="276" spans="2:95" x14ac:dyDescent="0.25">
      <c r="B276" s="908"/>
      <c r="C276" s="48"/>
      <c r="D276" s="908"/>
      <c r="E276" s="48"/>
      <c r="F276" s="896"/>
      <c r="G276" s="896"/>
      <c r="H276" s="896"/>
      <c r="I276" s="898"/>
      <c r="J276" s="898"/>
      <c r="K276" s="898"/>
      <c r="L276" s="898"/>
      <c r="M276" s="898"/>
      <c r="N276" s="48"/>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48"/>
      <c r="BZ276" s="48"/>
      <c r="CA276" s="48"/>
      <c r="CB276" s="48"/>
      <c r="CC276" s="48"/>
      <c r="CD276" s="48"/>
      <c r="CE276" s="48"/>
      <c r="CF276" s="48"/>
      <c r="CG276" s="48"/>
      <c r="CH276" s="48"/>
      <c r="CI276" s="48"/>
      <c r="CJ276" s="48"/>
      <c r="CK276" s="48"/>
      <c r="CL276" s="48"/>
      <c r="CM276" s="48"/>
      <c r="CN276" s="48"/>
      <c r="CO276" s="48"/>
      <c r="CP276" s="48"/>
      <c r="CQ276" s="49"/>
    </row>
    <row r="277" spans="2:95" x14ac:dyDescent="0.25">
      <c r="B277" s="908"/>
      <c r="C277" s="48"/>
      <c r="D277" s="908"/>
      <c r="E277" s="48"/>
      <c r="F277" s="896"/>
      <c r="G277" s="896"/>
      <c r="H277" s="896"/>
      <c r="I277" s="898"/>
      <c r="J277" s="898"/>
      <c r="K277" s="898"/>
      <c r="L277" s="898"/>
      <c r="M277" s="898"/>
      <c r="N277" s="48"/>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48"/>
      <c r="BZ277" s="48"/>
      <c r="CA277" s="48"/>
      <c r="CB277" s="48"/>
      <c r="CC277" s="48"/>
      <c r="CD277" s="48"/>
      <c r="CE277" s="48"/>
      <c r="CF277" s="48"/>
      <c r="CG277" s="48"/>
      <c r="CH277" s="48"/>
      <c r="CI277" s="48"/>
      <c r="CJ277" s="48"/>
      <c r="CK277" s="48"/>
      <c r="CL277" s="48"/>
      <c r="CM277" s="48"/>
      <c r="CN277" s="48"/>
      <c r="CO277" s="48"/>
      <c r="CP277" s="48"/>
      <c r="CQ277" s="49"/>
    </row>
    <row r="278" spans="2:95" x14ac:dyDescent="0.25">
      <c r="B278" s="908"/>
      <c r="C278" s="48"/>
      <c r="D278" s="908"/>
      <c r="E278" s="48"/>
      <c r="F278" s="895" t="s">
        <v>0</v>
      </c>
      <c r="G278" s="895"/>
      <c r="H278" s="895"/>
      <c r="I278" s="895" t="s">
        <v>1</v>
      </c>
      <c r="J278" s="895"/>
      <c r="K278" s="895"/>
      <c r="L278" s="895"/>
      <c r="M278" s="895"/>
      <c r="N278" s="48"/>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48"/>
      <c r="BZ278" s="48"/>
      <c r="CA278" s="48"/>
      <c r="CB278" s="48"/>
      <c r="CC278" s="48"/>
      <c r="CD278" s="48"/>
      <c r="CE278" s="48"/>
      <c r="CF278" s="48"/>
      <c r="CG278" s="48"/>
      <c r="CH278" s="48"/>
      <c r="CI278" s="48"/>
      <c r="CJ278" s="48"/>
      <c r="CK278" s="48"/>
      <c r="CL278" s="48"/>
      <c r="CM278" s="48"/>
      <c r="CN278" s="48"/>
      <c r="CO278" s="48"/>
      <c r="CP278" s="48"/>
      <c r="CQ278" s="49"/>
    </row>
    <row r="279" spans="2:95" ht="15.75" customHeight="1" x14ac:dyDescent="0.25">
      <c r="B279" s="908"/>
      <c r="C279" s="48"/>
      <c r="D279" s="908"/>
      <c r="E279" s="48"/>
      <c r="F279" s="896" t="s">
        <v>3</v>
      </c>
      <c r="G279" s="896"/>
      <c r="H279" s="896"/>
      <c r="I279" s="897" t="s">
        <v>210</v>
      </c>
      <c r="J279" s="898"/>
      <c r="K279" s="898"/>
      <c r="L279" s="898"/>
      <c r="M279" s="898"/>
      <c r="N279" s="48"/>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48"/>
      <c r="BZ279" s="48"/>
      <c r="CA279" s="48"/>
      <c r="CB279" s="48"/>
      <c r="CC279" s="48"/>
      <c r="CD279" s="48"/>
      <c r="CE279" s="48"/>
      <c r="CF279" s="48"/>
      <c r="CG279" s="48"/>
      <c r="CH279" s="48"/>
      <c r="CI279" s="48"/>
      <c r="CJ279" s="48"/>
      <c r="CK279" s="48"/>
      <c r="CL279" s="48"/>
      <c r="CM279" s="48"/>
      <c r="CN279" s="48"/>
      <c r="CO279" s="48"/>
      <c r="CP279" s="48"/>
      <c r="CQ279" s="49"/>
    </row>
    <row r="280" spans="2:95" x14ac:dyDescent="0.25">
      <c r="B280" s="908"/>
      <c r="C280" s="48"/>
      <c r="D280" s="908"/>
      <c r="E280" s="48"/>
      <c r="F280" s="896"/>
      <c r="G280" s="896"/>
      <c r="H280" s="896"/>
      <c r="I280" s="898"/>
      <c r="J280" s="898"/>
      <c r="K280" s="898"/>
      <c r="L280" s="898"/>
      <c r="M280" s="898"/>
      <c r="N280" s="48"/>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48"/>
      <c r="BZ280" s="48"/>
      <c r="CA280" s="48"/>
      <c r="CB280" s="48"/>
      <c r="CC280" s="48"/>
      <c r="CD280" s="48"/>
      <c r="CE280" s="48"/>
      <c r="CF280" s="48"/>
      <c r="CG280" s="48"/>
      <c r="CH280" s="48"/>
      <c r="CI280" s="48"/>
      <c r="CJ280" s="48"/>
      <c r="CK280" s="48"/>
      <c r="CL280" s="48"/>
      <c r="CM280" s="48"/>
      <c r="CN280" s="48"/>
      <c r="CO280" s="48"/>
      <c r="CP280" s="48"/>
      <c r="CQ280" s="49"/>
    </row>
    <row r="281" spans="2:95" x14ac:dyDescent="0.25">
      <c r="B281" s="908"/>
      <c r="C281" s="48"/>
      <c r="D281" s="908"/>
      <c r="E281" s="48"/>
      <c r="F281" s="896"/>
      <c r="G281" s="896"/>
      <c r="H281" s="896"/>
      <c r="I281" s="898"/>
      <c r="J281" s="898"/>
      <c r="K281" s="898"/>
      <c r="L281" s="898"/>
      <c r="M281" s="898"/>
      <c r="N281" s="48"/>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48"/>
      <c r="BZ281" s="48"/>
      <c r="CA281" s="48"/>
      <c r="CB281" s="48"/>
      <c r="CC281" s="48"/>
      <c r="CD281" s="48"/>
      <c r="CE281" s="48"/>
      <c r="CF281" s="48"/>
      <c r="CG281" s="48"/>
      <c r="CH281" s="48"/>
      <c r="CI281" s="48"/>
      <c r="CJ281" s="48"/>
      <c r="CK281" s="48"/>
      <c r="CL281" s="48"/>
      <c r="CM281" s="48"/>
      <c r="CN281" s="48"/>
      <c r="CO281" s="48"/>
      <c r="CP281" s="48"/>
      <c r="CQ281" s="49"/>
    </row>
    <row r="282" spans="2:95" x14ac:dyDescent="0.25">
      <c r="B282" s="908"/>
      <c r="C282" s="48"/>
      <c r="D282" s="908"/>
      <c r="E282" s="48"/>
      <c r="F282" s="896" t="s">
        <v>4</v>
      </c>
      <c r="G282" s="896"/>
      <c r="H282" s="896"/>
      <c r="I282" s="898" t="s">
        <v>15</v>
      </c>
      <c r="J282" s="898"/>
      <c r="K282" s="898"/>
      <c r="L282" s="898"/>
      <c r="M282" s="898"/>
      <c r="N282" s="48"/>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48"/>
      <c r="BZ282" s="48"/>
      <c r="CA282" s="48"/>
      <c r="CB282" s="48"/>
      <c r="CC282" s="48"/>
      <c r="CD282" s="48"/>
      <c r="CE282" s="48"/>
      <c r="CF282" s="48"/>
      <c r="CG282" s="48"/>
      <c r="CH282" s="48"/>
      <c r="CI282" s="48"/>
      <c r="CJ282" s="48"/>
      <c r="CK282" s="48"/>
      <c r="CL282" s="48"/>
      <c r="CM282" s="48"/>
      <c r="CN282" s="48"/>
      <c r="CO282" s="48"/>
      <c r="CP282" s="48"/>
      <c r="CQ282" s="49"/>
    </row>
    <row r="283" spans="2:95" x14ac:dyDescent="0.25">
      <c r="B283" s="908"/>
      <c r="C283" s="48"/>
      <c r="D283" s="908"/>
      <c r="E283" s="48"/>
      <c r="F283" s="896"/>
      <c r="G283" s="896"/>
      <c r="H283" s="896"/>
      <c r="I283" s="898"/>
      <c r="J283" s="898"/>
      <c r="K283" s="898"/>
      <c r="L283" s="898"/>
      <c r="M283" s="898"/>
      <c r="N283" s="48"/>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48"/>
      <c r="BZ283" s="48"/>
      <c r="CA283" s="48"/>
      <c r="CB283" s="48"/>
      <c r="CC283" s="48"/>
      <c r="CD283" s="48"/>
      <c r="CE283" s="48"/>
      <c r="CF283" s="48"/>
      <c r="CG283" s="48"/>
      <c r="CH283" s="48"/>
      <c r="CI283" s="48"/>
      <c r="CJ283" s="48"/>
      <c r="CK283" s="48"/>
      <c r="CL283" s="48"/>
      <c r="CM283" s="48"/>
      <c r="CN283" s="48"/>
      <c r="CO283" s="48"/>
      <c r="CP283" s="48"/>
      <c r="CQ283" s="49"/>
    </row>
    <row r="284" spans="2:95" x14ac:dyDescent="0.25">
      <c r="B284" s="908"/>
      <c r="C284" s="48"/>
      <c r="D284" s="908"/>
      <c r="E284" s="48"/>
      <c r="F284" s="896"/>
      <c r="G284" s="896"/>
      <c r="H284" s="896"/>
      <c r="I284" s="898"/>
      <c r="J284" s="898"/>
      <c r="K284" s="898"/>
      <c r="L284" s="898"/>
      <c r="M284" s="898"/>
      <c r="N284" s="48"/>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48"/>
      <c r="BZ284" s="48"/>
      <c r="CA284" s="48"/>
      <c r="CB284" s="48"/>
      <c r="CC284" s="48"/>
      <c r="CD284" s="48"/>
      <c r="CE284" s="48"/>
      <c r="CF284" s="48"/>
      <c r="CG284" s="48"/>
      <c r="CH284" s="48"/>
      <c r="CI284" s="48"/>
      <c r="CJ284" s="48"/>
      <c r="CK284" s="48"/>
      <c r="CL284" s="48"/>
      <c r="CM284" s="48"/>
      <c r="CN284" s="48"/>
      <c r="CO284" s="48"/>
      <c r="CP284" s="48"/>
      <c r="CQ284" s="49"/>
    </row>
    <row r="285" spans="2:95" x14ac:dyDescent="0.25">
      <c r="B285" s="908"/>
      <c r="C285" s="48"/>
      <c r="D285" s="908"/>
      <c r="E285" s="48"/>
      <c r="F285" s="896" t="s">
        <v>5</v>
      </c>
      <c r="G285" s="896"/>
      <c r="H285" s="896"/>
      <c r="I285" s="898" t="s">
        <v>211</v>
      </c>
      <c r="J285" s="898"/>
      <c r="K285" s="898"/>
      <c r="L285" s="898"/>
      <c r="M285" s="898"/>
      <c r="N285" s="48"/>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48"/>
      <c r="BZ285" s="48"/>
      <c r="CA285" s="48"/>
      <c r="CB285" s="48"/>
      <c r="CC285" s="48"/>
      <c r="CD285" s="48"/>
      <c r="CE285" s="48"/>
      <c r="CF285" s="48"/>
      <c r="CG285" s="48"/>
      <c r="CH285" s="48"/>
      <c r="CI285" s="48"/>
      <c r="CJ285" s="48"/>
      <c r="CK285" s="48"/>
      <c r="CL285" s="48"/>
      <c r="CM285" s="48"/>
      <c r="CN285" s="48"/>
      <c r="CO285" s="48"/>
      <c r="CP285" s="48"/>
      <c r="CQ285" s="49"/>
    </row>
    <row r="286" spans="2:95" x14ac:dyDescent="0.25">
      <c r="B286" s="908"/>
      <c r="C286" s="48"/>
      <c r="D286" s="908"/>
      <c r="E286" s="48"/>
      <c r="F286" s="896"/>
      <c r="G286" s="896"/>
      <c r="H286" s="896"/>
      <c r="I286" s="898"/>
      <c r="J286" s="898"/>
      <c r="K286" s="898"/>
      <c r="L286" s="898"/>
      <c r="M286" s="898"/>
      <c r="N286" s="48"/>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48"/>
      <c r="BZ286" s="48"/>
      <c r="CA286" s="48"/>
      <c r="CB286" s="48"/>
      <c r="CC286" s="48"/>
      <c r="CD286" s="48"/>
      <c r="CE286" s="48"/>
      <c r="CF286" s="48"/>
      <c r="CG286" s="48"/>
      <c r="CH286" s="48"/>
      <c r="CI286" s="48"/>
      <c r="CJ286" s="48"/>
      <c r="CK286" s="48"/>
      <c r="CL286" s="48"/>
      <c r="CM286" s="48"/>
      <c r="CN286" s="48"/>
      <c r="CO286" s="48"/>
      <c r="CP286" s="48"/>
      <c r="CQ286" s="49"/>
    </row>
    <row r="287" spans="2:95" x14ac:dyDescent="0.25">
      <c r="B287" s="908"/>
      <c r="C287" s="48"/>
      <c r="D287" s="908"/>
      <c r="E287" s="48"/>
      <c r="F287" s="896"/>
      <c r="G287" s="896"/>
      <c r="H287" s="896"/>
      <c r="I287" s="898"/>
      <c r="J287" s="898"/>
      <c r="K287" s="898"/>
      <c r="L287" s="898"/>
      <c r="M287" s="898"/>
      <c r="N287" s="48"/>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48"/>
      <c r="BZ287" s="48"/>
      <c r="CA287" s="48"/>
      <c r="CB287" s="48"/>
      <c r="CC287" s="48"/>
      <c r="CD287" s="48"/>
      <c r="CE287" s="48"/>
      <c r="CF287" s="48"/>
      <c r="CG287" s="48"/>
      <c r="CH287" s="48"/>
      <c r="CI287" s="48"/>
      <c r="CJ287" s="48"/>
      <c r="CK287" s="48"/>
      <c r="CL287" s="48"/>
      <c r="CM287" s="48"/>
      <c r="CN287" s="48"/>
      <c r="CO287" s="48"/>
      <c r="CP287" s="48"/>
      <c r="CQ287" s="49"/>
    </row>
    <row r="288" spans="2:95" x14ac:dyDescent="0.25">
      <c r="B288" s="908"/>
      <c r="C288" s="48"/>
      <c r="D288" s="908"/>
      <c r="E288" s="48"/>
      <c r="F288" s="896" t="s">
        <v>6</v>
      </c>
      <c r="G288" s="896"/>
      <c r="H288" s="896"/>
      <c r="I288" s="898" t="s">
        <v>9</v>
      </c>
      <c r="J288" s="898"/>
      <c r="K288" s="898"/>
      <c r="L288" s="898"/>
      <c r="M288" s="898"/>
      <c r="N288" s="48"/>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48"/>
      <c r="BZ288" s="48"/>
      <c r="CA288" s="48"/>
      <c r="CB288" s="48"/>
      <c r="CC288" s="48"/>
      <c r="CD288" s="48"/>
      <c r="CE288" s="48"/>
      <c r="CF288" s="48"/>
      <c r="CG288" s="48"/>
      <c r="CH288" s="48"/>
      <c r="CI288" s="48"/>
      <c r="CJ288" s="48"/>
      <c r="CK288" s="48"/>
      <c r="CL288" s="48"/>
      <c r="CM288" s="48"/>
      <c r="CN288" s="48"/>
      <c r="CO288" s="48"/>
      <c r="CP288" s="48"/>
      <c r="CQ288" s="49"/>
    </row>
    <row r="289" spans="2:95" x14ac:dyDescent="0.25">
      <c r="B289" s="908"/>
      <c r="C289" s="48"/>
      <c r="D289" s="908"/>
      <c r="E289" s="48"/>
      <c r="F289" s="896"/>
      <c r="G289" s="896"/>
      <c r="H289" s="896"/>
      <c r="I289" s="898"/>
      <c r="J289" s="898"/>
      <c r="K289" s="898"/>
      <c r="L289" s="898"/>
      <c r="M289" s="898"/>
      <c r="N289" s="48"/>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48"/>
      <c r="BZ289" s="48"/>
      <c r="CA289" s="48"/>
      <c r="CB289" s="48"/>
      <c r="CC289" s="48"/>
      <c r="CD289" s="48"/>
      <c r="CE289" s="48"/>
      <c r="CF289" s="48"/>
      <c r="CG289" s="48"/>
      <c r="CH289" s="48"/>
      <c r="CI289" s="48"/>
      <c r="CJ289" s="48"/>
      <c r="CK289" s="48"/>
      <c r="CL289" s="48"/>
      <c r="CM289" s="48"/>
      <c r="CN289" s="48"/>
      <c r="CO289" s="48"/>
      <c r="CP289" s="48"/>
      <c r="CQ289" s="49"/>
    </row>
    <row r="290" spans="2:95" x14ac:dyDescent="0.25">
      <c r="B290" s="908"/>
      <c r="C290" s="48"/>
      <c r="D290" s="908"/>
      <c r="E290" s="48"/>
      <c r="F290" s="896"/>
      <c r="G290" s="896"/>
      <c r="H290" s="896"/>
      <c r="I290" s="898"/>
      <c r="J290" s="898"/>
      <c r="K290" s="898"/>
      <c r="L290" s="898"/>
      <c r="M290" s="898"/>
      <c r="N290" s="48"/>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48"/>
      <c r="BZ290" s="48"/>
      <c r="CA290" s="48"/>
      <c r="CB290" s="48"/>
      <c r="CC290" s="48"/>
      <c r="CD290" s="48"/>
      <c r="CE290" s="48"/>
      <c r="CF290" s="48"/>
      <c r="CG290" s="48"/>
      <c r="CH290" s="48"/>
      <c r="CI290" s="48"/>
      <c r="CJ290" s="48"/>
      <c r="CK290" s="48"/>
      <c r="CL290" s="48"/>
      <c r="CM290" s="48"/>
      <c r="CN290" s="48"/>
      <c r="CO290" s="48"/>
      <c r="CP290" s="48"/>
      <c r="CQ290" s="49"/>
    </row>
    <row r="291" spans="2:95" x14ac:dyDescent="0.25">
      <c r="B291" s="908"/>
      <c r="C291" s="48"/>
      <c r="D291" s="908"/>
      <c r="E291" s="48"/>
      <c r="F291" s="896" t="s">
        <v>7</v>
      </c>
      <c r="G291" s="896"/>
      <c r="H291" s="896"/>
      <c r="I291" s="898" t="s">
        <v>639</v>
      </c>
      <c r="J291" s="898"/>
      <c r="K291" s="898"/>
      <c r="L291" s="898"/>
      <c r="M291" s="898"/>
      <c r="N291" s="48"/>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48"/>
      <c r="BZ291" s="48"/>
      <c r="CA291" s="48"/>
      <c r="CB291" s="48"/>
      <c r="CC291" s="48"/>
      <c r="CD291" s="48"/>
      <c r="CE291" s="48"/>
      <c r="CF291" s="48"/>
      <c r="CG291" s="48"/>
      <c r="CH291" s="48"/>
      <c r="CI291" s="48"/>
      <c r="CJ291" s="48"/>
      <c r="CK291" s="48"/>
      <c r="CL291" s="48"/>
      <c r="CM291" s="48"/>
      <c r="CN291" s="48"/>
      <c r="CO291" s="48"/>
      <c r="CP291" s="48"/>
      <c r="CQ291" s="49"/>
    </row>
    <row r="292" spans="2:95" x14ac:dyDescent="0.25">
      <c r="B292" s="908"/>
      <c r="C292" s="48"/>
      <c r="D292" s="908"/>
      <c r="E292" s="48"/>
      <c r="F292" s="896"/>
      <c r="G292" s="896"/>
      <c r="H292" s="896"/>
      <c r="I292" s="898"/>
      <c r="J292" s="898"/>
      <c r="K292" s="898"/>
      <c r="L292" s="898"/>
      <c r="M292" s="898"/>
      <c r="N292" s="48"/>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48"/>
      <c r="BZ292" s="48"/>
      <c r="CA292" s="48"/>
      <c r="CB292" s="48"/>
      <c r="CC292" s="48"/>
      <c r="CD292" s="48"/>
      <c r="CE292" s="48"/>
      <c r="CF292" s="48"/>
      <c r="CG292" s="48"/>
      <c r="CH292" s="48"/>
      <c r="CI292" s="48"/>
      <c r="CJ292" s="48"/>
      <c r="CK292" s="48"/>
      <c r="CL292" s="48"/>
      <c r="CM292" s="48"/>
      <c r="CN292" s="48"/>
      <c r="CO292" s="48"/>
      <c r="CP292" s="48"/>
      <c r="CQ292" s="49"/>
    </row>
    <row r="293" spans="2:95" ht="16.5" thickBot="1" x14ac:dyDescent="0.3">
      <c r="B293" s="908"/>
      <c r="C293" s="48"/>
      <c r="D293" s="909"/>
      <c r="E293" s="48"/>
      <c r="F293" s="896"/>
      <c r="G293" s="896"/>
      <c r="H293" s="896"/>
      <c r="I293" s="898"/>
      <c r="J293" s="898"/>
      <c r="K293" s="898"/>
      <c r="L293" s="898"/>
      <c r="M293" s="898"/>
      <c r="N293" s="48"/>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48"/>
      <c r="BZ293" s="48"/>
      <c r="CA293" s="48"/>
      <c r="CB293" s="48"/>
      <c r="CC293" s="48"/>
      <c r="CD293" s="48"/>
      <c r="CE293" s="48"/>
      <c r="CF293" s="48"/>
      <c r="CG293" s="48"/>
      <c r="CH293" s="48"/>
      <c r="CI293" s="48"/>
      <c r="CJ293" s="48"/>
      <c r="CK293" s="48"/>
      <c r="CL293" s="48"/>
      <c r="CM293" s="48"/>
      <c r="CN293" s="48"/>
      <c r="CO293" s="48"/>
      <c r="CP293" s="48"/>
      <c r="CQ293" s="49"/>
    </row>
    <row r="294" spans="2:95" x14ac:dyDescent="0.25">
      <c r="B294" s="90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9"/>
    </row>
    <row r="295" spans="2:95" ht="16.5" thickBot="1" x14ac:dyDescent="0.3">
      <c r="B295" s="90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9"/>
    </row>
    <row r="296" spans="2:95" ht="15.75" customHeight="1" x14ac:dyDescent="0.25">
      <c r="B296" s="908"/>
      <c r="C296" s="48"/>
      <c r="D296" s="907" t="s">
        <v>170</v>
      </c>
      <c r="E296" s="48"/>
      <c r="F296" s="910" t="s">
        <v>8</v>
      </c>
      <c r="G296" s="910"/>
      <c r="H296" s="910"/>
      <c r="I296" s="910"/>
      <c r="J296" s="910"/>
      <c r="K296" s="910"/>
      <c r="L296" s="910"/>
      <c r="M296" s="910"/>
      <c r="N296" s="48"/>
      <c r="O296" s="910" t="s">
        <v>8</v>
      </c>
      <c r="P296" s="910"/>
      <c r="Q296" s="910"/>
      <c r="R296" s="910"/>
      <c r="S296" s="910"/>
      <c r="T296" s="910"/>
      <c r="U296" s="910"/>
      <c r="V296" s="910"/>
      <c r="W296" s="48"/>
      <c r="X296" s="899" t="s">
        <v>8</v>
      </c>
      <c r="Y296" s="900"/>
      <c r="Z296" s="900"/>
      <c r="AA296" s="900"/>
      <c r="AB296" s="900"/>
      <c r="AC296" s="900"/>
      <c r="AD296" s="900"/>
      <c r="AE296" s="901"/>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48"/>
      <c r="BZ296" s="48"/>
      <c r="CA296" s="48"/>
      <c r="CB296" s="48"/>
      <c r="CC296" s="48"/>
      <c r="CD296" s="48"/>
      <c r="CE296" s="48"/>
      <c r="CF296" s="48"/>
      <c r="CG296" s="48"/>
      <c r="CH296" s="48"/>
      <c r="CI296" s="48"/>
      <c r="CJ296" s="48"/>
      <c r="CK296" s="48"/>
      <c r="CL296" s="48"/>
      <c r="CM296" s="48"/>
      <c r="CN296" s="48"/>
      <c r="CO296" s="48"/>
      <c r="CP296" s="48"/>
      <c r="CQ296" s="49"/>
    </row>
    <row r="297" spans="2:95" x14ac:dyDescent="0.25">
      <c r="B297" s="908"/>
      <c r="C297" s="48"/>
      <c r="D297" s="908"/>
      <c r="E297" s="48"/>
      <c r="F297" s="895" t="s">
        <v>0</v>
      </c>
      <c r="G297" s="895"/>
      <c r="H297" s="895"/>
      <c r="I297" s="895" t="s">
        <v>1</v>
      </c>
      <c r="J297" s="895"/>
      <c r="K297" s="895"/>
      <c r="L297" s="895"/>
      <c r="M297" s="895"/>
      <c r="N297" s="48"/>
      <c r="O297" s="895" t="s">
        <v>0</v>
      </c>
      <c r="P297" s="895"/>
      <c r="Q297" s="895"/>
      <c r="R297" s="895" t="s">
        <v>1</v>
      </c>
      <c r="S297" s="895"/>
      <c r="T297" s="895"/>
      <c r="U297" s="895"/>
      <c r="V297" s="895"/>
      <c r="W297" s="48"/>
      <c r="X297" s="950" t="s">
        <v>0</v>
      </c>
      <c r="Y297" s="951"/>
      <c r="Z297" s="952"/>
      <c r="AA297" s="950" t="s">
        <v>1</v>
      </c>
      <c r="AB297" s="951"/>
      <c r="AC297" s="951"/>
      <c r="AD297" s="951"/>
      <c r="AE297" s="952"/>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48"/>
      <c r="BZ297" s="48"/>
      <c r="CA297" s="48"/>
      <c r="CB297" s="48"/>
      <c r="CC297" s="48"/>
      <c r="CD297" s="48"/>
      <c r="CE297" s="48"/>
      <c r="CF297" s="48"/>
      <c r="CG297" s="48"/>
      <c r="CH297" s="48"/>
      <c r="CI297" s="48"/>
      <c r="CJ297" s="48"/>
      <c r="CK297" s="48"/>
      <c r="CL297" s="48"/>
      <c r="CM297" s="48"/>
      <c r="CN297" s="48"/>
      <c r="CO297" s="48"/>
      <c r="CP297" s="48"/>
      <c r="CQ297" s="49"/>
    </row>
    <row r="298" spans="2:95" x14ac:dyDescent="0.25">
      <c r="B298" s="908"/>
      <c r="C298" s="48"/>
      <c r="D298" s="908"/>
      <c r="E298" s="48"/>
      <c r="F298" s="896" t="s">
        <v>2</v>
      </c>
      <c r="G298" s="896"/>
      <c r="H298" s="896"/>
      <c r="I298" s="898" t="s">
        <v>333</v>
      </c>
      <c r="J298" s="898"/>
      <c r="K298" s="898"/>
      <c r="L298" s="898"/>
      <c r="M298" s="898"/>
      <c r="N298" s="48"/>
      <c r="O298" s="896" t="s">
        <v>2</v>
      </c>
      <c r="P298" s="896"/>
      <c r="Q298" s="896"/>
      <c r="R298" s="898" t="s">
        <v>662</v>
      </c>
      <c r="S298" s="898"/>
      <c r="T298" s="898"/>
      <c r="U298" s="898"/>
      <c r="V298" s="898"/>
      <c r="W298" s="48"/>
      <c r="X298" s="896" t="s">
        <v>2</v>
      </c>
      <c r="Y298" s="896"/>
      <c r="Z298" s="896"/>
      <c r="AA298" s="898" t="s">
        <v>223</v>
      </c>
      <c r="AB298" s="898"/>
      <c r="AC298" s="898"/>
      <c r="AD298" s="898"/>
      <c r="AE298" s="898"/>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48"/>
      <c r="BZ298" s="48"/>
      <c r="CA298" s="48"/>
      <c r="CB298" s="48"/>
      <c r="CC298" s="48"/>
      <c r="CD298" s="48"/>
      <c r="CE298" s="48"/>
      <c r="CF298" s="48"/>
      <c r="CG298" s="48"/>
      <c r="CH298" s="48"/>
      <c r="CI298" s="48"/>
      <c r="CJ298" s="48"/>
      <c r="CK298" s="48"/>
      <c r="CL298" s="48"/>
      <c r="CM298" s="48"/>
      <c r="CN298" s="48"/>
      <c r="CO298" s="48"/>
      <c r="CP298" s="48"/>
      <c r="CQ298" s="49"/>
    </row>
    <row r="299" spans="2:95" x14ac:dyDescent="0.25">
      <c r="B299" s="908"/>
      <c r="C299" s="48"/>
      <c r="D299" s="908"/>
      <c r="E299" s="48"/>
      <c r="F299" s="896"/>
      <c r="G299" s="896"/>
      <c r="H299" s="896"/>
      <c r="I299" s="898"/>
      <c r="J299" s="898"/>
      <c r="K299" s="898"/>
      <c r="L299" s="898"/>
      <c r="M299" s="898"/>
      <c r="N299" s="48"/>
      <c r="O299" s="896"/>
      <c r="P299" s="896"/>
      <c r="Q299" s="896"/>
      <c r="R299" s="898"/>
      <c r="S299" s="898"/>
      <c r="T299" s="898"/>
      <c r="U299" s="898"/>
      <c r="V299" s="898"/>
      <c r="W299" s="48"/>
      <c r="X299" s="896"/>
      <c r="Y299" s="896"/>
      <c r="Z299" s="896"/>
      <c r="AA299" s="898"/>
      <c r="AB299" s="898"/>
      <c r="AC299" s="898"/>
      <c r="AD299" s="898"/>
      <c r="AE299" s="898"/>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48"/>
      <c r="BZ299" s="48"/>
      <c r="CA299" s="48"/>
      <c r="CB299" s="48"/>
      <c r="CC299" s="48"/>
      <c r="CD299" s="48"/>
      <c r="CE299" s="48"/>
      <c r="CF299" s="48"/>
      <c r="CG299" s="48"/>
      <c r="CH299" s="48"/>
      <c r="CI299" s="48"/>
      <c r="CJ299" s="48"/>
      <c r="CK299" s="48"/>
      <c r="CL299" s="48"/>
      <c r="CM299" s="48"/>
      <c r="CN299" s="48"/>
      <c r="CO299" s="48"/>
      <c r="CP299" s="48"/>
      <c r="CQ299" s="49"/>
    </row>
    <row r="300" spans="2:95" x14ac:dyDescent="0.25">
      <c r="B300" s="908"/>
      <c r="C300" s="48"/>
      <c r="D300" s="908"/>
      <c r="E300" s="48"/>
      <c r="F300" s="896"/>
      <c r="G300" s="896"/>
      <c r="H300" s="896"/>
      <c r="I300" s="898"/>
      <c r="J300" s="898"/>
      <c r="K300" s="898"/>
      <c r="L300" s="898"/>
      <c r="M300" s="898"/>
      <c r="N300" s="48"/>
      <c r="O300" s="896"/>
      <c r="P300" s="896"/>
      <c r="Q300" s="896"/>
      <c r="R300" s="898"/>
      <c r="S300" s="898"/>
      <c r="T300" s="898"/>
      <c r="U300" s="898"/>
      <c r="V300" s="898"/>
      <c r="W300" s="48"/>
      <c r="X300" s="896"/>
      <c r="Y300" s="896"/>
      <c r="Z300" s="896"/>
      <c r="AA300" s="898"/>
      <c r="AB300" s="898"/>
      <c r="AC300" s="898"/>
      <c r="AD300" s="898"/>
      <c r="AE300" s="898"/>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48"/>
      <c r="BZ300" s="48"/>
      <c r="CA300" s="48"/>
      <c r="CB300" s="48"/>
      <c r="CC300" s="48"/>
      <c r="CD300" s="48"/>
      <c r="CE300" s="48"/>
      <c r="CF300" s="48"/>
      <c r="CG300" s="48"/>
      <c r="CH300" s="48"/>
      <c r="CI300" s="48"/>
      <c r="CJ300" s="48"/>
      <c r="CK300" s="48"/>
      <c r="CL300" s="48"/>
      <c r="CM300" s="48"/>
      <c r="CN300" s="48"/>
      <c r="CO300" s="48"/>
      <c r="CP300" s="48"/>
      <c r="CQ300" s="49"/>
    </row>
    <row r="301" spans="2:95" x14ac:dyDescent="0.25">
      <c r="B301" s="908"/>
      <c r="C301" s="48"/>
      <c r="D301" s="908"/>
      <c r="E301" s="48"/>
      <c r="F301" s="895" t="s">
        <v>0</v>
      </c>
      <c r="G301" s="895"/>
      <c r="H301" s="895"/>
      <c r="I301" s="895" t="s">
        <v>1</v>
      </c>
      <c r="J301" s="895"/>
      <c r="K301" s="895"/>
      <c r="L301" s="895"/>
      <c r="M301" s="895"/>
      <c r="N301" s="48"/>
      <c r="O301" s="895" t="s">
        <v>0</v>
      </c>
      <c r="P301" s="895"/>
      <c r="Q301" s="895"/>
      <c r="R301" s="895" t="s">
        <v>1</v>
      </c>
      <c r="S301" s="895"/>
      <c r="T301" s="895"/>
      <c r="U301" s="895"/>
      <c r="V301" s="895"/>
      <c r="W301" s="48"/>
      <c r="X301" s="895" t="s">
        <v>0</v>
      </c>
      <c r="Y301" s="895"/>
      <c r="Z301" s="895"/>
      <c r="AA301" s="895" t="s">
        <v>1</v>
      </c>
      <c r="AB301" s="895"/>
      <c r="AC301" s="895"/>
      <c r="AD301" s="895"/>
      <c r="AE301" s="895"/>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48"/>
      <c r="BZ301" s="48"/>
      <c r="CA301" s="48"/>
      <c r="CB301" s="48"/>
      <c r="CC301" s="48"/>
      <c r="CD301" s="48"/>
      <c r="CE301" s="48"/>
      <c r="CF301" s="48"/>
      <c r="CG301" s="48"/>
      <c r="CH301" s="48"/>
      <c r="CI301" s="48"/>
      <c r="CJ301" s="48"/>
      <c r="CK301" s="48"/>
      <c r="CL301" s="48"/>
      <c r="CM301" s="48"/>
      <c r="CN301" s="48"/>
      <c r="CO301" s="48"/>
      <c r="CP301" s="48"/>
      <c r="CQ301" s="49"/>
    </row>
    <row r="302" spans="2:95" ht="15.75" customHeight="1" x14ac:dyDescent="0.25">
      <c r="B302" s="908"/>
      <c r="C302" s="48"/>
      <c r="D302" s="908"/>
      <c r="E302" s="48"/>
      <c r="F302" s="896" t="s">
        <v>3</v>
      </c>
      <c r="G302" s="896"/>
      <c r="H302" s="896"/>
      <c r="I302" s="897" t="s">
        <v>333</v>
      </c>
      <c r="J302" s="898"/>
      <c r="K302" s="898"/>
      <c r="L302" s="898"/>
      <c r="M302" s="898"/>
      <c r="N302" s="48"/>
      <c r="O302" s="896" t="s">
        <v>3</v>
      </c>
      <c r="P302" s="896"/>
      <c r="Q302" s="896"/>
      <c r="R302" s="897" t="s">
        <v>663</v>
      </c>
      <c r="S302" s="898"/>
      <c r="T302" s="898"/>
      <c r="U302" s="898"/>
      <c r="V302" s="898"/>
      <c r="W302" s="48"/>
      <c r="X302" s="896" t="s">
        <v>3</v>
      </c>
      <c r="Y302" s="896"/>
      <c r="Z302" s="896"/>
      <c r="AA302" s="897" t="s">
        <v>213</v>
      </c>
      <c r="AB302" s="898"/>
      <c r="AC302" s="898"/>
      <c r="AD302" s="898"/>
      <c r="AE302" s="898"/>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48"/>
      <c r="BZ302" s="48"/>
      <c r="CA302" s="48"/>
      <c r="CB302" s="48"/>
      <c r="CC302" s="48"/>
      <c r="CD302" s="48"/>
      <c r="CE302" s="48"/>
      <c r="CF302" s="48"/>
      <c r="CG302" s="48"/>
      <c r="CH302" s="48"/>
      <c r="CI302" s="48"/>
      <c r="CJ302" s="48"/>
      <c r="CK302" s="48"/>
      <c r="CL302" s="48"/>
      <c r="CM302" s="48"/>
      <c r="CN302" s="48"/>
      <c r="CO302" s="48"/>
      <c r="CP302" s="48"/>
      <c r="CQ302" s="49"/>
    </row>
    <row r="303" spans="2:95" x14ac:dyDescent="0.25">
      <c r="B303" s="908"/>
      <c r="C303" s="48"/>
      <c r="D303" s="908"/>
      <c r="E303" s="48"/>
      <c r="F303" s="896"/>
      <c r="G303" s="896"/>
      <c r="H303" s="896"/>
      <c r="I303" s="898"/>
      <c r="J303" s="898"/>
      <c r="K303" s="898"/>
      <c r="L303" s="898"/>
      <c r="M303" s="898"/>
      <c r="N303" s="48"/>
      <c r="O303" s="896"/>
      <c r="P303" s="896"/>
      <c r="Q303" s="896"/>
      <c r="R303" s="898"/>
      <c r="S303" s="898"/>
      <c r="T303" s="898"/>
      <c r="U303" s="898"/>
      <c r="V303" s="898"/>
      <c r="W303" s="48"/>
      <c r="X303" s="896"/>
      <c r="Y303" s="896"/>
      <c r="Z303" s="896"/>
      <c r="AA303" s="898"/>
      <c r="AB303" s="898"/>
      <c r="AC303" s="898"/>
      <c r="AD303" s="898"/>
      <c r="AE303" s="898"/>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48"/>
      <c r="BZ303" s="48"/>
      <c r="CA303" s="48"/>
      <c r="CB303" s="48"/>
      <c r="CC303" s="48"/>
      <c r="CD303" s="48"/>
      <c r="CE303" s="48"/>
      <c r="CF303" s="48"/>
      <c r="CG303" s="48"/>
      <c r="CH303" s="48"/>
      <c r="CI303" s="48"/>
      <c r="CJ303" s="48"/>
      <c r="CK303" s="48"/>
      <c r="CL303" s="48"/>
      <c r="CM303" s="48"/>
      <c r="CN303" s="48"/>
      <c r="CO303" s="48"/>
      <c r="CP303" s="48"/>
      <c r="CQ303" s="49"/>
    </row>
    <row r="304" spans="2:95" x14ac:dyDescent="0.25">
      <c r="B304" s="908"/>
      <c r="C304" s="48"/>
      <c r="D304" s="908"/>
      <c r="E304" s="48"/>
      <c r="F304" s="896"/>
      <c r="G304" s="896"/>
      <c r="H304" s="896"/>
      <c r="I304" s="898"/>
      <c r="J304" s="898"/>
      <c r="K304" s="898"/>
      <c r="L304" s="898"/>
      <c r="M304" s="898"/>
      <c r="N304" s="48"/>
      <c r="O304" s="896"/>
      <c r="P304" s="896"/>
      <c r="Q304" s="896"/>
      <c r="R304" s="898"/>
      <c r="S304" s="898"/>
      <c r="T304" s="898"/>
      <c r="U304" s="898"/>
      <c r="V304" s="898"/>
      <c r="W304" s="48"/>
      <c r="X304" s="896"/>
      <c r="Y304" s="896"/>
      <c r="Z304" s="896"/>
      <c r="AA304" s="898"/>
      <c r="AB304" s="898"/>
      <c r="AC304" s="898"/>
      <c r="AD304" s="898"/>
      <c r="AE304" s="898"/>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48"/>
      <c r="BZ304" s="48"/>
      <c r="CA304" s="48"/>
      <c r="CB304" s="48"/>
      <c r="CC304" s="48"/>
      <c r="CD304" s="48"/>
      <c r="CE304" s="48"/>
      <c r="CF304" s="48"/>
      <c r="CG304" s="48"/>
      <c r="CH304" s="48"/>
      <c r="CI304" s="48"/>
      <c r="CJ304" s="48"/>
      <c r="CK304" s="48"/>
      <c r="CL304" s="48"/>
      <c r="CM304" s="48"/>
      <c r="CN304" s="48"/>
      <c r="CO304" s="48"/>
      <c r="CP304" s="48"/>
      <c r="CQ304" s="49"/>
    </row>
    <row r="305" spans="2:95" x14ac:dyDescent="0.25">
      <c r="B305" s="908"/>
      <c r="C305" s="48"/>
      <c r="D305" s="908"/>
      <c r="E305" s="48"/>
      <c r="F305" s="896" t="s">
        <v>4</v>
      </c>
      <c r="G305" s="896"/>
      <c r="H305" s="896"/>
      <c r="I305" s="898" t="s">
        <v>15</v>
      </c>
      <c r="J305" s="898"/>
      <c r="K305" s="898"/>
      <c r="L305" s="898"/>
      <c r="M305" s="898"/>
      <c r="N305" s="48"/>
      <c r="O305" s="896" t="s">
        <v>4</v>
      </c>
      <c r="P305" s="896"/>
      <c r="Q305" s="896"/>
      <c r="R305" s="898" t="s">
        <v>15</v>
      </c>
      <c r="S305" s="898"/>
      <c r="T305" s="898"/>
      <c r="U305" s="898"/>
      <c r="V305" s="898"/>
      <c r="W305" s="48"/>
      <c r="X305" s="896" t="s">
        <v>4</v>
      </c>
      <c r="Y305" s="896"/>
      <c r="Z305" s="896"/>
      <c r="AA305" s="898" t="s">
        <v>15</v>
      </c>
      <c r="AB305" s="898"/>
      <c r="AC305" s="898"/>
      <c r="AD305" s="898"/>
      <c r="AE305" s="898"/>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48"/>
      <c r="BZ305" s="48"/>
      <c r="CA305" s="48"/>
      <c r="CB305" s="48"/>
      <c r="CC305" s="48"/>
      <c r="CD305" s="48"/>
      <c r="CE305" s="48"/>
      <c r="CF305" s="48"/>
      <c r="CG305" s="48"/>
      <c r="CH305" s="48"/>
      <c r="CI305" s="48"/>
      <c r="CJ305" s="48"/>
      <c r="CK305" s="48"/>
      <c r="CL305" s="48"/>
      <c r="CM305" s="48"/>
      <c r="CN305" s="48"/>
      <c r="CO305" s="48"/>
      <c r="CP305" s="48"/>
      <c r="CQ305" s="49"/>
    </row>
    <row r="306" spans="2:95" x14ac:dyDescent="0.25">
      <c r="B306" s="908"/>
      <c r="C306" s="48"/>
      <c r="D306" s="908"/>
      <c r="E306" s="48"/>
      <c r="F306" s="896"/>
      <c r="G306" s="896"/>
      <c r="H306" s="896"/>
      <c r="I306" s="898"/>
      <c r="J306" s="898"/>
      <c r="K306" s="898"/>
      <c r="L306" s="898"/>
      <c r="M306" s="898"/>
      <c r="N306" s="48"/>
      <c r="O306" s="896"/>
      <c r="P306" s="896"/>
      <c r="Q306" s="896"/>
      <c r="R306" s="898"/>
      <c r="S306" s="898"/>
      <c r="T306" s="898"/>
      <c r="U306" s="898"/>
      <c r="V306" s="898"/>
      <c r="W306" s="48"/>
      <c r="X306" s="896"/>
      <c r="Y306" s="896"/>
      <c r="Z306" s="896"/>
      <c r="AA306" s="898"/>
      <c r="AB306" s="898"/>
      <c r="AC306" s="898"/>
      <c r="AD306" s="898"/>
      <c r="AE306" s="898"/>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48"/>
      <c r="BZ306" s="48"/>
      <c r="CA306" s="48"/>
      <c r="CB306" s="48"/>
      <c r="CC306" s="48"/>
      <c r="CD306" s="48"/>
      <c r="CE306" s="48"/>
      <c r="CF306" s="48"/>
      <c r="CG306" s="48"/>
      <c r="CH306" s="48"/>
      <c r="CI306" s="48"/>
      <c r="CJ306" s="48"/>
      <c r="CK306" s="48"/>
      <c r="CL306" s="48"/>
      <c r="CM306" s="48"/>
      <c r="CN306" s="48"/>
      <c r="CO306" s="48"/>
      <c r="CP306" s="48"/>
      <c r="CQ306" s="49"/>
    </row>
    <row r="307" spans="2:95" x14ac:dyDescent="0.25">
      <c r="B307" s="908"/>
      <c r="C307" s="48"/>
      <c r="D307" s="908"/>
      <c r="E307" s="48"/>
      <c r="F307" s="896"/>
      <c r="G307" s="896"/>
      <c r="H307" s="896"/>
      <c r="I307" s="898"/>
      <c r="J307" s="898"/>
      <c r="K307" s="898"/>
      <c r="L307" s="898"/>
      <c r="M307" s="898"/>
      <c r="N307" s="48"/>
      <c r="O307" s="896"/>
      <c r="P307" s="896"/>
      <c r="Q307" s="896"/>
      <c r="R307" s="898"/>
      <c r="S307" s="898"/>
      <c r="T307" s="898"/>
      <c r="U307" s="898"/>
      <c r="V307" s="898"/>
      <c r="W307" s="48"/>
      <c r="X307" s="896"/>
      <c r="Y307" s="896"/>
      <c r="Z307" s="896"/>
      <c r="AA307" s="898"/>
      <c r="AB307" s="898"/>
      <c r="AC307" s="898"/>
      <c r="AD307" s="898"/>
      <c r="AE307" s="898"/>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48"/>
      <c r="BZ307" s="48"/>
      <c r="CA307" s="48"/>
      <c r="CB307" s="48"/>
      <c r="CC307" s="48"/>
      <c r="CD307" s="48"/>
      <c r="CE307" s="48"/>
      <c r="CF307" s="48"/>
      <c r="CG307" s="48"/>
      <c r="CH307" s="48"/>
      <c r="CI307" s="48"/>
      <c r="CJ307" s="48"/>
      <c r="CK307" s="48"/>
      <c r="CL307" s="48"/>
      <c r="CM307" s="48"/>
      <c r="CN307" s="48"/>
      <c r="CO307" s="48"/>
      <c r="CP307" s="48"/>
      <c r="CQ307" s="49"/>
    </row>
    <row r="308" spans="2:95" x14ac:dyDescent="0.25">
      <c r="B308" s="908"/>
      <c r="C308" s="48"/>
      <c r="D308" s="908"/>
      <c r="E308" s="48"/>
      <c r="F308" s="896" t="s">
        <v>5</v>
      </c>
      <c r="G308" s="896"/>
      <c r="H308" s="896"/>
      <c r="I308" s="898" t="s">
        <v>129</v>
      </c>
      <c r="J308" s="898"/>
      <c r="K308" s="898"/>
      <c r="L308" s="898"/>
      <c r="M308" s="898"/>
      <c r="N308" s="48"/>
      <c r="O308" s="896" t="s">
        <v>5</v>
      </c>
      <c r="P308" s="896"/>
      <c r="Q308" s="896"/>
      <c r="R308" s="898" t="s">
        <v>129</v>
      </c>
      <c r="S308" s="898"/>
      <c r="T308" s="898"/>
      <c r="U308" s="898"/>
      <c r="V308" s="898"/>
      <c r="W308" s="48"/>
      <c r="X308" s="896" t="s">
        <v>5</v>
      </c>
      <c r="Y308" s="896"/>
      <c r="Z308" s="896"/>
      <c r="AA308" s="898" t="s">
        <v>131</v>
      </c>
      <c r="AB308" s="898"/>
      <c r="AC308" s="898"/>
      <c r="AD308" s="898"/>
      <c r="AE308" s="898"/>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48"/>
      <c r="BZ308" s="48"/>
      <c r="CA308" s="48"/>
      <c r="CB308" s="48"/>
      <c r="CC308" s="48"/>
      <c r="CD308" s="48"/>
      <c r="CE308" s="48"/>
      <c r="CF308" s="48"/>
      <c r="CG308" s="48"/>
      <c r="CH308" s="48"/>
      <c r="CI308" s="48"/>
      <c r="CJ308" s="48"/>
      <c r="CK308" s="48"/>
      <c r="CL308" s="48"/>
      <c r="CM308" s="48"/>
      <c r="CN308" s="48"/>
      <c r="CO308" s="48"/>
      <c r="CP308" s="48"/>
      <c r="CQ308" s="49"/>
    </row>
    <row r="309" spans="2:95" x14ac:dyDescent="0.25">
      <c r="B309" s="908"/>
      <c r="C309" s="48"/>
      <c r="D309" s="908"/>
      <c r="E309" s="48"/>
      <c r="F309" s="896"/>
      <c r="G309" s="896"/>
      <c r="H309" s="896"/>
      <c r="I309" s="898"/>
      <c r="J309" s="898"/>
      <c r="K309" s="898"/>
      <c r="L309" s="898"/>
      <c r="M309" s="898"/>
      <c r="N309" s="48"/>
      <c r="O309" s="896"/>
      <c r="P309" s="896"/>
      <c r="Q309" s="896"/>
      <c r="R309" s="898"/>
      <c r="S309" s="898"/>
      <c r="T309" s="898"/>
      <c r="U309" s="898"/>
      <c r="V309" s="898"/>
      <c r="W309" s="48"/>
      <c r="X309" s="896"/>
      <c r="Y309" s="896"/>
      <c r="Z309" s="896"/>
      <c r="AA309" s="898"/>
      <c r="AB309" s="898"/>
      <c r="AC309" s="898"/>
      <c r="AD309" s="898"/>
      <c r="AE309" s="898"/>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48"/>
      <c r="BZ309" s="48"/>
      <c r="CA309" s="48"/>
      <c r="CB309" s="48"/>
      <c r="CC309" s="48"/>
      <c r="CD309" s="48"/>
      <c r="CE309" s="48"/>
      <c r="CF309" s="48"/>
      <c r="CG309" s="48"/>
      <c r="CH309" s="48"/>
      <c r="CI309" s="48"/>
      <c r="CJ309" s="48"/>
      <c r="CK309" s="48"/>
      <c r="CL309" s="48"/>
      <c r="CM309" s="48"/>
      <c r="CN309" s="48"/>
      <c r="CO309" s="48"/>
      <c r="CP309" s="48"/>
      <c r="CQ309" s="49"/>
    </row>
    <row r="310" spans="2:95" x14ac:dyDescent="0.25">
      <c r="B310" s="908"/>
      <c r="C310" s="48"/>
      <c r="D310" s="908"/>
      <c r="E310" s="48"/>
      <c r="F310" s="896"/>
      <c r="G310" s="896"/>
      <c r="H310" s="896"/>
      <c r="I310" s="898"/>
      <c r="J310" s="898"/>
      <c r="K310" s="898"/>
      <c r="L310" s="898"/>
      <c r="M310" s="898"/>
      <c r="N310" s="48"/>
      <c r="O310" s="896"/>
      <c r="P310" s="896"/>
      <c r="Q310" s="896"/>
      <c r="R310" s="898"/>
      <c r="S310" s="898"/>
      <c r="T310" s="898"/>
      <c r="U310" s="898"/>
      <c r="V310" s="898"/>
      <c r="W310" s="48"/>
      <c r="X310" s="896"/>
      <c r="Y310" s="896"/>
      <c r="Z310" s="896"/>
      <c r="AA310" s="898"/>
      <c r="AB310" s="898"/>
      <c r="AC310" s="898"/>
      <c r="AD310" s="898"/>
      <c r="AE310" s="898"/>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48"/>
      <c r="BZ310" s="48"/>
      <c r="CA310" s="48"/>
      <c r="CB310" s="48"/>
      <c r="CC310" s="48"/>
      <c r="CD310" s="48"/>
      <c r="CE310" s="48"/>
      <c r="CF310" s="48"/>
      <c r="CG310" s="48"/>
      <c r="CH310" s="48"/>
      <c r="CI310" s="48"/>
      <c r="CJ310" s="48"/>
      <c r="CK310" s="48"/>
      <c r="CL310" s="48"/>
      <c r="CM310" s="48"/>
      <c r="CN310" s="48"/>
      <c r="CO310" s="48"/>
      <c r="CP310" s="48"/>
      <c r="CQ310" s="49"/>
    </row>
    <row r="311" spans="2:95" x14ac:dyDescent="0.25">
      <c r="B311" s="908"/>
      <c r="C311" s="48"/>
      <c r="D311" s="908"/>
      <c r="E311" s="48"/>
      <c r="F311" s="896" t="s">
        <v>6</v>
      </c>
      <c r="G311" s="896"/>
      <c r="H311" s="896"/>
      <c r="I311" s="898" t="s">
        <v>9</v>
      </c>
      <c r="J311" s="898"/>
      <c r="K311" s="898"/>
      <c r="L311" s="898"/>
      <c r="M311" s="898"/>
      <c r="N311" s="48"/>
      <c r="O311" s="896" t="s">
        <v>6</v>
      </c>
      <c r="P311" s="896"/>
      <c r="Q311" s="896"/>
      <c r="R311" s="898" t="s">
        <v>9</v>
      </c>
      <c r="S311" s="898"/>
      <c r="T311" s="898"/>
      <c r="U311" s="898"/>
      <c r="V311" s="898"/>
      <c r="W311" s="48"/>
      <c r="X311" s="896" t="s">
        <v>6</v>
      </c>
      <c r="Y311" s="896"/>
      <c r="Z311" s="896"/>
      <c r="AA311" s="898" t="s">
        <v>9</v>
      </c>
      <c r="AB311" s="898"/>
      <c r="AC311" s="898"/>
      <c r="AD311" s="898"/>
      <c r="AE311" s="898"/>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48"/>
      <c r="BZ311" s="48"/>
      <c r="CA311" s="48"/>
      <c r="CB311" s="48"/>
      <c r="CC311" s="48"/>
      <c r="CD311" s="48"/>
      <c r="CE311" s="48"/>
      <c r="CF311" s="48"/>
      <c r="CG311" s="48"/>
      <c r="CH311" s="48"/>
      <c r="CI311" s="48"/>
      <c r="CJ311" s="48"/>
      <c r="CK311" s="48"/>
      <c r="CL311" s="48"/>
      <c r="CM311" s="48"/>
      <c r="CN311" s="48"/>
      <c r="CO311" s="48"/>
      <c r="CP311" s="48"/>
      <c r="CQ311" s="49"/>
    </row>
    <row r="312" spans="2:95" x14ac:dyDescent="0.25">
      <c r="B312" s="908"/>
      <c r="C312" s="48"/>
      <c r="D312" s="908"/>
      <c r="E312" s="48"/>
      <c r="F312" s="896"/>
      <c r="G312" s="896"/>
      <c r="H312" s="896"/>
      <c r="I312" s="898"/>
      <c r="J312" s="898"/>
      <c r="K312" s="898"/>
      <c r="L312" s="898"/>
      <c r="M312" s="898"/>
      <c r="N312" s="48"/>
      <c r="O312" s="896"/>
      <c r="P312" s="896"/>
      <c r="Q312" s="896"/>
      <c r="R312" s="898"/>
      <c r="S312" s="898"/>
      <c r="T312" s="898"/>
      <c r="U312" s="898"/>
      <c r="V312" s="898"/>
      <c r="W312" s="48"/>
      <c r="X312" s="896"/>
      <c r="Y312" s="896"/>
      <c r="Z312" s="896"/>
      <c r="AA312" s="898"/>
      <c r="AB312" s="898"/>
      <c r="AC312" s="898"/>
      <c r="AD312" s="898"/>
      <c r="AE312" s="898"/>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48"/>
      <c r="BZ312" s="48"/>
      <c r="CA312" s="48"/>
      <c r="CB312" s="48"/>
      <c r="CC312" s="48"/>
      <c r="CD312" s="48"/>
      <c r="CE312" s="48"/>
      <c r="CF312" s="48"/>
      <c r="CG312" s="48"/>
      <c r="CH312" s="48"/>
      <c r="CI312" s="48"/>
      <c r="CJ312" s="48"/>
      <c r="CK312" s="48"/>
      <c r="CL312" s="48"/>
      <c r="CM312" s="48"/>
      <c r="CN312" s="48"/>
      <c r="CO312" s="48"/>
      <c r="CP312" s="48"/>
      <c r="CQ312" s="49"/>
    </row>
    <row r="313" spans="2:95" x14ac:dyDescent="0.25">
      <c r="B313" s="908"/>
      <c r="C313" s="48"/>
      <c r="D313" s="908"/>
      <c r="E313" s="48"/>
      <c r="F313" s="896"/>
      <c r="G313" s="896"/>
      <c r="H313" s="896"/>
      <c r="I313" s="898"/>
      <c r="J313" s="898"/>
      <c r="K313" s="898"/>
      <c r="L313" s="898"/>
      <c r="M313" s="898"/>
      <c r="N313" s="48"/>
      <c r="O313" s="896"/>
      <c r="P313" s="896"/>
      <c r="Q313" s="896"/>
      <c r="R313" s="898"/>
      <c r="S313" s="898"/>
      <c r="T313" s="898"/>
      <c r="U313" s="898"/>
      <c r="V313" s="898"/>
      <c r="W313" s="48"/>
      <c r="X313" s="896"/>
      <c r="Y313" s="896"/>
      <c r="Z313" s="896"/>
      <c r="AA313" s="898"/>
      <c r="AB313" s="898"/>
      <c r="AC313" s="898"/>
      <c r="AD313" s="898"/>
      <c r="AE313" s="898"/>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48"/>
      <c r="BZ313" s="48"/>
      <c r="CA313" s="48"/>
      <c r="CB313" s="48"/>
      <c r="CC313" s="48"/>
      <c r="CD313" s="48"/>
      <c r="CE313" s="48"/>
      <c r="CF313" s="48"/>
      <c r="CG313" s="48"/>
      <c r="CH313" s="48"/>
      <c r="CI313" s="48"/>
      <c r="CJ313" s="48"/>
      <c r="CK313" s="48"/>
      <c r="CL313" s="48"/>
      <c r="CM313" s="48"/>
      <c r="CN313" s="48"/>
      <c r="CO313" s="48"/>
      <c r="CP313" s="48"/>
      <c r="CQ313" s="49"/>
    </row>
    <row r="314" spans="2:95" x14ac:dyDescent="0.25">
      <c r="B314" s="908"/>
      <c r="C314" s="48"/>
      <c r="D314" s="908"/>
      <c r="E314" s="48"/>
      <c r="F314" s="896" t="s">
        <v>7</v>
      </c>
      <c r="G314" s="896"/>
      <c r="H314" s="896"/>
      <c r="I314" s="898" t="s">
        <v>212</v>
      </c>
      <c r="J314" s="898"/>
      <c r="K314" s="898"/>
      <c r="L314" s="898"/>
      <c r="M314" s="898"/>
      <c r="N314" s="48"/>
      <c r="O314" s="896" t="s">
        <v>7</v>
      </c>
      <c r="P314" s="896"/>
      <c r="Q314" s="896"/>
      <c r="R314" s="898" t="s">
        <v>664</v>
      </c>
      <c r="S314" s="898"/>
      <c r="T314" s="898"/>
      <c r="U314" s="898"/>
      <c r="V314" s="898"/>
      <c r="W314" s="48"/>
      <c r="X314" s="896" t="s">
        <v>7</v>
      </c>
      <c r="Y314" s="896"/>
      <c r="Z314" s="896"/>
      <c r="AA314" s="898" t="s">
        <v>214</v>
      </c>
      <c r="AB314" s="898"/>
      <c r="AC314" s="898"/>
      <c r="AD314" s="898"/>
      <c r="AE314" s="898"/>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48"/>
      <c r="BZ314" s="48"/>
      <c r="CA314" s="48"/>
      <c r="CB314" s="48"/>
      <c r="CC314" s="48"/>
      <c r="CD314" s="48"/>
      <c r="CE314" s="48"/>
      <c r="CF314" s="48"/>
      <c r="CG314" s="48"/>
      <c r="CH314" s="48"/>
      <c r="CI314" s="48"/>
      <c r="CJ314" s="48"/>
      <c r="CK314" s="48"/>
      <c r="CL314" s="48"/>
      <c r="CM314" s="48"/>
      <c r="CN314" s="48"/>
      <c r="CO314" s="48"/>
      <c r="CP314" s="48"/>
      <c r="CQ314" s="49"/>
    </row>
    <row r="315" spans="2:95" x14ac:dyDescent="0.25">
      <c r="B315" s="908"/>
      <c r="C315" s="48"/>
      <c r="D315" s="908"/>
      <c r="E315" s="48"/>
      <c r="F315" s="896"/>
      <c r="G315" s="896"/>
      <c r="H315" s="896"/>
      <c r="I315" s="898"/>
      <c r="J315" s="898"/>
      <c r="K315" s="898"/>
      <c r="L315" s="898"/>
      <c r="M315" s="898"/>
      <c r="N315" s="48"/>
      <c r="O315" s="896"/>
      <c r="P315" s="896"/>
      <c r="Q315" s="896"/>
      <c r="R315" s="898"/>
      <c r="S315" s="898"/>
      <c r="T315" s="898"/>
      <c r="U315" s="898"/>
      <c r="V315" s="898"/>
      <c r="W315" s="48"/>
      <c r="X315" s="896"/>
      <c r="Y315" s="896"/>
      <c r="Z315" s="896"/>
      <c r="AA315" s="898"/>
      <c r="AB315" s="898"/>
      <c r="AC315" s="898"/>
      <c r="AD315" s="898"/>
      <c r="AE315" s="898"/>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48"/>
      <c r="BZ315" s="48"/>
      <c r="CA315" s="48"/>
      <c r="CB315" s="48"/>
      <c r="CC315" s="48"/>
      <c r="CD315" s="48"/>
      <c r="CE315" s="48"/>
      <c r="CF315" s="48"/>
      <c r="CG315" s="48"/>
      <c r="CH315" s="48"/>
      <c r="CI315" s="48"/>
      <c r="CJ315" s="48"/>
      <c r="CK315" s="48"/>
      <c r="CL315" s="48"/>
      <c r="CM315" s="48"/>
      <c r="CN315" s="48"/>
      <c r="CO315" s="48"/>
      <c r="CP315" s="48"/>
      <c r="CQ315" s="49"/>
    </row>
    <row r="316" spans="2:95" ht="16.5" thickBot="1" x14ac:dyDescent="0.3">
      <c r="B316" s="908"/>
      <c r="C316" s="48"/>
      <c r="D316" s="909"/>
      <c r="E316" s="48"/>
      <c r="F316" s="896"/>
      <c r="G316" s="896"/>
      <c r="H316" s="896"/>
      <c r="I316" s="898"/>
      <c r="J316" s="898"/>
      <c r="K316" s="898"/>
      <c r="L316" s="898"/>
      <c r="M316" s="898"/>
      <c r="N316" s="48"/>
      <c r="O316" s="896"/>
      <c r="P316" s="896"/>
      <c r="Q316" s="896"/>
      <c r="R316" s="898"/>
      <c r="S316" s="898"/>
      <c r="T316" s="898"/>
      <c r="U316" s="898"/>
      <c r="V316" s="898"/>
      <c r="W316" s="48"/>
      <c r="X316" s="896"/>
      <c r="Y316" s="896"/>
      <c r="Z316" s="896"/>
      <c r="AA316" s="898"/>
      <c r="AB316" s="898"/>
      <c r="AC316" s="898"/>
      <c r="AD316" s="898"/>
      <c r="AE316" s="898"/>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48"/>
      <c r="BZ316" s="48"/>
      <c r="CA316" s="48"/>
      <c r="CB316" s="48"/>
      <c r="CC316" s="48"/>
      <c r="CD316" s="48"/>
      <c r="CE316" s="48"/>
      <c r="CF316" s="48"/>
      <c r="CG316" s="48"/>
      <c r="CH316" s="48"/>
      <c r="CI316" s="48"/>
      <c r="CJ316" s="48"/>
      <c r="CK316" s="48"/>
      <c r="CL316" s="48"/>
      <c r="CM316" s="48"/>
      <c r="CN316" s="48"/>
      <c r="CO316" s="48"/>
      <c r="CP316" s="48"/>
      <c r="CQ316" s="49"/>
    </row>
    <row r="317" spans="2:95" x14ac:dyDescent="0.25">
      <c r="B317" s="90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9"/>
    </row>
    <row r="318" spans="2:95" ht="16.5" thickBot="1" x14ac:dyDescent="0.3">
      <c r="B318" s="90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9"/>
    </row>
    <row r="319" spans="2:95" ht="15.75" customHeight="1" x14ac:dyDescent="0.25">
      <c r="B319" s="908"/>
      <c r="C319" s="48"/>
      <c r="D319" s="907" t="s">
        <v>56</v>
      </c>
      <c r="E319" s="48"/>
      <c r="F319" s="910" t="s">
        <v>8</v>
      </c>
      <c r="G319" s="910"/>
      <c r="H319" s="910"/>
      <c r="I319" s="910"/>
      <c r="J319" s="910"/>
      <c r="K319" s="910"/>
      <c r="L319" s="910"/>
      <c r="M319" s="910"/>
      <c r="N319" s="48"/>
      <c r="O319" s="910" t="s">
        <v>8</v>
      </c>
      <c r="P319" s="910"/>
      <c r="Q319" s="910"/>
      <c r="R319" s="910"/>
      <c r="S319" s="910"/>
      <c r="T319" s="910"/>
      <c r="U319" s="910"/>
      <c r="V319" s="910"/>
      <c r="W319" s="48"/>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48"/>
      <c r="BZ319" s="48"/>
      <c r="CA319" s="48"/>
      <c r="CB319" s="48"/>
      <c r="CC319" s="48"/>
      <c r="CD319" s="48"/>
      <c r="CE319" s="48"/>
      <c r="CF319" s="48"/>
      <c r="CG319" s="48"/>
      <c r="CH319" s="48"/>
      <c r="CI319" s="48"/>
      <c r="CJ319" s="48"/>
      <c r="CK319" s="48"/>
      <c r="CL319" s="48"/>
      <c r="CM319" s="48"/>
      <c r="CN319" s="48"/>
      <c r="CO319" s="48"/>
      <c r="CP319" s="48"/>
      <c r="CQ319" s="49"/>
    </row>
    <row r="320" spans="2:95" x14ac:dyDescent="0.25">
      <c r="B320" s="908"/>
      <c r="C320" s="48"/>
      <c r="D320" s="908"/>
      <c r="E320" s="48"/>
      <c r="F320" s="895" t="s">
        <v>0</v>
      </c>
      <c r="G320" s="895"/>
      <c r="H320" s="895"/>
      <c r="I320" s="895" t="s">
        <v>1</v>
      </c>
      <c r="J320" s="895"/>
      <c r="K320" s="895"/>
      <c r="L320" s="895"/>
      <c r="M320" s="895"/>
      <c r="N320" s="48"/>
      <c r="O320" s="895" t="s">
        <v>0</v>
      </c>
      <c r="P320" s="895"/>
      <c r="Q320" s="895"/>
      <c r="R320" s="895" t="s">
        <v>1</v>
      </c>
      <c r="S320" s="895"/>
      <c r="T320" s="895"/>
      <c r="U320" s="895"/>
      <c r="V320" s="895"/>
      <c r="W320" s="48"/>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48"/>
      <c r="BZ320" s="48"/>
      <c r="CA320" s="48"/>
      <c r="CB320" s="48"/>
      <c r="CC320" s="48"/>
      <c r="CD320" s="48"/>
      <c r="CE320" s="48"/>
      <c r="CF320" s="48"/>
      <c r="CG320" s="48"/>
      <c r="CH320" s="48"/>
      <c r="CI320" s="48"/>
      <c r="CJ320" s="48"/>
      <c r="CK320" s="48"/>
      <c r="CL320" s="48"/>
      <c r="CM320" s="48"/>
      <c r="CN320" s="48"/>
      <c r="CO320" s="48"/>
      <c r="CP320" s="48"/>
      <c r="CQ320" s="49"/>
    </row>
    <row r="321" spans="2:95" x14ac:dyDescent="0.25">
      <c r="B321" s="908"/>
      <c r="C321" s="48"/>
      <c r="D321" s="908"/>
      <c r="E321" s="48"/>
      <c r="F321" s="896" t="s">
        <v>2</v>
      </c>
      <c r="G321" s="896"/>
      <c r="H321" s="896"/>
      <c r="I321" s="898" t="s">
        <v>215</v>
      </c>
      <c r="J321" s="898"/>
      <c r="K321" s="898"/>
      <c r="L321" s="898"/>
      <c r="M321" s="898"/>
      <c r="N321" s="48"/>
      <c r="O321" s="896" t="s">
        <v>2</v>
      </c>
      <c r="P321" s="896"/>
      <c r="Q321" s="896"/>
      <c r="R321" s="898" t="s">
        <v>217</v>
      </c>
      <c r="S321" s="898"/>
      <c r="T321" s="898"/>
      <c r="U321" s="898"/>
      <c r="V321" s="898"/>
      <c r="W321" s="48"/>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48"/>
      <c r="BZ321" s="48"/>
      <c r="CA321" s="48"/>
      <c r="CB321" s="48"/>
      <c r="CC321" s="48"/>
      <c r="CD321" s="48"/>
      <c r="CE321" s="48"/>
      <c r="CF321" s="48"/>
      <c r="CG321" s="48"/>
      <c r="CH321" s="48"/>
      <c r="CI321" s="48"/>
      <c r="CJ321" s="48"/>
      <c r="CK321" s="48"/>
      <c r="CL321" s="48"/>
      <c r="CM321" s="48"/>
      <c r="CN321" s="48"/>
      <c r="CO321" s="48"/>
      <c r="CP321" s="48"/>
      <c r="CQ321" s="49"/>
    </row>
    <row r="322" spans="2:95" x14ac:dyDescent="0.25">
      <c r="B322" s="908"/>
      <c r="C322" s="48"/>
      <c r="D322" s="908"/>
      <c r="E322" s="48"/>
      <c r="F322" s="896"/>
      <c r="G322" s="896"/>
      <c r="H322" s="896"/>
      <c r="I322" s="898"/>
      <c r="J322" s="898"/>
      <c r="K322" s="898"/>
      <c r="L322" s="898"/>
      <c r="M322" s="898"/>
      <c r="N322" s="48"/>
      <c r="O322" s="896"/>
      <c r="P322" s="896"/>
      <c r="Q322" s="896"/>
      <c r="R322" s="898"/>
      <c r="S322" s="898"/>
      <c r="T322" s="898"/>
      <c r="U322" s="898"/>
      <c r="V322" s="898"/>
      <c r="W322" s="48"/>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48"/>
      <c r="BZ322" s="48"/>
      <c r="CA322" s="48"/>
      <c r="CB322" s="48"/>
      <c r="CC322" s="48"/>
      <c r="CD322" s="48"/>
      <c r="CE322" s="48"/>
      <c r="CF322" s="48"/>
      <c r="CG322" s="48"/>
      <c r="CH322" s="48"/>
      <c r="CI322" s="48"/>
      <c r="CJ322" s="48"/>
      <c r="CK322" s="48"/>
      <c r="CL322" s="48"/>
      <c r="CM322" s="48"/>
      <c r="CN322" s="48"/>
      <c r="CO322" s="48"/>
      <c r="CP322" s="48"/>
      <c r="CQ322" s="49"/>
    </row>
    <row r="323" spans="2:95" x14ac:dyDescent="0.25">
      <c r="B323" s="908"/>
      <c r="C323" s="48"/>
      <c r="D323" s="908"/>
      <c r="E323" s="48"/>
      <c r="F323" s="896"/>
      <c r="G323" s="896"/>
      <c r="H323" s="896"/>
      <c r="I323" s="898"/>
      <c r="J323" s="898"/>
      <c r="K323" s="898"/>
      <c r="L323" s="898"/>
      <c r="M323" s="898"/>
      <c r="N323" s="48"/>
      <c r="O323" s="896"/>
      <c r="P323" s="896"/>
      <c r="Q323" s="896"/>
      <c r="R323" s="898"/>
      <c r="S323" s="898"/>
      <c r="T323" s="898"/>
      <c r="U323" s="898"/>
      <c r="V323" s="898"/>
      <c r="W323" s="48"/>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48"/>
      <c r="BZ323" s="48"/>
      <c r="CA323" s="48"/>
      <c r="CB323" s="48"/>
      <c r="CC323" s="48"/>
      <c r="CD323" s="48"/>
      <c r="CE323" s="48"/>
      <c r="CF323" s="48"/>
      <c r="CG323" s="48"/>
      <c r="CH323" s="48"/>
      <c r="CI323" s="48"/>
      <c r="CJ323" s="48"/>
      <c r="CK323" s="48"/>
      <c r="CL323" s="48"/>
      <c r="CM323" s="48"/>
      <c r="CN323" s="48"/>
      <c r="CO323" s="48"/>
      <c r="CP323" s="48"/>
      <c r="CQ323" s="49"/>
    </row>
    <row r="324" spans="2:95" x14ac:dyDescent="0.25">
      <c r="B324" s="908"/>
      <c r="C324" s="48"/>
      <c r="D324" s="908"/>
      <c r="E324" s="48"/>
      <c r="F324" s="895" t="s">
        <v>0</v>
      </c>
      <c r="G324" s="895"/>
      <c r="H324" s="895"/>
      <c r="I324" s="895" t="s">
        <v>1</v>
      </c>
      <c r="J324" s="895"/>
      <c r="K324" s="895"/>
      <c r="L324" s="895"/>
      <c r="M324" s="895"/>
      <c r="N324" s="48"/>
      <c r="O324" s="895" t="s">
        <v>0</v>
      </c>
      <c r="P324" s="895"/>
      <c r="Q324" s="895"/>
      <c r="R324" s="895" t="s">
        <v>1</v>
      </c>
      <c r="S324" s="895"/>
      <c r="T324" s="895"/>
      <c r="U324" s="895"/>
      <c r="V324" s="895"/>
      <c r="W324" s="48"/>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48"/>
      <c r="BZ324" s="48"/>
      <c r="CA324" s="48"/>
      <c r="CB324" s="48"/>
      <c r="CC324" s="48"/>
      <c r="CD324" s="48"/>
      <c r="CE324" s="48"/>
      <c r="CF324" s="48"/>
      <c r="CG324" s="48"/>
      <c r="CH324" s="48"/>
      <c r="CI324" s="48"/>
      <c r="CJ324" s="48"/>
      <c r="CK324" s="48"/>
      <c r="CL324" s="48"/>
      <c r="CM324" s="48"/>
      <c r="CN324" s="48"/>
      <c r="CO324" s="48"/>
      <c r="CP324" s="48"/>
      <c r="CQ324" s="49"/>
    </row>
    <row r="325" spans="2:95" ht="15.75" customHeight="1" x14ac:dyDescent="0.25">
      <c r="B325" s="908"/>
      <c r="C325" s="48"/>
      <c r="D325" s="908"/>
      <c r="E325" s="48"/>
      <c r="F325" s="896" t="s">
        <v>3</v>
      </c>
      <c r="G325" s="896"/>
      <c r="H325" s="896"/>
      <c r="I325" s="898" t="s">
        <v>216</v>
      </c>
      <c r="J325" s="898"/>
      <c r="K325" s="898"/>
      <c r="L325" s="898"/>
      <c r="M325" s="898"/>
      <c r="N325" s="48"/>
      <c r="O325" s="896" t="s">
        <v>3</v>
      </c>
      <c r="P325" s="896"/>
      <c r="Q325" s="896"/>
      <c r="R325" s="897" t="s">
        <v>218</v>
      </c>
      <c r="S325" s="898"/>
      <c r="T325" s="898"/>
      <c r="U325" s="898"/>
      <c r="V325" s="898"/>
      <c r="W325" s="48"/>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48"/>
      <c r="BZ325" s="48"/>
      <c r="CA325" s="48"/>
      <c r="CB325" s="48"/>
      <c r="CC325" s="48"/>
      <c r="CD325" s="48"/>
      <c r="CE325" s="48"/>
      <c r="CF325" s="48"/>
      <c r="CG325" s="48"/>
      <c r="CH325" s="48"/>
      <c r="CI325" s="48"/>
      <c r="CJ325" s="48"/>
      <c r="CK325" s="48"/>
      <c r="CL325" s="48"/>
      <c r="CM325" s="48"/>
      <c r="CN325" s="48"/>
      <c r="CO325" s="48"/>
      <c r="CP325" s="48"/>
      <c r="CQ325" s="49"/>
    </row>
    <row r="326" spans="2:95" x14ac:dyDescent="0.25">
      <c r="B326" s="908"/>
      <c r="C326" s="48"/>
      <c r="D326" s="908"/>
      <c r="E326" s="48"/>
      <c r="F326" s="896"/>
      <c r="G326" s="896"/>
      <c r="H326" s="896"/>
      <c r="I326" s="898"/>
      <c r="J326" s="898"/>
      <c r="K326" s="898"/>
      <c r="L326" s="898"/>
      <c r="M326" s="898"/>
      <c r="N326" s="48"/>
      <c r="O326" s="896"/>
      <c r="P326" s="896"/>
      <c r="Q326" s="896"/>
      <c r="R326" s="898"/>
      <c r="S326" s="898"/>
      <c r="T326" s="898"/>
      <c r="U326" s="898"/>
      <c r="V326" s="898"/>
      <c r="W326" s="48"/>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48"/>
      <c r="BZ326" s="48"/>
      <c r="CA326" s="48"/>
      <c r="CB326" s="48"/>
      <c r="CC326" s="48"/>
      <c r="CD326" s="48"/>
      <c r="CE326" s="48"/>
      <c r="CF326" s="48"/>
      <c r="CG326" s="48"/>
      <c r="CH326" s="48"/>
      <c r="CI326" s="48"/>
      <c r="CJ326" s="48"/>
      <c r="CK326" s="48"/>
      <c r="CL326" s="48"/>
      <c r="CM326" s="48"/>
      <c r="CN326" s="48"/>
      <c r="CO326" s="48"/>
      <c r="CP326" s="48"/>
      <c r="CQ326" s="49"/>
    </row>
    <row r="327" spans="2:95" x14ac:dyDescent="0.25">
      <c r="B327" s="908"/>
      <c r="C327" s="48"/>
      <c r="D327" s="908"/>
      <c r="E327" s="48"/>
      <c r="F327" s="896"/>
      <c r="G327" s="896"/>
      <c r="H327" s="896"/>
      <c r="I327" s="898"/>
      <c r="J327" s="898"/>
      <c r="K327" s="898"/>
      <c r="L327" s="898"/>
      <c r="M327" s="898"/>
      <c r="N327" s="48"/>
      <c r="O327" s="896"/>
      <c r="P327" s="896"/>
      <c r="Q327" s="896"/>
      <c r="R327" s="898"/>
      <c r="S327" s="898"/>
      <c r="T327" s="898"/>
      <c r="U327" s="898"/>
      <c r="V327" s="898"/>
      <c r="W327" s="48"/>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48"/>
      <c r="BZ327" s="48"/>
      <c r="CA327" s="48"/>
      <c r="CB327" s="48"/>
      <c r="CC327" s="48"/>
      <c r="CD327" s="48"/>
      <c r="CE327" s="48"/>
      <c r="CF327" s="48"/>
      <c r="CG327" s="48"/>
      <c r="CH327" s="48"/>
      <c r="CI327" s="48"/>
      <c r="CJ327" s="48"/>
      <c r="CK327" s="48"/>
      <c r="CL327" s="48"/>
      <c r="CM327" s="48"/>
      <c r="CN327" s="48"/>
      <c r="CO327" s="48"/>
      <c r="CP327" s="48"/>
      <c r="CQ327" s="49"/>
    </row>
    <row r="328" spans="2:95" x14ac:dyDescent="0.25">
      <c r="B328" s="908"/>
      <c r="C328" s="48"/>
      <c r="D328" s="908"/>
      <c r="E328" s="48"/>
      <c r="F328" s="896" t="s">
        <v>4</v>
      </c>
      <c r="G328" s="896"/>
      <c r="H328" s="896"/>
      <c r="I328" s="898" t="s">
        <v>15</v>
      </c>
      <c r="J328" s="898"/>
      <c r="K328" s="898"/>
      <c r="L328" s="898"/>
      <c r="M328" s="898"/>
      <c r="N328" s="48"/>
      <c r="O328" s="896" t="s">
        <v>4</v>
      </c>
      <c r="P328" s="896"/>
      <c r="Q328" s="896"/>
      <c r="R328" s="898" t="s">
        <v>15</v>
      </c>
      <c r="S328" s="898"/>
      <c r="T328" s="898"/>
      <c r="U328" s="898"/>
      <c r="V328" s="898"/>
      <c r="W328" s="48"/>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48"/>
      <c r="BZ328" s="48"/>
      <c r="CA328" s="48"/>
      <c r="CB328" s="48"/>
      <c r="CC328" s="48"/>
      <c r="CD328" s="48"/>
      <c r="CE328" s="48"/>
      <c r="CF328" s="48"/>
      <c r="CG328" s="48"/>
      <c r="CH328" s="48"/>
      <c r="CI328" s="48"/>
      <c r="CJ328" s="48"/>
      <c r="CK328" s="48"/>
      <c r="CL328" s="48"/>
      <c r="CM328" s="48"/>
      <c r="CN328" s="48"/>
      <c r="CO328" s="48"/>
      <c r="CP328" s="48"/>
      <c r="CQ328" s="49"/>
    </row>
    <row r="329" spans="2:95" x14ac:dyDescent="0.25">
      <c r="B329" s="908"/>
      <c r="C329" s="48"/>
      <c r="D329" s="908"/>
      <c r="E329" s="48"/>
      <c r="F329" s="896"/>
      <c r="G329" s="896"/>
      <c r="H329" s="896"/>
      <c r="I329" s="898"/>
      <c r="J329" s="898"/>
      <c r="K329" s="898"/>
      <c r="L329" s="898"/>
      <c r="M329" s="898"/>
      <c r="N329" s="48"/>
      <c r="O329" s="896"/>
      <c r="P329" s="896"/>
      <c r="Q329" s="896"/>
      <c r="R329" s="898"/>
      <c r="S329" s="898"/>
      <c r="T329" s="898"/>
      <c r="U329" s="898"/>
      <c r="V329" s="898"/>
      <c r="W329" s="48"/>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48"/>
      <c r="BZ329" s="48"/>
      <c r="CA329" s="48"/>
      <c r="CB329" s="48"/>
      <c r="CC329" s="48"/>
      <c r="CD329" s="48"/>
      <c r="CE329" s="48"/>
      <c r="CF329" s="48"/>
      <c r="CG329" s="48"/>
      <c r="CH329" s="48"/>
      <c r="CI329" s="48"/>
      <c r="CJ329" s="48"/>
      <c r="CK329" s="48"/>
      <c r="CL329" s="48"/>
      <c r="CM329" s="48"/>
      <c r="CN329" s="48"/>
      <c r="CO329" s="48"/>
      <c r="CP329" s="48"/>
      <c r="CQ329" s="49"/>
    </row>
    <row r="330" spans="2:95" x14ac:dyDescent="0.25">
      <c r="B330" s="908"/>
      <c r="C330" s="48"/>
      <c r="D330" s="908"/>
      <c r="E330" s="48"/>
      <c r="F330" s="896"/>
      <c r="G330" s="896"/>
      <c r="H330" s="896"/>
      <c r="I330" s="898"/>
      <c r="J330" s="898"/>
      <c r="K330" s="898"/>
      <c r="L330" s="898"/>
      <c r="M330" s="898"/>
      <c r="N330" s="48"/>
      <c r="O330" s="896"/>
      <c r="P330" s="896"/>
      <c r="Q330" s="896"/>
      <c r="R330" s="898"/>
      <c r="S330" s="898"/>
      <c r="T330" s="898"/>
      <c r="U330" s="898"/>
      <c r="V330" s="898"/>
      <c r="W330" s="48"/>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48"/>
      <c r="BZ330" s="48"/>
      <c r="CA330" s="48"/>
      <c r="CB330" s="48"/>
      <c r="CC330" s="48"/>
      <c r="CD330" s="48"/>
      <c r="CE330" s="48"/>
      <c r="CF330" s="48"/>
      <c r="CG330" s="48"/>
      <c r="CH330" s="48"/>
      <c r="CI330" s="48"/>
      <c r="CJ330" s="48"/>
      <c r="CK330" s="48"/>
      <c r="CL330" s="48"/>
      <c r="CM330" s="48"/>
      <c r="CN330" s="48"/>
      <c r="CO330" s="48"/>
      <c r="CP330" s="48"/>
      <c r="CQ330" s="49"/>
    </row>
    <row r="331" spans="2:95" x14ac:dyDescent="0.25">
      <c r="B331" s="908"/>
      <c r="C331" s="48"/>
      <c r="D331" s="908"/>
      <c r="E331" s="48"/>
      <c r="F331" s="896" t="s">
        <v>5</v>
      </c>
      <c r="G331" s="896"/>
      <c r="H331" s="896"/>
      <c r="I331" s="898" t="s">
        <v>640</v>
      </c>
      <c r="J331" s="898"/>
      <c r="K331" s="898"/>
      <c r="L331" s="898"/>
      <c r="M331" s="898"/>
      <c r="N331" s="48"/>
      <c r="O331" s="896" t="s">
        <v>5</v>
      </c>
      <c r="P331" s="896"/>
      <c r="Q331" s="896"/>
      <c r="R331" s="898" t="s">
        <v>642</v>
      </c>
      <c r="S331" s="898"/>
      <c r="T331" s="898"/>
      <c r="U331" s="898"/>
      <c r="V331" s="898"/>
      <c r="W331" s="48"/>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48"/>
      <c r="BZ331" s="48"/>
      <c r="CA331" s="48"/>
      <c r="CB331" s="48"/>
      <c r="CC331" s="48"/>
      <c r="CD331" s="48"/>
      <c r="CE331" s="48"/>
      <c r="CF331" s="48"/>
      <c r="CG331" s="48"/>
      <c r="CH331" s="48"/>
      <c r="CI331" s="48"/>
      <c r="CJ331" s="48"/>
      <c r="CK331" s="48"/>
      <c r="CL331" s="48"/>
      <c r="CM331" s="48"/>
      <c r="CN331" s="48"/>
      <c r="CO331" s="48"/>
      <c r="CP331" s="48"/>
      <c r="CQ331" s="49"/>
    </row>
    <row r="332" spans="2:95" x14ac:dyDescent="0.25">
      <c r="B332" s="908"/>
      <c r="C332" s="48"/>
      <c r="D332" s="908"/>
      <c r="E332" s="48"/>
      <c r="F332" s="896"/>
      <c r="G332" s="896"/>
      <c r="H332" s="896"/>
      <c r="I332" s="898"/>
      <c r="J332" s="898"/>
      <c r="K332" s="898"/>
      <c r="L332" s="898"/>
      <c r="M332" s="898"/>
      <c r="N332" s="48"/>
      <c r="O332" s="896"/>
      <c r="P332" s="896"/>
      <c r="Q332" s="896"/>
      <c r="R332" s="898"/>
      <c r="S332" s="898"/>
      <c r="T332" s="898"/>
      <c r="U332" s="898"/>
      <c r="V332" s="898"/>
      <c r="W332" s="48"/>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48"/>
      <c r="BZ332" s="48"/>
      <c r="CA332" s="48"/>
      <c r="CB332" s="48"/>
      <c r="CC332" s="48"/>
      <c r="CD332" s="48"/>
      <c r="CE332" s="48"/>
      <c r="CF332" s="48"/>
      <c r="CG332" s="48"/>
      <c r="CH332" s="48"/>
      <c r="CI332" s="48"/>
      <c r="CJ332" s="48"/>
      <c r="CK332" s="48"/>
      <c r="CL332" s="48"/>
      <c r="CM332" s="48"/>
      <c r="CN332" s="48"/>
      <c r="CO332" s="48"/>
      <c r="CP332" s="48"/>
      <c r="CQ332" s="49"/>
    </row>
    <row r="333" spans="2:95" x14ac:dyDescent="0.25">
      <c r="B333" s="908"/>
      <c r="C333" s="48"/>
      <c r="D333" s="908"/>
      <c r="E333" s="48"/>
      <c r="F333" s="896"/>
      <c r="G333" s="896"/>
      <c r="H333" s="896"/>
      <c r="I333" s="898"/>
      <c r="J333" s="898"/>
      <c r="K333" s="898"/>
      <c r="L333" s="898"/>
      <c r="M333" s="898"/>
      <c r="N333" s="48"/>
      <c r="O333" s="896"/>
      <c r="P333" s="896"/>
      <c r="Q333" s="896"/>
      <c r="R333" s="898"/>
      <c r="S333" s="898"/>
      <c r="T333" s="898"/>
      <c r="U333" s="898"/>
      <c r="V333" s="898"/>
      <c r="W333" s="48"/>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48"/>
      <c r="BZ333" s="48"/>
      <c r="CA333" s="48"/>
      <c r="CB333" s="48"/>
      <c r="CC333" s="48"/>
      <c r="CD333" s="48"/>
      <c r="CE333" s="48"/>
      <c r="CF333" s="48"/>
      <c r="CG333" s="48"/>
      <c r="CH333" s="48"/>
      <c r="CI333" s="48"/>
      <c r="CJ333" s="48"/>
      <c r="CK333" s="48"/>
      <c r="CL333" s="48"/>
      <c r="CM333" s="48"/>
      <c r="CN333" s="48"/>
      <c r="CO333" s="48"/>
      <c r="CP333" s="48"/>
      <c r="CQ333" s="49"/>
    </row>
    <row r="334" spans="2:95" x14ac:dyDescent="0.25">
      <c r="B334" s="908"/>
      <c r="C334" s="48"/>
      <c r="D334" s="908"/>
      <c r="E334" s="48"/>
      <c r="F334" s="896" t="s">
        <v>6</v>
      </c>
      <c r="G334" s="896"/>
      <c r="H334" s="896"/>
      <c r="I334" s="898" t="s">
        <v>9</v>
      </c>
      <c r="J334" s="898"/>
      <c r="K334" s="898"/>
      <c r="L334" s="898"/>
      <c r="M334" s="898"/>
      <c r="N334" s="48"/>
      <c r="O334" s="896" t="s">
        <v>6</v>
      </c>
      <c r="P334" s="896"/>
      <c r="Q334" s="896"/>
      <c r="R334" s="898" t="s">
        <v>9</v>
      </c>
      <c r="S334" s="898"/>
      <c r="T334" s="898"/>
      <c r="U334" s="898"/>
      <c r="V334" s="898"/>
      <c r="W334" s="48"/>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48"/>
      <c r="BZ334" s="48"/>
      <c r="CA334" s="48"/>
      <c r="CB334" s="48"/>
      <c r="CC334" s="48"/>
      <c r="CD334" s="48"/>
      <c r="CE334" s="48"/>
      <c r="CF334" s="48"/>
      <c r="CG334" s="48"/>
      <c r="CH334" s="48"/>
      <c r="CI334" s="48"/>
      <c r="CJ334" s="48"/>
      <c r="CK334" s="48"/>
      <c r="CL334" s="48"/>
      <c r="CM334" s="48"/>
      <c r="CN334" s="48"/>
      <c r="CO334" s="48"/>
      <c r="CP334" s="48"/>
      <c r="CQ334" s="49"/>
    </row>
    <row r="335" spans="2:95" x14ac:dyDescent="0.25">
      <c r="B335" s="908"/>
      <c r="C335" s="48"/>
      <c r="D335" s="908"/>
      <c r="E335" s="48"/>
      <c r="F335" s="896"/>
      <c r="G335" s="896"/>
      <c r="H335" s="896"/>
      <c r="I335" s="898"/>
      <c r="J335" s="898"/>
      <c r="K335" s="898"/>
      <c r="L335" s="898"/>
      <c r="M335" s="898"/>
      <c r="N335" s="48"/>
      <c r="O335" s="896"/>
      <c r="P335" s="896"/>
      <c r="Q335" s="896"/>
      <c r="R335" s="898"/>
      <c r="S335" s="898"/>
      <c r="T335" s="898"/>
      <c r="U335" s="898"/>
      <c r="V335" s="898"/>
      <c r="W335" s="48"/>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48"/>
      <c r="BZ335" s="48"/>
      <c r="CA335" s="48"/>
      <c r="CB335" s="48"/>
      <c r="CC335" s="48"/>
      <c r="CD335" s="48"/>
      <c r="CE335" s="48"/>
      <c r="CF335" s="48"/>
      <c r="CG335" s="48"/>
      <c r="CH335" s="48"/>
      <c r="CI335" s="48"/>
      <c r="CJ335" s="48"/>
      <c r="CK335" s="48"/>
      <c r="CL335" s="48"/>
      <c r="CM335" s="48"/>
      <c r="CN335" s="48"/>
      <c r="CO335" s="48"/>
      <c r="CP335" s="48"/>
      <c r="CQ335" s="49"/>
    </row>
    <row r="336" spans="2:95" x14ac:dyDescent="0.25">
      <c r="B336" s="908"/>
      <c r="C336" s="48"/>
      <c r="D336" s="908"/>
      <c r="E336" s="48"/>
      <c r="F336" s="896"/>
      <c r="G336" s="896"/>
      <c r="H336" s="896"/>
      <c r="I336" s="898"/>
      <c r="J336" s="898"/>
      <c r="K336" s="898"/>
      <c r="L336" s="898"/>
      <c r="M336" s="898"/>
      <c r="N336" s="48"/>
      <c r="O336" s="896"/>
      <c r="P336" s="896"/>
      <c r="Q336" s="896"/>
      <c r="R336" s="898"/>
      <c r="S336" s="898"/>
      <c r="T336" s="898"/>
      <c r="U336" s="898"/>
      <c r="V336" s="898"/>
      <c r="W336" s="48"/>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48"/>
      <c r="BZ336" s="48"/>
      <c r="CA336" s="48"/>
      <c r="CB336" s="48"/>
      <c r="CC336" s="48"/>
      <c r="CD336" s="48"/>
      <c r="CE336" s="48"/>
      <c r="CF336" s="48"/>
      <c r="CG336" s="48"/>
      <c r="CH336" s="48"/>
      <c r="CI336" s="48"/>
      <c r="CJ336" s="48"/>
      <c r="CK336" s="48"/>
      <c r="CL336" s="48"/>
      <c r="CM336" s="48"/>
      <c r="CN336" s="48"/>
      <c r="CO336" s="48"/>
      <c r="CP336" s="48"/>
      <c r="CQ336" s="49"/>
    </row>
    <row r="337" spans="2:95" x14ac:dyDescent="0.25">
      <c r="B337" s="908"/>
      <c r="C337" s="48"/>
      <c r="D337" s="908"/>
      <c r="E337" s="48"/>
      <c r="F337" s="896" t="s">
        <v>7</v>
      </c>
      <c r="G337" s="896"/>
      <c r="H337" s="896"/>
      <c r="I337" s="898" t="s">
        <v>641</v>
      </c>
      <c r="J337" s="898"/>
      <c r="K337" s="898"/>
      <c r="L337" s="898"/>
      <c r="M337" s="898"/>
      <c r="N337" s="48"/>
      <c r="O337" s="896" t="s">
        <v>7</v>
      </c>
      <c r="P337" s="896"/>
      <c r="Q337" s="896"/>
      <c r="R337" s="898" t="s">
        <v>219</v>
      </c>
      <c r="S337" s="898"/>
      <c r="T337" s="898"/>
      <c r="U337" s="898"/>
      <c r="V337" s="898"/>
      <c r="W337" s="48"/>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48"/>
      <c r="BZ337" s="48"/>
      <c r="CA337" s="48"/>
      <c r="CB337" s="48"/>
      <c r="CC337" s="48"/>
      <c r="CD337" s="48"/>
      <c r="CE337" s="48"/>
      <c r="CF337" s="48"/>
      <c r="CG337" s="48"/>
      <c r="CH337" s="48"/>
      <c r="CI337" s="48"/>
      <c r="CJ337" s="48"/>
      <c r="CK337" s="48"/>
      <c r="CL337" s="48"/>
      <c r="CM337" s="48"/>
      <c r="CN337" s="48"/>
      <c r="CO337" s="48"/>
      <c r="CP337" s="48"/>
      <c r="CQ337" s="49"/>
    </row>
    <row r="338" spans="2:95" x14ac:dyDescent="0.25">
      <c r="B338" s="908"/>
      <c r="C338" s="48"/>
      <c r="D338" s="908"/>
      <c r="E338" s="48"/>
      <c r="F338" s="896"/>
      <c r="G338" s="896"/>
      <c r="H338" s="896"/>
      <c r="I338" s="898"/>
      <c r="J338" s="898"/>
      <c r="K338" s="898"/>
      <c r="L338" s="898"/>
      <c r="M338" s="898"/>
      <c r="N338" s="48"/>
      <c r="O338" s="896"/>
      <c r="P338" s="896"/>
      <c r="Q338" s="896"/>
      <c r="R338" s="898"/>
      <c r="S338" s="898"/>
      <c r="T338" s="898"/>
      <c r="U338" s="898"/>
      <c r="V338" s="898"/>
      <c r="W338" s="48"/>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48"/>
      <c r="BZ338" s="48"/>
      <c r="CA338" s="48"/>
      <c r="CB338" s="48"/>
      <c r="CC338" s="48"/>
      <c r="CD338" s="48"/>
      <c r="CE338" s="48"/>
      <c r="CF338" s="48"/>
      <c r="CG338" s="48"/>
      <c r="CH338" s="48"/>
      <c r="CI338" s="48"/>
      <c r="CJ338" s="48"/>
      <c r="CK338" s="48"/>
      <c r="CL338" s="48"/>
      <c r="CM338" s="48"/>
      <c r="CN338" s="48"/>
      <c r="CO338" s="48"/>
      <c r="CP338" s="48"/>
      <c r="CQ338" s="49"/>
    </row>
    <row r="339" spans="2:95" ht="16.5" thickBot="1" x14ac:dyDescent="0.3">
      <c r="B339" s="908"/>
      <c r="C339" s="48"/>
      <c r="D339" s="909"/>
      <c r="E339" s="48"/>
      <c r="F339" s="896"/>
      <c r="G339" s="896"/>
      <c r="H339" s="896"/>
      <c r="I339" s="898"/>
      <c r="J339" s="898"/>
      <c r="K339" s="898"/>
      <c r="L339" s="898"/>
      <c r="M339" s="898"/>
      <c r="N339" s="48"/>
      <c r="O339" s="896"/>
      <c r="P339" s="896"/>
      <c r="Q339" s="896"/>
      <c r="R339" s="898"/>
      <c r="S339" s="898"/>
      <c r="T339" s="898"/>
      <c r="U339" s="898"/>
      <c r="V339" s="898"/>
      <c r="W339" s="48"/>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48"/>
      <c r="BZ339" s="48"/>
      <c r="CA339" s="48"/>
      <c r="CB339" s="48"/>
      <c r="CC339" s="48"/>
      <c r="CD339" s="48"/>
      <c r="CE339" s="48"/>
      <c r="CF339" s="48"/>
      <c r="CG339" s="48"/>
      <c r="CH339" s="48"/>
      <c r="CI339" s="48"/>
      <c r="CJ339" s="48"/>
      <c r="CK339" s="48"/>
      <c r="CL339" s="48"/>
      <c r="CM339" s="48"/>
      <c r="CN339" s="48"/>
      <c r="CO339" s="48"/>
      <c r="CP339" s="48"/>
      <c r="CQ339" s="49"/>
    </row>
    <row r="340" spans="2:95" x14ac:dyDescent="0.25">
      <c r="B340" s="90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9"/>
    </row>
    <row r="341" spans="2:95" ht="16.5" thickBot="1" x14ac:dyDescent="0.3">
      <c r="B341" s="90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9"/>
    </row>
    <row r="342" spans="2:95" ht="15.75" customHeight="1" x14ac:dyDescent="0.25">
      <c r="B342" s="908"/>
      <c r="C342" s="48"/>
      <c r="D342" s="907" t="s">
        <v>57</v>
      </c>
      <c r="E342" s="48"/>
      <c r="F342" s="910" t="s">
        <v>8</v>
      </c>
      <c r="G342" s="910"/>
      <c r="H342" s="910"/>
      <c r="I342" s="910"/>
      <c r="J342" s="910"/>
      <c r="K342" s="910"/>
      <c r="L342" s="910"/>
      <c r="M342" s="910"/>
      <c r="N342" s="48"/>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c r="AX342" s="50"/>
      <c r="AY342" s="50"/>
      <c r="AZ342" s="50"/>
      <c r="BA342" s="50"/>
      <c r="BB342" s="50"/>
      <c r="BC342" s="50"/>
      <c r="BD342" s="50"/>
      <c r="BE342" s="50"/>
      <c r="BF342" s="50"/>
      <c r="BG342" s="50"/>
      <c r="BH342" s="50"/>
      <c r="BI342" s="50"/>
      <c r="BJ342" s="50"/>
      <c r="BK342" s="50"/>
      <c r="BL342" s="50"/>
      <c r="BM342" s="50"/>
      <c r="BN342" s="50"/>
      <c r="BO342" s="50"/>
      <c r="BP342" s="50"/>
      <c r="BQ342" s="50"/>
      <c r="BR342" s="50"/>
      <c r="BS342" s="50"/>
      <c r="BT342" s="50"/>
      <c r="BU342" s="50"/>
      <c r="BV342" s="50"/>
      <c r="BW342" s="50"/>
      <c r="BX342" s="50"/>
      <c r="BY342" s="48"/>
      <c r="BZ342" s="48"/>
      <c r="CA342" s="48"/>
      <c r="CB342" s="48"/>
      <c r="CC342" s="48"/>
      <c r="CD342" s="48"/>
      <c r="CE342" s="48"/>
      <c r="CF342" s="48"/>
      <c r="CG342" s="48"/>
      <c r="CH342" s="48"/>
      <c r="CI342" s="48"/>
      <c r="CJ342" s="48"/>
      <c r="CK342" s="48"/>
      <c r="CL342" s="48"/>
      <c r="CM342" s="48"/>
      <c r="CN342" s="48"/>
      <c r="CO342" s="48"/>
      <c r="CP342" s="48"/>
      <c r="CQ342" s="49"/>
    </row>
    <row r="343" spans="2:95" x14ac:dyDescent="0.25">
      <c r="B343" s="908"/>
      <c r="C343" s="48"/>
      <c r="D343" s="908"/>
      <c r="E343" s="48"/>
      <c r="F343" s="895" t="s">
        <v>0</v>
      </c>
      <c r="G343" s="895"/>
      <c r="H343" s="895"/>
      <c r="I343" s="895" t="s">
        <v>1</v>
      </c>
      <c r="J343" s="895"/>
      <c r="K343" s="895"/>
      <c r="L343" s="895"/>
      <c r="M343" s="895"/>
      <c r="N343" s="48"/>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c r="AX343" s="50"/>
      <c r="AY343" s="50"/>
      <c r="AZ343" s="50"/>
      <c r="BA343" s="50"/>
      <c r="BB343" s="50"/>
      <c r="BC343" s="50"/>
      <c r="BD343" s="50"/>
      <c r="BE343" s="50"/>
      <c r="BF343" s="50"/>
      <c r="BG343" s="50"/>
      <c r="BH343" s="50"/>
      <c r="BI343" s="50"/>
      <c r="BJ343" s="50"/>
      <c r="BK343" s="50"/>
      <c r="BL343" s="50"/>
      <c r="BM343" s="50"/>
      <c r="BN343" s="50"/>
      <c r="BO343" s="50"/>
      <c r="BP343" s="50"/>
      <c r="BQ343" s="50"/>
      <c r="BR343" s="50"/>
      <c r="BS343" s="50"/>
      <c r="BT343" s="50"/>
      <c r="BU343" s="50"/>
      <c r="BV343" s="50"/>
      <c r="BW343" s="50"/>
      <c r="BX343" s="50"/>
      <c r="BY343" s="48"/>
      <c r="BZ343" s="48"/>
      <c r="CA343" s="48"/>
      <c r="CB343" s="48"/>
      <c r="CC343" s="48"/>
      <c r="CD343" s="48"/>
      <c r="CE343" s="48"/>
      <c r="CF343" s="48"/>
      <c r="CG343" s="48"/>
      <c r="CH343" s="48"/>
      <c r="CI343" s="48"/>
      <c r="CJ343" s="48"/>
      <c r="CK343" s="48"/>
      <c r="CL343" s="48"/>
      <c r="CM343" s="48"/>
      <c r="CN343" s="48"/>
      <c r="CO343" s="48"/>
      <c r="CP343" s="48"/>
      <c r="CQ343" s="49"/>
    </row>
    <row r="344" spans="2:95" x14ac:dyDescent="0.25">
      <c r="B344" s="908"/>
      <c r="C344" s="48"/>
      <c r="D344" s="908"/>
      <c r="E344" s="48"/>
      <c r="F344" s="896" t="s">
        <v>2</v>
      </c>
      <c r="G344" s="896"/>
      <c r="H344" s="896"/>
      <c r="I344" s="898" t="s">
        <v>220</v>
      </c>
      <c r="J344" s="898"/>
      <c r="K344" s="898"/>
      <c r="L344" s="898"/>
      <c r="M344" s="898"/>
      <c r="N344" s="48"/>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48"/>
      <c r="BZ344" s="48"/>
      <c r="CA344" s="48"/>
      <c r="CB344" s="48"/>
      <c r="CC344" s="48"/>
      <c r="CD344" s="48"/>
      <c r="CE344" s="48"/>
      <c r="CF344" s="48"/>
      <c r="CG344" s="48"/>
      <c r="CH344" s="48"/>
      <c r="CI344" s="48"/>
      <c r="CJ344" s="48"/>
      <c r="CK344" s="48"/>
      <c r="CL344" s="48"/>
      <c r="CM344" s="48"/>
      <c r="CN344" s="48"/>
      <c r="CO344" s="48"/>
      <c r="CP344" s="48"/>
      <c r="CQ344" s="49"/>
    </row>
    <row r="345" spans="2:95" x14ac:dyDescent="0.25">
      <c r="B345" s="908"/>
      <c r="C345" s="48"/>
      <c r="D345" s="908"/>
      <c r="E345" s="48"/>
      <c r="F345" s="896"/>
      <c r="G345" s="896"/>
      <c r="H345" s="896"/>
      <c r="I345" s="898"/>
      <c r="J345" s="898"/>
      <c r="K345" s="898"/>
      <c r="L345" s="898"/>
      <c r="M345" s="898"/>
      <c r="N345" s="48"/>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48"/>
      <c r="BZ345" s="48"/>
      <c r="CA345" s="48"/>
      <c r="CB345" s="48"/>
      <c r="CC345" s="48"/>
      <c r="CD345" s="48"/>
      <c r="CE345" s="48"/>
      <c r="CF345" s="48"/>
      <c r="CG345" s="48"/>
      <c r="CH345" s="48"/>
      <c r="CI345" s="48"/>
      <c r="CJ345" s="48"/>
      <c r="CK345" s="48"/>
      <c r="CL345" s="48"/>
      <c r="CM345" s="48"/>
      <c r="CN345" s="48"/>
      <c r="CO345" s="48"/>
      <c r="CP345" s="48"/>
      <c r="CQ345" s="49"/>
    </row>
    <row r="346" spans="2:95" x14ac:dyDescent="0.25">
      <c r="B346" s="908"/>
      <c r="C346" s="48"/>
      <c r="D346" s="908"/>
      <c r="E346" s="48"/>
      <c r="F346" s="896"/>
      <c r="G346" s="896"/>
      <c r="H346" s="896"/>
      <c r="I346" s="898"/>
      <c r="J346" s="898"/>
      <c r="K346" s="898"/>
      <c r="L346" s="898"/>
      <c r="M346" s="898"/>
      <c r="N346" s="48"/>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48"/>
      <c r="BZ346" s="48"/>
      <c r="CA346" s="48"/>
      <c r="CB346" s="48"/>
      <c r="CC346" s="48"/>
      <c r="CD346" s="48"/>
      <c r="CE346" s="48"/>
      <c r="CF346" s="48"/>
      <c r="CG346" s="48"/>
      <c r="CH346" s="48"/>
      <c r="CI346" s="48"/>
      <c r="CJ346" s="48"/>
      <c r="CK346" s="48"/>
      <c r="CL346" s="48"/>
      <c r="CM346" s="48"/>
      <c r="CN346" s="48"/>
      <c r="CO346" s="48"/>
      <c r="CP346" s="48"/>
      <c r="CQ346" s="49"/>
    </row>
    <row r="347" spans="2:95" x14ac:dyDescent="0.25">
      <c r="B347" s="908"/>
      <c r="C347" s="48"/>
      <c r="D347" s="908"/>
      <c r="E347" s="48"/>
      <c r="F347" s="895" t="s">
        <v>0</v>
      </c>
      <c r="G347" s="895"/>
      <c r="H347" s="895"/>
      <c r="I347" s="895" t="s">
        <v>1</v>
      </c>
      <c r="J347" s="895"/>
      <c r="K347" s="895"/>
      <c r="L347" s="895"/>
      <c r="M347" s="895"/>
      <c r="N347" s="48"/>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48"/>
      <c r="BZ347" s="48"/>
      <c r="CA347" s="48"/>
      <c r="CB347" s="48"/>
      <c r="CC347" s="48"/>
      <c r="CD347" s="48"/>
      <c r="CE347" s="48"/>
      <c r="CF347" s="48"/>
      <c r="CG347" s="48"/>
      <c r="CH347" s="48"/>
      <c r="CI347" s="48"/>
      <c r="CJ347" s="48"/>
      <c r="CK347" s="48"/>
      <c r="CL347" s="48"/>
      <c r="CM347" s="48"/>
      <c r="CN347" s="48"/>
      <c r="CO347" s="48"/>
      <c r="CP347" s="48"/>
      <c r="CQ347" s="49"/>
    </row>
    <row r="348" spans="2:95" ht="15.75" customHeight="1" x14ac:dyDescent="0.25">
      <c r="B348" s="908"/>
      <c r="C348" s="48"/>
      <c r="D348" s="908"/>
      <c r="E348" s="48"/>
      <c r="F348" s="896" t="s">
        <v>3</v>
      </c>
      <c r="G348" s="896"/>
      <c r="H348" s="896"/>
      <c r="I348" s="897" t="s">
        <v>221</v>
      </c>
      <c r="J348" s="898"/>
      <c r="K348" s="898"/>
      <c r="L348" s="898"/>
      <c r="M348" s="898"/>
      <c r="N348" s="48"/>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48"/>
      <c r="BZ348" s="48"/>
      <c r="CA348" s="48"/>
      <c r="CB348" s="48"/>
      <c r="CC348" s="48"/>
      <c r="CD348" s="48"/>
      <c r="CE348" s="48"/>
      <c r="CF348" s="48"/>
      <c r="CG348" s="48"/>
      <c r="CH348" s="48"/>
      <c r="CI348" s="48"/>
      <c r="CJ348" s="48"/>
      <c r="CK348" s="48"/>
      <c r="CL348" s="48"/>
      <c r="CM348" s="48"/>
      <c r="CN348" s="48"/>
      <c r="CO348" s="48"/>
      <c r="CP348" s="48"/>
      <c r="CQ348" s="49"/>
    </row>
    <row r="349" spans="2:95" x14ac:dyDescent="0.25">
      <c r="B349" s="908"/>
      <c r="C349" s="48"/>
      <c r="D349" s="908"/>
      <c r="E349" s="48"/>
      <c r="F349" s="896"/>
      <c r="G349" s="896"/>
      <c r="H349" s="896"/>
      <c r="I349" s="898"/>
      <c r="J349" s="898"/>
      <c r="K349" s="898"/>
      <c r="L349" s="898"/>
      <c r="M349" s="898"/>
      <c r="N349" s="48"/>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48"/>
      <c r="BZ349" s="48"/>
      <c r="CA349" s="48"/>
      <c r="CB349" s="48"/>
      <c r="CC349" s="48"/>
      <c r="CD349" s="48"/>
      <c r="CE349" s="48"/>
      <c r="CF349" s="48"/>
      <c r="CG349" s="48"/>
      <c r="CH349" s="48"/>
      <c r="CI349" s="48"/>
      <c r="CJ349" s="48"/>
      <c r="CK349" s="48"/>
      <c r="CL349" s="48"/>
      <c r="CM349" s="48"/>
      <c r="CN349" s="48"/>
      <c r="CO349" s="48"/>
      <c r="CP349" s="48"/>
      <c r="CQ349" s="49"/>
    </row>
    <row r="350" spans="2:95" x14ac:dyDescent="0.25">
      <c r="B350" s="908"/>
      <c r="C350" s="48"/>
      <c r="D350" s="908"/>
      <c r="E350" s="48"/>
      <c r="F350" s="896"/>
      <c r="G350" s="896"/>
      <c r="H350" s="896"/>
      <c r="I350" s="898"/>
      <c r="J350" s="898"/>
      <c r="K350" s="898"/>
      <c r="L350" s="898"/>
      <c r="M350" s="898"/>
      <c r="N350" s="48"/>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48"/>
      <c r="BZ350" s="48"/>
      <c r="CA350" s="48"/>
      <c r="CB350" s="48"/>
      <c r="CC350" s="48"/>
      <c r="CD350" s="48"/>
      <c r="CE350" s="48"/>
      <c r="CF350" s="48"/>
      <c r="CG350" s="48"/>
      <c r="CH350" s="48"/>
      <c r="CI350" s="48"/>
      <c r="CJ350" s="48"/>
      <c r="CK350" s="48"/>
      <c r="CL350" s="48"/>
      <c r="CM350" s="48"/>
      <c r="CN350" s="48"/>
      <c r="CO350" s="48"/>
      <c r="CP350" s="48"/>
      <c r="CQ350" s="49"/>
    </row>
    <row r="351" spans="2:95" x14ac:dyDescent="0.25">
      <c r="B351" s="908"/>
      <c r="C351" s="48"/>
      <c r="D351" s="908"/>
      <c r="E351" s="48"/>
      <c r="F351" s="896" t="s">
        <v>4</v>
      </c>
      <c r="G351" s="896"/>
      <c r="H351" s="896"/>
      <c r="I351" s="898" t="s">
        <v>15</v>
      </c>
      <c r="J351" s="898"/>
      <c r="K351" s="898"/>
      <c r="L351" s="898"/>
      <c r="M351" s="898"/>
      <c r="N351" s="48"/>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48"/>
      <c r="BZ351" s="48"/>
      <c r="CA351" s="48"/>
      <c r="CB351" s="48"/>
      <c r="CC351" s="48"/>
      <c r="CD351" s="48"/>
      <c r="CE351" s="48"/>
      <c r="CF351" s="48"/>
      <c r="CG351" s="48"/>
      <c r="CH351" s="48"/>
      <c r="CI351" s="48"/>
      <c r="CJ351" s="48"/>
      <c r="CK351" s="48"/>
      <c r="CL351" s="48"/>
      <c r="CM351" s="48"/>
      <c r="CN351" s="48"/>
      <c r="CO351" s="48"/>
      <c r="CP351" s="48"/>
      <c r="CQ351" s="49"/>
    </row>
    <row r="352" spans="2:95" x14ac:dyDescent="0.25">
      <c r="B352" s="908"/>
      <c r="C352" s="48"/>
      <c r="D352" s="908"/>
      <c r="E352" s="48"/>
      <c r="F352" s="896"/>
      <c r="G352" s="896"/>
      <c r="H352" s="896"/>
      <c r="I352" s="898"/>
      <c r="J352" s="898"/>
      <c r="K352" s="898"/>
      <c r="L352" s="898"/>
      <c r="M352" s="898"/>
      <c r="N352" s="48"/>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48"/>
      <c r="BZ352" s="48"/>
      <c r="CA352" s="48"/>
      <c r="CB352" s="48"/>
      <c r="CC352" s="48"/>
      <c r="CD352" s="48"/>
      <c r="CE352" s="48"/>
      <c r="CF352" s="48"/>
      <c r="CG352" s="48"/>
      <c r="CH352" s="48"/>
      <c r="CI352" s="48"/>
      <c r="CJ352" s="48"/>
      <c r="CK352" s="48"/>
      <c r="CL352" s="48"/>
      <c r="CM352" s="48"/>
      <c r="CN352" s="48"/>
      <c r="CO352" s="48"/>
      <c r="CP352" s="48"/>
      <c r="CQ352" s="49"/>
    </row>
    <row r="353" spans="2:95" x14ac:dyDescent="0.25">
      <c r="B353" s="908"/>
      <c r="C353" s="48"/>
      <c r="D353" s="908"/>
      <c r="E353" s="48"/>
      <c r="F353" s="896"/>
      <c r="G353" s="896"/>
      <c r="H353" s="896"/>
      <c r="I353" s="898"/>
      <c r="J353" s="898"/>
      <c r="K353" s="898"/>
      <c r="L353" s="898"/>
      <c r="M353" s="898"/>
      <c r="N353" s="48"/>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48"/>
      <c r="BZ353" s="48"/>
      <c r="CA353" s="48"/>
      <c r="CB353" s="48"/>
      <c r="CC353" s="48"/>
      <c r="CD353" s="48"/>
      <c r="CE353" s="48"/>
      <c r="CF353" s="48"/>
      <c r="CG353" s="48"/>
      <c r="CH353" s="48"/>
      <c r="CI353" s="48"/>
      <c r="CJ353" s="48"/>
      <c r="CK353" s="48"/>
      <c r="CL353" s="48"/>
      <c r="CM353" s="48"/>
      <c r="CN353" s="48"/>
      <c r="CO353" s="48"/>
      <c r="CP353" s="48"/>
      <c r="CQ353" s="49"/>
    </row>
    <row r="354" spans="2:95" x14ac:dyDescent="0.25">
      <c r="B354" s="908"/>
      <c r="C354" s="48"/>
      <c r="D354" s="908"/>
      <c r="E354" s="48"/>
      <c r="F354" s="896" t="s">
        <v>5</v>
      </c>
      <c r="G354" s="896"/>
      <c r="H354" s="896"/>
      <c r="I354" s="898" t="s">
        <v>222</v>
      </c>
      <c r="J354" s="898"/>
      <c r="K354" s="898"/>
      <c r="L354" s="898"/>
      <c r="M354" s="898"/>
      <c r="N354" s="48"/>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48"/>
      <c r="BZ354" s="48"/>
      <c r="CA354" s="48"/>
      <c r="CB354" s="48"/>
      <c r="CC354" s="48"/>
      <c r="CD354" s="48"/>
      <c r="CE354" s="48"/>
      <c r="CF354" s="48"/>
      <c r="CG354" s="48"/>
      <c r="CH354" s="48"/>
      <c r="CI354" s="48"/>
      <c r="CJ354" s="48"/>
      <c r="CK354" s="48"/>
      <c r="CL354" s="48"/>
      <c r="CM354" s="48"/>
      <c r="CN354" s="48"/>
      <c r="CO354" s="48"/>
      <c r="CP354" s="48"/>
      <c r="CQ354" s="49"/>
    </row>
    <row r="355" spans="2:95" x14ac:dyDescent="0.25">
      <c r="B355" s="908"/>
      <c r="C355" s="48"/>
      <c r="D355" s="908"/>
      <c r="E355" s="48"/>
      <c r="F355" s="896"/>
      <c r="G355" s="896"/>
      <c r="H355" s="896"/>
      <c r="I355" s="898"/>
      <c r="J355" s="898"/>
      <c r="K355" s="898"/>
      <c r="L355" s="898"/>
      <c r="M355" s="898"/>
      <c r="N355" s="48"/>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48"/>
      <c r="BZ355" s="48"/>
      <c r="CA355" s="48"/>
      <c r="CB355" s="48"/>
      <c r="CC355" s="48"/>
      <c r="CD355" s="48"/>
      <c r="CE355" s="48"/>
      <c r="CF355" s="48"/>
      <c r="CG355" s="48"/>
      <c r="CH355" s="48"/>
      <c r="CI355" s="48"/>
      <c r="CJ355" s="48"/>
      <c r="CK355" s="48"/>
      <c r="CL355" s="48"/>
      <c r="CM355" s="48"/>
      <c r="CN355" s="48"/>
      <c r="CO355" s="48"/>
      <c r="CP355" s="48"/>
      <c r="CQ355" s="49"/>
    </row>
    <row r="356" spans="2:95" x14ac:dyDescent="0.25">
      <c r="B356" s="908"/>
      <c r="C356" s="48"/>
      <c r="D356" s="908"/>
      <c r="E356" s="48"/>
      <c r="F356" s="896"/>
      <c r="G356" s="896"/>
      <c r="H356" s="896"/>
      <c r="I356" s="898"/>
      <c r="J356" s="898"/>
      <c r="K356" s="898"/>
      <c r="L356" s="898"/>
      <c r="M356" s="898"/>
      <c r="N356" s="48"/>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48"/>
      <c r="BZ356" s="48"/>
      <c r="CA356" s="48"/>
      <c r="CB356" s="48"/>
      <c r="CC356" s="48"/>
      <c r="CD356" s="48"/>
      <c r="CE356" s="48"/>
      <c r="CF356" s="48"/>
      <c r="CG356" s="48"/>
      <c r="CH356" s="48"/>
      <c r="CI356" s="48"/>
      <c r="CJ356" s="48"/>
      <c r="CK356" s="48"/>
      <c r="CL356" s="48"/>
      <c r="CM356" s="48"/>
      <c r="CN356" s="48"/>
      <c r="CO356" s="48"/>
      <c r="CP356" s="48"/>
      <c r="CQ356" s="49"/>
    </row>
    <row r="357" spans="2:95" x14ac:dyDescent="0.25">
      <c r="B357" s="908"/>
      <c r="C357" s="48"/>
      <c r="D357" s="908"/>
      <c r="E357" s="48"/>
      <c r="F357" s="896" t="s">
        <v>6</v>
      </c>
      <c r="G357" s="896"/>
      <c r="H357" s="896"/>
      <c r="I357" s="898" t="s">
        <v>9</v>
      </c>
      <c r="J357" s="898"/>
      <c r="K357" s="898"/>
      <c r="L357" s="898"/>
      <c r="M357" s="898"/>
      <c r="N357" s="48"/>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48"/>
      <c r="BZ357" s="48"/>
      <c r="CA357" s="48"/>
      <c r="CB357" s="48"/>
      <c r="CC357" s="48"/>
      <c r="CD357" s="48"/>
      <c r="CE357" s="48"/>
      <c r="CF357" s="48"/>
      <c r="CG357" s="48"/>
      <c r="CH357" s="48"/>
      <c r="CI357" s="48"/>
      <c r="CJ357" s="48"/>
      <c r="CK357" s="48"/>
      <c r="CL357" s="48"/>
      <c r="CM357" s="48"/>
      <c r="CN357" s="48"/>
      <c r="CO357" s="48"/>
      <c r="CP357" s="48"/>
      <c r="CQ357" s="49"/>
    </row>
    <row r="358" spans="2:95" x14ac:dyDescent="0.25">
      <c r="B358" s="908"/>
      <c r="C358" s="48"/>
      <c r="D358" s="908"/>
      <c r="E358" s="48"/>
      <c r="F358" s="896"/>
      <c r="G358" s="896"/>
      <c r="H358" s="896"/>
      <c r="I358" s="898"/>
      <c r="J358" s="898"/>
      <c r="K358" s="898"/>
      <c r="L358" s="898"/>
      <c r="M358" s="898"/>
      <c r="N358" s="48"/>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48"/>
      <c r="BZ358" s="48"/>
      <c r="CA358" s="48"/>
      <c r="CB358" s="48"/>
      <c r="CC358" s="48"/>
      <c r="CD358" s="48"/>
      <c r="CE358" s="48"/>
      <c r="CF358" s="48"/>
      <c r="CG358" s="48"/>
      <c r="CH358" s="48"/>
      <c r="CI358" s="48"/>
      <c r="CJ358" s="48"/>
      <c r="CK358" s="48"/>
      <c r="CL358" s="48"/>
      <c r="CM358" s="48"/>
      <c r="CN358" s="48"/>
      <c r="CO358" s="48"/>
      <c r="CP358" s="48"/>
      <c r="CQ358" s="49"/>
    </row>
    <row r="359" spans="2:95" x14ac:dyDescent="0.25">
      <c r="B359" s="908"/>
      <c r="C359" s="48"/>
      <c r="D359" s="908"/>
      <c r="E359" s="48"/>
      <c r="F359" s="896"/>
      <c r="G359" s="896"/>
      <c r="H359" s="896"/>
      <c r="I359" s="898"/>
      <c r="J359" s="898"/>
      <c r="K359" s="898"/>
      <c r="L359" s="898"/>
      <c r="M359" s="898"/>
      <c r="N359" s="48"/>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48"/>
      <c r="BZ359" s="48"/>
      <c r="CA359" s="48"/>
      <c r="CB359" s="48"/>
      <c r="CC359" s="48"/>
      <c r="CD359" s="48"/>
      <c r="CE359" s="48"/>
      <c r="CF359" s="48"/>
      <c r="CG359" s="48"/>
      <c r="CH359" s="48"/>
      <c r="CI359" s="48"/>
      <c r="CJ359" s="48"/>
      <c r="CK359" s="48"/>
      <c r="CL359" s="48"/>
      <c r="CM359" s="48"/>
      <c r="CN359" s="48"/>
      <c r="CO359" s="48"/>
      <c r="CP359" s="48"/>
      <c r="CQ359" s="49"/>
    </row>
    <row r="360" spans="2:95" x14ac:dyDescent="0.25">
      <c r="B360" s="908"/>
      <c r="C360" s="48"/>
      <c r="D360" s="908"/>
      <c r="E360" s="48"/>
      <c r="F360" s="896" t="s">
        <v>7</v>
      </c>
      <c r="G360" s="896"/>
      <c r="H360" s="896"/>
      <c r="I360" s="898" t="s">
        <v>334</v>
      </c>
      <c r="J360" s="898"/>
      <c r="K360" s="898"/>
      <c r="L360" s="898"/>
      <c r="M360" s="898"/>
      <c r="N360" s="48"/>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48"/>
      <c r="BZ360" s="48"/>
      <c r="CA360" s="48"/>
      <c r="CB360" s="48"/>
      <c r="CC360" s="48"/>
      <c r="CD360" s="48"/>
      <c r="CE360" s="48"/>
      <c r="CF360" s="48"/>
      <c r="CG360" s="48"/>
      <c r="CH360" s="48"/>
      <c r="CI360" s="48"/>
      <c r="CJ360" s="48"/>
      <c r="CK360" s="48"/>
      <c r="CL360" s="48"/>
      <c r="CM360" s="48"/>
      <c r="CN360" s="48"/>
      <c r="CO360" s="48"/>
      <c r="CP360" s="48"/>
      <c r="CQ360" s="49"/>
    </row>
    <row r="361" spans="2:95" x14ac:dyDescent="0.25">
      <c r="B361" s="908"/>
      <c r="C361" s="48"/>
      <c r="D361" s="908"/>
      <c r="E361" s="48"/>
      <c r="F361" s="896"/>
      <c r="G361" s="896"/>
      <c r="H361" s="896"/>
      <c r="I361" s="898"/>
      <c r="J361" s="898"/>
      <c r="K361" s="898"/>
      <c r="L361" s="898"/>
      <c r="M361" s="898"/>
      <c r="N361" s="48"/>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48"/>
      <c r="BZ361" s="48"/>
      <c r="CA361" s="48"/>
      <c r="CB361" s="48"/>
      <c r="CC361" s="48"/>
      <c r="CD361" s="48"/>
      <c r="CE361" s="48"/>
      <c r="CF361" s="48"/>
      <c r="CG361" s="48"/>
      <c r="CH361" s="48"/>
      <c r="CI361" s="48"/>
      <c r="CJ361" s="48"/>
      <c r="CK361" s="48"/>
      <c r="CL361" s="48"/>
      <c r="CM361" s="48"/>
      <c r="CN361" s="48"/>
      <c r="CO361" s="48"/>
      <c r="CP361" s="48"/>
      <c r="CQ361" s="49"/>
    </row>
    <row r="362" spans="2:95" ht="16.5" thickBot="1" x14ac:dyDescent="0.3">
      <c r="B362" s="908"/>
      <c r="C362" s="48"/>
      <c r="D362" s="909"/>
      <c r="E362" s="48"/>
      <c r="F362" s="896"/>
      <c r="G362" s="896"/>
      <c r="H362" s="896"/>
      <c r="I362" s="898"/>
      <c r="J362" s="898"/>
      <c r="K362" s="898"/>
      <c r="L362" s="898"/>
      <c r="M362" s="898"/>
      <c r="N362" s="48"/>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48"/>
      <c r="BZ362" s="48"/>
      <c r="CA362" s="48"/>
      <c r="CB362" s="48"/>
      <c r="CC362" s="48"/>
      <c r="CD362" s="48"/>
      <c r="CE362" s="48"/>
      <c r="CF362" s="48"/>
      <c r="CG362" s="48"/>
      <c r="CH362" s="48"/>
      <c r="CI362" s="48"/>
      <c r="CJ362" s="48"/>
      <c r="CK362" s="48"/>
      <c r="CL362" s="48"/>
      <c r="CM362" s="48"/>
      <c r="CN362" s="48"/>
      <c r="CO362" s="48"/>
      <c r="CP362" s="48"/>
      <c r="CQ362" s="49"/>
    </row>
    <row r="363" spans="2:95" x14ac:dyDescent="0.25">
      <c r="B363" s="90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9"/>
    </row>
    <row r="364" spans="2:95" x14ac:dyDescent="0.25">
      <c r="B364" s="90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9"/>
    </row>
    <row r="365" spans="2:95" ht="16.5" thickBot="1" x14ac:dyDescent="0.3">
      <c r="B365" s="909"/>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52"/>
      <c r="CD365" s="52"/>
      <c r="CE365" s="52"/>
      <c r="CF365" s="52"/>
      <c r="CG365" s="52"/>
      <c r="CH365" s="52"/>
      <c r="CI365" s="52"/>
      <c r="CJ365" s="52"/>
      <c r="CK365" s="52"/>
      <c r="CL365" s="52"/>
      <c r="CM365" s="52"/>
      <c r="CN365" s="52"/>
      <c r="CO365" s="52"/>
      <c r="CP365" s="52"/>
      <c r="CQ365" s="53"/>
    </row>
    <row r="366" spans="2:95" x14ac:dyDescent="0.25">
      <c r="BX366" s="30"/>
      <c r="BY366" s="30"/>
      <c r="BZ366" s="30"/>
      <c r="CA366" s="30"/>
      <c r="CB366" s="30"/>
      <c r="CC366" s="30"/>
    </row>
    <row r="367" spans="2:95" x14ac:dyDescent="0.25">
      <c r="BX367" s="30"/>
      <c r="BY367" s="30"/>
      <c r="BZ367" s="30"/>
      <c r="CA367" s="30"/>
      <c r="CB367" s="30"/>
      <c r="CC367" s="30"/>
    </row>
    <row r="368" spans="2:95" x14ac:dyDescent="0.25">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0"/>
      <c r="BP368" s="30"/>
      <c r="BQ368" s="30"/>
      <c r="BR368" s="30"/>
      <c r="BS368" s="30"/>
    </row>
    <row r="369" spans="2:71" x14ac:dyDescent="0.25">
      <c r="D369" s="33"/>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0"/>
      <c r="BP369" s="30"/>
      <c r="BQ369" s="30"/>
      <c r="BR369" s="30"/>
      <c r="BS369" s="30"/>
    </row>
    <row r="370" spans="2:71" x14ac:dyDescent="0.25">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0"/>
      <c r="BP370" s="30"/>
      <c r="BQ370" s="30"/>
      <c r="BR370" s="30"/>
      <c r="BS370" s="30"/>
    </row>
    <row r="371" spans="2:71" x14ac:dyDescent="0.25">
      <c r="F371" s="32"/>
      <c r="G371" s="32"/>
      <c r="H371" s="32"/>
      <c r="I371" s="32"/>
      <c r="J371" s="32"/>
      <c r="K371" s="32"/>
      <c r="L371" s="32"/>
      <c r="M371" s="32"/>
      <c r="N371" s="32"/>
      <c r="O371" s="32"/>
      <c r="P371" s="32"/>
      <c r="Q371" s="32"/>
      <c r="R371" s="32"/>
      <c r="S371" s="32"/>
      <c r="T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0"/>
      <c r="BP371" s="30"/>
      <c r="BQ371" s="30"/>
      <c r="BR371" s="30"/>
      <c r="BS371" s="30"/>
    </row>
    <row r="372" spans="2:71" x14ac:dyDescent="0.25">
      <c r="F372" s="32"/>
      <c r="G372" s="32"/>
      <c r="H372" s="32"/>
      <c r="I372" s="32"/>
      <c r="J372" s="32"/>
      <c r="K372" s="32"/>
      <c r="L372" s="32"/>
      <c r="M372" s="32"/>
      <c r="N372" s="32"/>
      <c r="O372" s="32"/>
      <c r="P372" s="32"/>
      <c r="Q372" s="32"/>
      <c r="R372" s="32"/>
      <c r="S372" s="32"/>
      <c r="T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0"/>
      <c r="BP372" s="30"/>
      <c r="BQ372" s="30"/>
      <c r="BR372" s="30"/>
      <c r="BS372" s="30"/>
    </row>
    <row r="373" spans="2:71" ht="16.5" thickBot="1" x14ac:dyDescent="0.3">
      <c r="F373" s="32"/>
      <c r="G373" s="32"/>
      <c r="H373" s="32"/>
      <c r="I373" s="32"/>
      <c r="J373" s="32"/>
      <c r="K373" s="32"/>
      <c r="L373" s="32"/>
      <c r="M373" s="32"/>
      <c r="N373" s="32"/>
      <c r="O373" s="32"/>
      <c r="P373" s="32"/>
      <c r="Q373" s="32"/>
      <c r="R373" s="32"/>
      <c r="S373" s="32"/>
      <c r="T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0"/>
      <c r="BP373" s="30"/>
      <c r="BQ373" s="30"/>
      <c r="BR373" s="30"/>
      <c r="BS373" s="30"/>
    </row>
    <row r="374" spans="2:71" x14ac:dyDescent="0.25">
      <c r="B374" s="958" t="s">
        <v>335</v>
      </c>
      <c r="C374" s="959"/>
      <c r="D374" s="960"/>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5"/>
      <c r="AQ374" s="55"/>
      <c r="AR374" s="55"/>
      <c r="AS374" s="55"/>
      <c r="AT374" s="55"/>
      <c r="AU374" s="55"/>
      <c r="AV374" s="55"/>
      <c r="AW374" s="55"/>
      <c r="AX374" s="55"/>
      <c r="AY374" s="55"/>
      <c r="AZ374" s="55"/>
      <c r="BA374" s="55"/>
      <c r="BB374" s="55"/>
      <c r="BC374" s="55"/>
      <c r="BD374" s="55"/>
      <c r="BE374" s="55"/>
      <c r="BF374" s="55"/>
      <c r="BG374" s="56"/>
      <c r="BH374" s="32"/>
      <c r="BI374" s="32"/>
      <c r="BJ374" s="32"/>
      <c r="BK374" s="32"/>
      <c r="BL374" s="32"/>
      <c r="BM374" s="32"/>
      <c r="BN374" s="32"/>
      <c r="BO374" s="30"/>
      <c r="BP374" s="30"/>
      <c r="BQ374" s="30"/>
      <c r="BR374" s="30"/>
      <c r="BS374" s="30"/>
    </row>
    <row r="375" spans="2:71" x14ac:dyDescent="0.25">
      <c r="B375" s="961"/>
      <c r="C375" s="962"/>
      <c r="D375" s="963"/>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8"/>
      <c r="AQ375" s="58"/>
      <c r="AR375" s="58"/>
      <c r="AS375" s="58"/>
      <c r="AT375" s="58"/>
      <c r="AU375" s="58"/>
      <c r="AV375" s="58"/>
      <c r="AW375" s="58"/>
      <c r="AX375" s="58"/>
      <c r="AY375" s="58"/>
      <c r="AZ375" s="58"/>
      <c r="BA375" s="58"/>
      <c r="BB375" s="58"/>
      <c r="BC375" s="58"/>
      <c r="BD375" s="58"/>
      <c r="BE375" s="58"/>
      <c r="BF375" s="58"/>
      <c r="BG375" s="59"/>
      <c r="BH375" s="32"/>
      <c r="BI375" s="32"/>
      <c r="BJ375" s="32"/>
      <c r="BK375" s="32"/>
      <c r="BL375" s="32"/>
      <c r="BM375" s="32"/>
      <c r="BN375" s="32"/>
      <c r="BO375" s="30"/>
      <c r="BP375" s="30"/>
      <c r="BQ375" s="30"/>
      <c r="BR375" s="30"/>
      <c r="BS375" s="30"/>
    </row>
    <row r="376" spans="2:71" ht="15.75" customHeight="1" x14ac:dyDescent="0.25">
      <c r="B376" s="961"/>
      <c r="C376" s="962"/>
      <c r="D376" s="963"/>
      <c r="E376" s="57"/>
      <c r="F376" s="890" t="s">
        <v>8</v>
      </c>
      <c r="G376" s="890"/>
      <c r="H376" s="890"/>
      <c r="I376" s="890"/>
      <c r="J376" s="890"/>
      <c r="K376" s="890"/>
      <c r="L376" s="890"/>
      <c r="M376" s="890"/>
      <c r="N376" s="57"/>
      <c r="O376" s="890" t="s">
        <v>8</v>
      </c>
      <c r="P376" s="890"/>
      <c r="Q376" s="890"/>
      <c r="R376" s="890"/>
      <c r="S376" s="890"/>
      <c r="T376" s="890"/>
      <c r="U376" s="890"/>
      <c r="V376" s="890"/>
      <c r="W376" s="57"/>
      <c r="X376" s="890" t="s">
        <v>8</v>
      </c>
      <c r="Y376" s="890"/>
      <c r="Z376" s="890"/>
      <c r="AA376" s="890"/>
      <c r="AB376" s="890"/>
      <c r="AC376" s="890"/>
      <c r="AD376" s="890"/>
      <c r="AE376" s="890"/>
      <c r="AF376" s="57"/>
      <c r="AG376" s="890" t="s">
        <v>8</v>
      </c>
      <c r="AH376" s="890"/>
      <c r="AI376" s="890"/>
      <c r="AJ376" s="890"/>
      <c r="AK376" s="890"/>
      <c r="AL376" s="890"/>
      <c r="AM376" s="890"/>
      <c r="AN376" s="890"/>
      <c r="AO376" s="57"/>
      <c r="AP376" s="890" t="s">
        <v>8</v>
      </c>
      <c r="AQ376" s="890"/>
      <c r="AR376" s="890"/>
      <c r="AS376" s="890"/>
      <c r="AT376" s="890"/>
      <c r="AU376" s="890"/>
      <c r="AV376" s="890"/>
      <c r="AW376" s="890"/>
      <c r="AX376" s="58"/>
      <c r="AY376" s="890" t="s">
        <v>8</v>
      </c>
      <c r="AZ376" s="890"/>
      <c r="BA376" s="890"/>
      <c r="BB376" s="890"/>
      <c r="BC376" s="890"/>
      <c r="BD376" s="890"/>
      <c r="BE376" s="890"/>
      <c r="BF376" s="890"/>
      <c r="BG376" s="59"/>
      <c r="BH376" s="32"/>
      <c r="BI376" s="32"/>
      <c r="BJ376" s="32"/>
      <c r="BK376" s="32"/>
      <c r="BL376" s="32"/>
      <c r="BM376" s="32"/>
      <c r="BN376" s="32"/>
      <c r="BO376" s="30"/>
      <c r="BP376" s="30"/>
      <c r="BQ376" s="30"/>
      <c r="BR376" s="30"/>
      <c r="BS376" s="30"/>
    </row>
    <row r="377" spans="2:71" x14ac:dyDescent="0.25">
      <c r="B377" s="961"/>
      <c r="C377" s="962"/>
      <c r="D377" s="963"/>
      <c r="E377" s="57"/>
      <c r="F377" s="891" t="s">
        <v>0</v>
      </c>
      <c r="G377" s="891"/>
      <c r="H377" s="891"/>
      <c r="I377" s="891" t="s">
        <v>1</v>
      </c>
      <c r="J377" s="891"/>
      <c r="K377" s="891"/>
      <c r="L377" s="891"/>
      <c r="M377" s="891"/>
      <c r="N377" s="57"/>
      <c r="O377" s="891" t="s">
        <v>0</v>
      </c>
      <c r="P377" s="891"/>
      <c r="Q377" s="891"/>
      <c r="R377" s="891" t="s">
        <v>1</v>
      </c>
      <c r="S377" s="891"/>
      <c r="T377" s="891"/>
      <c r="U377" s="891"/>
      <c r="V377" s="891"/>
      <c r="W377" s="57"/>
      <c r="X377" s="891" t="s">
        <v>0</v>
      </c>
      <c r="Y377" s="891"/>
      <c r="Z377" s="891"/>
      <c r="AA377" s="891" t="s">
        <v>1</v>
      </c>
      <c r="AB377" s="891"/>
      <c r="AC377" s="891"/>
      <c r="AD377" s="891"/>
      <c r="AE377" s="891"/>
      <c r="AF377" s="57"/>
      <c r="AG377" s="891" t="s">
        <v>0</v>
      </c>
      <c r="AH377" s="891"/>
      <c r="AI377" s="891"/>
      <c r="AJ377" s="891" t="s">
        <v>1</v>
      </c>
      <c r="AK377" s="891"/>
      <c r="AL377" s="891"/>
      <c r="AM377" s="891"/>
      <c r="AN377" s="891"/>
      <c r="AO377" s="57"/>
      <c r="AP377" s="891" t="s">
        <v>0</v>
      </c>
      <c r="AQ377" s="891"/>
      <c r="AR377" s="891"/>
      <c r="AS377" s="891" t="s">
        <v>1</v>
      </c>
      <c r="AT377" s="891"/>
      <c r="AU377" s="891"/>
      <c r="AV377" s="891"/>
      <c r="AW377" s="891"/>
      <c r="AX377" s="58"/>
      <c r="AY377" s="891" t="s">
        <v>0</v>
      </c>
      <c r="AZ377" s="891"/>
      <c r="BA377" s="891"/>
      <c r="BB377" s="891" t="s">
        <v>1</v>
      </c>
      <c r="BC377" s="891"/>
      <c r="BD377" s="891"/>
      <c r="BE377" s="891"/>
      <c r="BF377" s="891"/>
      <c r="BG377" s="59"/>
      <c r="BH377" s="32"/>
      <c r="BI377" s="32"/>
      <c r="BJ377" s="32"/>
      <c r="BK377" s="32"/>
      <c r="BL377" s="32"/>
      <c r="BM377" s="32"/>
      <c r="BN377" s="32"/>
      <c r="BO377" s="30"/>
      <c r="BP377" s="30"/>
      <c r="BQ377" s="30"/>
      <c r="BR377" s="30"/>
      <c r="BS377" s="30"/>
    </row>
    <row r="378" spans="2:71" x14ac:dyDescent="0.25">
      <c r="B378" s="961"/>
      <c r="C378" s="962"/>
      <c r="D378" s="963"/>
      <c r="E378" s="57"/>
      <c r="F378" s="892" t="s">
        <v>2</v>
      </c>
      <c r="G378" s="892"/>
      <c r="H378" s="892"/>
      <c r="I378" s="893" t="s">
        <v>227</v>
      </c>
      <c r="J378" s="893"/>
      <c r="K378" s="893"/>
      <c r="L378" s="893"/>
      <c r="M378" s="893"/>
      <c r="N378" s="57"/>
      <c r="O378" s="892" t="s">
        <v>2</v>
      </c>
      <c r="P378" s="892"/>
      <c r="Q378" s="892"/>
      <c r="R378" s="893" t="s">
        <v>229</v>
      </c>
      <c r="S378" s="893"/>
      <c r="T378" s="893"/>
      <c r="U378" s="893"/>
      <c r="V378" s="893"/>
      <c r="W378" s="57"/>
      <c r="X378" s="892" t="s">
        <v>2</v>
      </c>
      <c r="Y378" s="892"/>
      <c r="Z378" s="892"/>
      <c r="AA378" s="893" t="s">
        <v>232</v>
      </c>
      <c r="AB378" s="893"/>
      <c r="AC378" s="893"/>
      <c r="AD378" s="893"/>
      <c r="AE378" s="893"/>
      <c r="AF378" s="57"/>
      <c r="AG378" s="892" t="s">
        <v>2</v>
      </c>
      <c r="AH378" s="892"/>
      <c r="AI378" s="892"/>
      <c r="AJ378" s="893" t="s">
        <v>236</v>
      </c>
      <c r="AK378" s="893"/>
      <c r="AL378" s="893"/>
      <c r="AM378" s="893"/>
      <c r="AN378" s="893"/>
      <c r="AO378" s="57"/>
      <c r="AP378" s="892" t="s">
        <v>2</v>
      </c>
      <c r="AQ378" s="892"/>
      <c r="AR378" s="892"/>
      <c r="AS378" s="893" t="s">
        <v>1293</v>
      </c>
      <c r="AT378" s="893"/>
      <c r="AU378" s="893"/>
      <c r="AV378" s="893"/>
      <c r="AW378" s="893"/>
      <c r="AX378" s="58"/>
      <c r="AY378" s="892" t="s">
        <v>2</v>
      </c>
      <c r="AZ378" s="892"/>
      <c r="BA378" s="892"/>
      <c r="BB378" s="893" t="s">
        <v>1332</v>
      </c>
      <c r="BC378" s="893"/>
      <c r="BD378" s="893"/>
      <c r="BE378" s="893"/>
      <c r="BF378" s="893"/>
      <c r="BG378" s="59"/>
      <c r="BH378" s="32"/>
      <c r="BI378" s="32"/>
      <c r="BJ378" s="32"/>
      <c r="BK378" s="32"/>
      <c r="BL378" s="32"/>
      <c r="BM378" s="32"/>
      <c r="BN378" s="32"/>
      <c r="BO378" s="30"/>
      <c r="BP378" s="30"/>
      <c r="BQ378" s="30"/>
      <c r="BR378" s="30"/>
      <c r="BS378" s="30"/>
    </row>
    <row r="379" spans="2:71" x14ac:dyDescent="0.25">
      <c r="B379" s="961"/>
      <c r="C379" s="962"/>
      <c r="D379" s="963"/>
      <c r="E379" s="57"/>
      <c r="F379" s="892"/>
      <c r="G379" s="892"/>
      <c r="H379" s="892"/>
      <c r="I379" s="893"/>
      <c r="J379" s="893"/>
      <c r="K379" s="893"/>
      <c r="L379" s="893"/>
      <c r="M379" s="893"/>
      <c r="N379" s="57"/>
      <c r="O379" s="892"/>
      <c r="P379" s="892"/>
      <c r="Q379" s="892"/>
      <c r="R379" s="893"/>
      <c r="S379" s="893"/>
      <c r="T379" s="893"/>
      <c r="U379" s="893"/>
      <c r="V379" s="893"/>
      <c r="W379" s="57"/>
      <c r="X379" s="892"/>
      <c r="Y379" s="892"/>
      <c r="Z379" s="892"/>
      <c r="AA379" s="893"/>
      <c r="AB379" s="893"/>
      <c r="AC379" s="893"/>
      <c r="AD379" s="893"/>
      <c r="AE379" s="893"/>
      <c r="AF379" s="57"/>
      <c r="AG379" s="892"/>
      <c r="AH379" s="892"/>
      <c r="AI379" s="892"/>
      <c r="AJ379" s="893"/>
      <c r="AK379" s="893"/>
      <c r="AL379" s="893"/>
      <c r="AM379" s="893"/>
      <c r="AN379" s="893"/>
      <c r="AO379" s="57"/>
      <c r="AP379" s="892"/>
      <c r="AQ379" s="892"/>
      <c r="AR379" s="892"/>
      <c r="AS379" s="893"/>
      <c r="AT379" s="893"/>
      <c r="AU379" s="893"/>
      <c r="AV379" s="893"/>
      <c r="AW379" s="893"/>
      <c r="AX379" s="58"/>
      <c r="AY379" s="892"/>
      <c r="AZ379" s="892"/>
      <c r="BA379" s="892"/>
      <c r="BB379" s="893"/>
      <c r="BC379" s="893"/>
      <c r="BD379" s="893"/>
      <c r="BE379" s="893"/>
      <c r="BF379" s="893"/>
      <c r="BG379" s="59"/>
      <c r="BH379" s="32"/>
      <c r="BI379" s="32"/>
      <c r="BJ379" s="32"/>
      <c r="BK379" s="32"/>
      <c r="BL379" s="32"/>
      <c r="BM379" s="32"/>
      <c r="BN379" s="32"/>
      <c r="BO379" s="30"/>
      <c r="BP379" s="30"/>
      <c r="BQ379" s="30"/>
      <c r="BR379" s="30"/>
      <c r="BS379" s="30"/>
    </row>
    <row r="380" spans="2:71" x14ac:dyDescent="0.25">
      <c r="B380" s="961"/>
      <c r="C380" s="962"/>
      <c r="D380" s="963"/>
      <c r="E380" s="57"/>
      <c r="F380" s="892"/>
      <c r="G380" s="892"/>
      <c r="H380" s="892"/>
      <c r="I380" s="893"/>
      <c r="J380" s="893"/>
      <c r="K380" s="893"/>
      <c r="L380" s="893"/>
      <c r="M380" s="893"/>
      <c r="N380" s="57"/>
      <c r="O380" s="892"/>
      <c r="P380" s="892"/>
      <c r="Q380" s="892"/>
      <c r="R380" s="893"/>
      <c r="S380" s="893"/>
      <c r="T380" s="893"/>
      <c r="U380" s="893"/>
      <c r="V380" s="893"/>
      <c r="W380" s="57"/>
      <c r="X380" s="892"/>
      <c r="Y380" s="892"/>
      <c r="Z380" s="892"/>
      <c r="AA380" s="893"/>
      <c r="AB380" s="893"/>
      <c r="AC380" s="893"/>
      <c r="AD380" s="893"/>
      <c r="AE380" s="893"/>
      <c r="AF380" s="57"/>
      <c r="AG380" s="892"/>
      <c r="AH380" s="892"/>
      <c r="AI380" s="892"/>
      <c r="AJ380" s="893"/>
      <c r="AK380" s="893"/>
      <c r="AL380" s="893"/>
      <c r="AM380" s="893"/>
      <c r="AN380" s="893"/>
      <c r="AO380" s="57"/>
      <c r="AP380" s="892"/>
      <c r="AQ380" s="892"/>
      <c r="AR380" s="892"/>
      <c r="AS380" s="893"/>
      <c r="AT380" s="893"/>
      <c r="AU380" s="893"/>
      <c r="AV380" s="893"/>
      <c r="AW380" s="893"/>
      <c r="AX380" s="58"/>
      <c r="AY380" s="892"/>
      <c r="AZ380" s="892"/>
      <c r="BA380" s="892"/>
      <c r="BB380" s="893"/>
      <c r="BC380" s="893"/>
      <c r="BD380" s="893"/>
      <c r="BE380" s="893"/>
      <c r="BF380" s="893"/>
      <c r="BG380" s="59"/>
      <c r="BH380" s="32"/>
      <c r="BI380" s="32"/>
      <c r="BJ380" s="32"/>
      <c r="BK380" s="32"/>
      <c r="BL380" s="32"/>
      <c r="BM380" s="32"/>
      <c r="BN380" s="32"/>
      <c r="BO380" s="30"/>
      <c r="BP380" s="30"/>
      <c r="BQ380" s="30"/>
      <c r="BR380" s="30"/>
      <c r="BS380" s="30"/>
    </row>
    <row r="381" spans="2:71" x14ac:dyDescent="0.25">
      <c r="B381" s="961"/>
      <c r="C381" s="962"/>
      <c r="D381" s="963"/>
      <c r="E381" s="57"/>
      <c r="F381" s="891" t="s">
        <v>0</v>
      </c>
      <c r="G381" s="891"/>
      <c r="H381" s="891"/>
      <c r="I381" s="891" t="s">
        <v>1</v>
      </c>
      <c r="J381" s="891"/>
      <c r="K381" s="891"/>
      <c r="L381" s="891"/>
      <c r="M381" s="891"/>
      <c r="N381" s="57"/>
      <c r="O381" s="891" t="s">
        <v>0</v>
      </c>
      <c r="P381" s="891"/>
      <c r="Q381" s="891"/>
      <c r="R381" s="891" t="s">
        <v>1</v>
      </c>
      <c r="S381" s="891"/>
      <c r="T381" s="891"/>
      <c r="U381" s="891"/>
      <c r="V381" s="891"/>
      <c r="W381" s="57"/>
      <c r="X381" s="891" t="s">
        <v>0</v>
      </c>
      <c r="Y381" s="891"/>
      <c r="Z381" s="891"/>
      <c r="AA381" s="891" t="s">
        <v>1</v>
      </c>
      <c r="AB381" s="891"/>
      <c r="AC381" s="891"/>
      <c r="AD381" s="891"/>
      <c r="AE381" s="891"/>
      <c r="AF381" s="57"/>
      <c r="AG381" s="891" t="s">
        <v>0</v>
      </c>
      <c r="AH381" s="891"/>
      <c r="AI381" s="891"/>
      <c r="AJ381" s="891" t="s">
        <v>1</v>
      </c>
      <c r="AK381" s="891"/>
      <c r="AL381" s="891"/>
      <c r="AM381" s="891"/>
      <c r="AN381" s="891"/>
      <c r="AO381" s="57"/>
      <c r="AP381" s="891" t="s">
        <v>0</v>
      </c>
      <c r="AQ381" s="891"/>
      <c r="AR381" s="891"/>
      <c r="AS381" s="891" t="s">
        <v>1</v>
      </c>
      <c r="AT381" s="891"/>
      <c r="AU381" s="891"/>
      <c r="AV381" s="891"/>
      <c r="AW381" s="891"/>
      <c r="AX381" s="58"/>
      <c r="AY381" s="891" t="s">
        <v>0</v>
      </c>
      <c r="AZ381" s="891"/>
      <c r="BA381" s="891"/>
      <c r="BB381" s="891" t="s">
        <v>1</v>
      </c>
      <c r="BC381" s="891"/>
      <c r="BD381" s="891"/>
      <c r="BE381" s="891"/>
      <c r="BF381" s="891"/>
      <c r="BG381" s="59"/>
      <c r="BH381" s="32"/>
      <c r="BI381" s="32"/>
      <c r="BJ381" s="32"/>
      <c r="BK381" s="32"/>
      <c r="BL381" s="32"/>
      <c r="BM381" s="32"/>
      <c r="BN381" s="32"/>
    </row>
    <row r="382" spans="2:71" x14ac:dyDescent="0.25">
      <c r="B382" s="961"/>
      <c r="C382" s="962"/>
      <c r="D382" s="963"/>
      <c r="E382" s="57"/>
      <c r="F382" s="892" t="s">
        <v>3</v>
      </c>
      <c r="G382" s="892"/>
      <c r="H382" s="892"/>
      <c r="I382" s="894" t="s">
        <v>227</v>
      </c>
      <c r="J382" s="893"/>
      <c r="K382" s="893"/>
      <c r="L382" s="893"/>
      <c r="M382" s="893"/>
      <c r="N382" s="57"/>
      <c r="O382" s="892" t="s">
        <v>3</v>
      </c>
      <c r="P382" s="892"/>
      <c r="Q382" s="892"/>
      <c r="R382" s="894" t="s">
        <v>230</v>
      </c>
      <c r="S382" s="893"/>
      <c r="T382" s="893"/>
      <c r="U382" s="893"/>
      <c r="V382" s="893"/>
      <c r="W382" s="57"/>
      <c r="X382" s="892" t="s">
        <v>3</v>
      </c>
      <c r="Y382" s="892"/>
      <c r="Z382" s="892"/>
      <c r="AA382" s="894" t="s">
        <v>233</v>
      </c>
      <c r="AB382" s="893"/>
      <c r="AC382" s="893"/>
      <c r="AD382" s="893"/>
      <c r="AE382" s="893"/>
      <c r="AF382" s="57"/>
      <c r="AG382" s="892" t="s">
        <v>3</v>
      </c>
      <c r="AH382" s="892"/>
      <c r="AI382" s="892"/>
      <c r="AJ382" s="894" t="s">
        <v>237</v>
      </c>
      <c r="AK382" s="893"/>
      <c r="AL382" s="893"/>
      <c r="AM382" s="893"/>
      <c r="AN382" s="893"/>
      <c r="AO382" s="57"/>
      <c r="AP382" s="892" t="s">
        <v>3</v>
      </c>
      <c r="AQ382" s="892"/>
      <c r="AR382" s="892"/>
      <c r="AS382" s="894" t="s">
        <v>1294</v>
      </c>
      <c r="AT382" s="893"/>
      <c r="AU382" s="893"/>
      <c r="AV382" s="893"/>
      <c r="AW382" s="893"/>
      <c r="AX382" s="58"/>
      <c r="AY382" s="892" t="s">
        <v>3</v>
      </c>
      <c r="AZ382" s="892"/>
      <c r="BA382" s="892"/>
      <c r="BB382" s="894" t="s">
        <v>1333</v>
      </c>
      <c r="BC382" s="893"/>
      <c r="BD382" s="893"/>
      <c r="BE382" s="893"/>
      <c r="BF382" s="893"/>
      <c r="BG382" s="59"/>
      <c r="BH382" s="32"/>
      <c r="BI382" s="32"/>
      <c r="BJ382" s="32"/>
      <c r="BK382" s="32"/>
      <c r="BL382" s="32"/>
      <c r="BM382" s="32"/>
      <c r="BN382" s="32"/>
    </row>
    <row r="383" spans="2:71" x14ac:dyDescent="0.25">
      <c r="B383" s="961"/>
      <c r="C383" s="962"/>
      <c r="D383" s="963"/>
      <c r="E383" s="57"/>
      <c r="F383" s="892"/>
      <c r="G383" s="892"/>
      <c r="H383" s="892"/>
      <c r="I383" s="893"/>
      <c r="J383" s="893"/>
      <c r="K383" s="893"/>
      <c r="L383" s="893"/>
      <c r="M383" s="893"/>
      <c r="N383" s="57"/>
      <c r="O383" s="892"/>
      <c r="P383" s="892"/>
      <c r="Q383" s="892"/>
      <c r="R383" s="893"/>
      <c r="S383" s="893"/>
      <c r="T383" s="893"/>
      <c r="U383" s="893"/>
      <c r="V383" s="893"/>
      <c r="W383" s="57"/>
      <c r="X383" s="892"/>
      <c r="Y383" s="892"/>
      <c r="Z383" s="892"/>
      <c r="AA383" s="893"/>
      <c r="AB383" s="893"/>
      <c r="AC383" s="893"/>
      <c r="AD383" s="893"/>
      <c r="AE383" s="893"/>
      <c r="AF383" s="57"/>
      <c r="AG383" s="892"/>
      <c r="AH383" s="892"/>
      <c r="AI383" s="892"/>
      <c r="AJ383" s="893"/>
      <c r="AK383" s="893"/>
      <c r="AL383" s="893"/>
      <c r="AM383" s="893"/>
      <c r="AN383" s="893"/>
      <c r="AO383" s="57"/>
      <c r="AP383" s="892"/>
      <c r="AQ383" s="892"/>
      <c r="AR383" s="892"/>
      <c r="AS383" s="893"/>
      <c r="AT383" s="893"/>
      <c r="AU383" s="893"/>
      <c r="AV383" s="893"/>
      <c r="AW383" s="893"/>
      <c r="AX383" s="58"/>
      <c r="AY383" s="892"/>
      <c r="AZ383" s="892"/>
      <c r="BA383" s="892"/>
      <c r="BB383" s="893"/>
      <c r="BC383" s="893"/>
      <c r="BD383" s="893"/>
      <c r="BE383" s="893"/>
      <c r="BF383" s="893"/>
      <c r="BG383" s="59"/>
      <c r="BH383" s="32"/>
      <c r="BI383" s="32"/>
      <c r="BJ383" s="32"/>
      <c r="BK383" s="32"/>
      <c r="BL383" s="32"/>
      <c r="BM383" s="32"/>
      <c r="BN383" s="32"/>
    </row>
    <row r="384" spans="2:71" x14ac:dyDescent="0.25">
      <c r="B384" s="961"/>
      <c r="C384" s="962"/>
      <c r="D384" s="963"/>
      <c r="E384" s="57"/>
      <c r="F384" s="892"/>
      <c r="G384" s="892"/>
      <c r="H384" s="892"/>
      <c r="I384" s="893"/>
      <c r="J384" s="893"/>
      <c r="K384" s="893"/>
      <c r="L384" s="893"/>
      <c r="M384" s="893"/>
      <c r="N384" s="57"/>
      <c r="O384" s="892"/>
      <c r="P384" s="892"/>
      <c r="Q384" s="892"/>
      <c r="R384" s="893"/>
      <c r="S384" s="893"/>
      <c r="T384" s="893"/>
      <c r="U384" s="893"/>
      <c r="V384" s="893"/>
      <c r="W384" s="57"/>
      <c r="X384" s="892"/>
      <c r="Y384" s="892"/>
      <c r="Z384" s="892"/>
      <c r="AA384" s="893"/>
      <c r="AB384" s="893"/>
      <c r="AC384" s="893"/>
      <c r="AD384" s="893"/>
      <c r="AE384" s="893"/>
      <c r="AF384" s="57"/>
      <c r="AG384" s="892"/>
      <c r="AH384" s="892"/>
      <c r="AI384" s="892"/>
      <c r="AJ384" s="893"/>
      <c r="AK384" s="893"/>
      <c r="AL384" s="893"/>
      <c r="AM384" s="893"/>
      <c r="AN384" s="893"/>
      <c r="AO384" s="57"/>
      <c r="AP384" s="892"/>
      <c r="AQ384" s="892"/>
      <c r="AR384" s="892"/>
      <c r="AS384" s="893"/>
      <c r="AT384" s="893"/>
      <c r="AU384" s="893"/>
      <c r="AV384" s="893"/>
      <c r="AW384" s="893"/>
      <c r="AX384" s="58"/>
      <c r="AY384" s="892"/>
      <c r="AZ384" s="892"/>
      <c r="BA384" s="892"/>
      <c r="BB384" s="893"/>
      <c r="BC384" s="893"/>
      <c r="BD384" s="893"/>
      <c r="BE384" s="893"/>
      <c r="BF384" s="893"/>
      <c r="BG384" s="59"/>
      <c r="BH384" s="32"/>
      <c r="BI384" s="32"/>
      <c r="BJ384" s="32"/>
      <c r="BK384" s="32"/>
      <c r="BL384" s="32"/>
      <c r="BM384" s="32"/>
      <c r="BN384" s="32"/>
    </row>
    <row r="385" spans="2:66" x14ac:dyDescent="0.25">
      <c r="B385" s="961"/>
      <c r="C385" s="962"/>
      <c r="D385" s="963"/>
      <c r="E385" s="57"/>
      <c r="F385" s="892" t="s">
        <v>4</v>
      </c>
      <c r="G385" s="892"/>
      <c r="H385" s="892"/>
      <c r="I385" s="893" t="s">
        <v>15</v>
      </c>
      <c r="J385" s="893"/>
      <c r="K385" s="893"/>
      <c r="L385" s="893"/>
      <c r="M385" s="893"/>
      <c r="N385" s="57"/>
      <c r="O385" s="892" t="s">
        <v>4</v>
      </c>
      <c r="P385" s="892"/>
      <c r="Q385" s="892"/>
      <c r="R385" s="893" t="s">
        <v>15</v>
      </c>
      <c r="S385" s="893"/>
      <c r="T385" s="893"/>
      <c r="U385" s="893"/>
      <c r="V385" s="893"/>
      <c r="W385" s="57"/>
      <c r="X385" s="892" t="s">
        <v>4</v>
      </c>
      <c r="Y385" s="892"/>
      <c r="Z385" s="892"/>
      <c r="AA385" s="893" t="s">
        <v>15</v>
      </c>
      <c r="AB385" s="893"/>
      <c r="AC385" s="893"/>
      <c r="AD385" s="893"/>
      <c r="AE385" s="893"/>
      <c r="AF385" s="57"/>
      <c r="AG385" s="892" t="s">
        <v>4</v>
      </c>
      <c r="AH385" s="892"/>
      <c r="AI385" s="892"/>
      <c r="AJ385" s="893" t="s">
        <v>15</v>
      </c>
      <c r="AK385" s="893"/>
      <c r="AL385" s="893"/>
      <c r="AM385" s="893"/>
      <c r="AN385" s="893"/>
      <c r="AO385" s="57"/>
      <c r="AP385" s="892" t="s">
        <v>4</v>
      </c>
      <c r="AQ385" s="892"/>
      <c r="AR385" s="892"/>
      <c r="AS385" s="893" t="s">
        <v>15</v>
      </c>
      <c r="AT385" s="893"/>
      <c r="AU385" s="893"/>
      <c r="AV385" s="893"/>
      <c r="AW385" s="893"/>
      <c r="AX385" s="58"/>
      <c r="AY385" s="892" t="s">
        <v>4</v>
      </c>
      <c r="AZ385" s="892"/>
      <c r="BA385" s="892"/>
      <c r="BB385" s="893" t="s">
        <v>15</v>
      </c>
      <c r="BC385" s="893"/>
      <c r="BD385" s="893"/>
      <c r="BE385" s="893"/>
      <c r="BF385" s="893"/>
      <c r="BG385" s="59"/>
      <c r="BH385" s="32"/>
      <c r="BI385" s="32"/>
      <c r="BJ385" s="32"/>
      <c r="BK385" s="32"/>
      <c r="BL385" s="32"/>
      <c r="BM385" s="32"/>
      <c r="BN385" s="32"/>
    </row>
    <row r="386" spans="2:66" x14ac:dyDescent="0.25">
      <c r="B386" s="961"/>
      <c r="C386" s="962"/>
      <c r="D386" s="963"/>
      <c r="E386" s="57"/>
      <c r="F386" s="892"/>
      <c r="G386" s="892"/>
      <c r="H386" s="892"/>
      <c r="I386" s="893"/>
      <c r="J386" s="893"/>
      <c r="K386" s="893"/>
      <c r="L386" s="893"/>
      <c r="M386" s="893"/>
      <c r="N386" s="57"/>
      <c r="O386" s="892"/>
      <c r="P386" s="892"/>
      <c r="Q386" s="892"/>
      <c r="R386" s="893"/>
      <c r="S386" s="893"/>
      <c r="T386" s="893"/>
      <c r="U386" s="893"/>
      <c r="V386" s="893"/>
      <c r="W386" s="57"/>
      <c r="X386" s="892"/>
      <c r="Y386" s="892"/>
      <c r="Z386" s="892"/>
      <c r="AA386" s="893"/>
      <c r="AB386" s="893"/>
      <c r="AC386" s="893"/>
      <c r="AD386" s="893"/>
      <c r="AE386" s="893"/>
      <c r="AF386" s="57"/>
      <c r="AG386" s="892"/>
      <c r="AH386" s="892"/>
      <c r="AI386" s="892"/>
      <c r="AJ386" s="893"/>
      <c r="AK386" s="893"/>
      <c r="AL386" s="893"/>
      <c r="AM386" s="893"/>
      <c r="AN386" s="893"/>
      <c r="AO386" s="57"/>
      <c r="AP386" s="892"/>
      <c r="AQ386" s="892"/>
      <c r="AR386" s="892"/>
      <c r="AS386" s="893"/>
      <c r="AT386" s="893"/>
      <c r="AU386" s="893"/>
      <c r="AV386" s="893"/>
      <c r="AW386" s="893"/>
      <c r="AX386" s="58"/>
      <c r="AY386" s="892"/>
      <c r="AZ386" s="892"/>
      <c r="BA386" s="892"/>
      <c r="BB386" s="893"/>
      <c r="BC386" s="893"/>
      <c r="BD386" s="893"/>
      <c r="BE386" s="893"/>
      <c r="BF386" s="893"/>
      <c r="BG386" s="59"/>
      <c r="BH386" s="32"/>
      <c r="BI386" s="32"/>
      <c r="BJ386" s="32"/>
      <c r="BK386" s="32"/>
      <c r="BL386" s="32"/>
      <c r="BM386" s="32"/>
      <c r="BN386" s="32"/>
    </row>
    <row r="387" spans="2:66" x14ac:dyDescent="0.25">
      <c r="B387" s="961"/>
      <c r="C387" s="962"/>
      <c r="D387" s="963"/>
      <c r="E387" s="57"/>
      <c r="F387" s="892"/>
      <c r="G387" s="892"/>
      <c r="H387" s="892"/>
      <c r="I387" s="893"/>
      <c r="J387" s="893"/>
      <c r="K387" s="893"/>
      <c r="L387" s="893"/>
      <c r="M387" s="893"/>
      <c r="N387" s="57"/>
      <c r="O387" s="892"/>
      <c r="P387" s="892"/>
      <c r="Q387" s="892"/>
      <c r="R387" s="893"/>
      <c r="S387" s="893"/>
      <c r="T387" s="893"/>
      <c r="U387" s="893"/>
      <c r="V387" s="893"/>
      <c r="W387" s="57"/>
      <c r="X387" s="892"/>
      <c r="Y387" s="892"/>
      <c r="Z387" s="892"/>
      <c r="AA387" s="893"/>
      <c r="AB387" s="893"/>
      <c r="AC387" s="893"/>
      <c r="AD387" s="893"/>
      <c r="AE387" s="893"/>
      <c r="AF387" s="57"/>
      <c r="AG387" s="892"/>
      <c r="AH387" s="892"/>
      <c r="AI387" s="892"/>
      <c r="AJ387" s="893"/>
      <c r="AK387" s="893"/>
      <c r="AL387" s="893"/>
      <c r="AM387" s="893"/>
      <c r="AN387" s="893"/>
      <c r="AO387" s="57"/>
      <c r="AP387" s="892"/>
      <c r="AQ387" s="892"/>
      <c r="AR387" s="892"/>
      <c r="AS387" s="893"/>
      <c r="AT387" s="893"/>
      <c r="AU387" s="893"/>
      <c r="AV387" s="893"/>
      <c r="AW387" s="893"/>
      <c r="AX387" s="58"/>
      <c r="AY387" s="892"/>
      <c r="AZ387" s="892"/>
      <c r="BA387" s="892"/>
      <c r="BB387" s="893"/>
      <c r="BC387" s="893"/>
      <c r="BD387" s="893"/>
      <c r="BE387" s="893"/>
      <c r="BF387" s="893"/>
      <c r="BG387" s="59"/>
      <c r="BH387" s="32"/>
      <c r="BI387" s="32"/>
      <c r="BJ387" s="32"/>
      <c r="BK387" s="32"/>
      <c r="BL387" s="32"/>
      <c r="BM387" s="32"/>
      <c r="BN387" s="32"/>
    </row>
    <row r="388" spans="2:66" x14ac:dyDescent="0.25">
      <c r="B388" s="961"/>
      <c r="C388" s="962"/>
      <c r="D388" s="963"/>
      <c r="E388" s="57"/>
      <c r="F388" s="892" t="s">
        <v>5</v>
      </c>
      <c r="G388" s="892"/>
      <c r="H388" s="892"/>
      <c r="I388" s="893" t="s">
        <v>228</v>
      </c>
      <c r="J388" s="893"/>
      <c r="K388" s="893"/>
      <c r="L388" s="893"/>
      <c r="M388" s="893"/>
      <c r="N388" s="57"/>
      <c r="O388" s="892" t="s">
        <v>5</v>
      </c>
      <c r="P388" s="892"/>
      <c r="Q388" s="892"/>
      <c r="R388" s="893" t="s">
        <v>231</v>
      </c>
      <c r="S388" s="893"/>
      <c r="T388" s="893"/>
      <c r="U388" s="893"/>
      <c r="V388" s="893"/>
      <c r="W388" s="57"/>
      <c r="X388" s="892" t="s">
        <v>5</v>
      </c>
      <c r="Y388" s="892"/>
      <c r="Z388" s="892"/>
      <c r="AA388" s="893" t="s">
        <v>234</v>
      </c>
      <c r="AB388" s="893"/>
      <c r="AC388" s="893"/>
      <c r="AD388" s="893"/>
      <c r="AE388" s="893"/>
      <c r="AF388" s="57"/>
      <c r="AG388" s="892" t="s">
        <v>5</v>
      </c>
      <c r="AH388" s="892"/>
      <c r="AI388" s="892"/>
      <c r="AJ388" s="893" t="s">
        <v>238</v>
      </c>
      <c r="AK388" s="893"/>
      <c r="AL388" s="893"/>
      <c r="AM388" s="893"/>
      <c r="AN388" s="893"/>
      <c r="AO388" s="57"/>
      <c r="AP388" s="892" t="s">
        <v>5</v>
      </c>
      <c r="AQ388" s="892"/>
      <c r="AR388" s="892"/>
      <c r="AS388" s="893" t="s">
        <v>1295</v>
      </c>
      <c r="AT388" s="893"/>
      <c r="AU388" s="893"/>
      <c r="AV388" s="893"/>
      <c r="AW388" s="893"/>
      <c r="AX388" s="58"/>
      <c r="AY388" s="892" t="s">
        <v>5</v>
      </c>
      <c r="AZ388" s="892"/>
      <c r="BA388" s="892"/>
      <c r="BB388" s="893" t="s">
        <v>1334</v>
      </c>
      <c r="BC388" s="893"/>
      <c r="BD388" s="893"/>
      <c r="BE388" s="893"/>
      <c r="BF388" s="893"/>
      <c r="BG388" s="59"/>
      <c r="BH388" s="32"/>
      <c r="BI388" s="32"/>
      <c r="BJ388" s="32"/>
      <c r="BK388" s="32"/>
      <c r="BL388" s="32"/>
      <c r="BM388" s="32"/>
      <c r="BN388" s="32"/>
    </row>
    <row r="389" spans="2:66" x14ac:dyDescent="0.25">
      <c r="B389" s="961"/>
      <c r="C389" s="962"/>
      <c r="D389" s="963"/>
      <c r="E389" s="57"/>
      <c r="F389" s="892"/>
      <c r="G389" s="892"/>
      <c r="H389" s="892"/>
      <c r="I389" s="893"/>
      <c r="J389" s="893"/>
      <c r="K389" s="893"/>
      <c r="L389" s="893"/>
      <c r="M389" s="893"/>
      <c r="N389" s="57"/>
      <c r="O389" s="892"/>
      <c r="P389" s="892"/>
      <c r="Q389" s="892"/>
      <c r="R389" s="893"/>
      <c r="S389" s="893"/>
      <c r="T389" s="893"/>
      <c r="U389" s="893"/>
      <c r="V389" s="893"/>
      <c r="W389" s="57"/>
      <c r="X389" s="892"/>
      <c r="Y389" s="892"/>
      <c r="Z389" s="892"/>
      <c r="AA389" s="893"/>
      <c r="AB389" s="893"/>
      <c r="AC389" s="893"/>
      <c r="AD389" s="893"/>
      <c r="AE389" s="893"/>
      <c r="AF389" s="57"/>
      <c r="AG389" s="892"/>
      <c r="AH389" s="892"/>
      <c r="AI389" s="892"/>
      <c r="AJ389" s="893"/>
      <c r="AK389" s="893"/>
      <c r="AL389" s="893"/>
      <c r="AM389" s="893"/>
      <c r="AN389" s="893"/>
      <c r="AO389" s="57"/>
      <c r="AP389" s="892"/>
      <c r="AQ389" s="892"/>
      <c r="AR389" s="892"/>
      <c r="AS389" s="893"/>
      <c r="AT389" s="893"/>
      <c r="AU389" s="893"/>
      <c r="AV389" s="893"/>
      <c r="AW389" s="893"/>
      <c r="AX389" s="57"/>
      <c r="AY389" s="892"/>
      <c r="AZ389" s="892"/>
      <c r="BA389" s="892"/>
      <c r="BB389" s="893"/>
      <c r="BC389" s="893"/>
      <c r="BD389" s="893"/>
      <c r="BE389" s="893"/>
      <c r="BF389" s="893"/>
      <c r="BG389" s="60"/>
    </row>
    <row r="390" spans="2:66" x14ac:dyDescent="0.25">
      <c r="B390" s="961"/>
      <c r="C390" s="962"/>
      <c r="D390" s="963"/>
      <c r="E390" s="57"/>
      <c r="F390" s="892"/>
      <c r="G390" s="892"/>
      <c r="H390" s="892"/>
      <c r="I390" s="893"/>
      <c r="J390" s="893"/>
      <c r="K390" s="893"/>
      <c r="L390" s="893"/>
      <c r="M390" s="893"/>
      <c r="N390" s="57"/>
      <c r="O390" s="892"/>
      <c r="P390" s="892"/>
      <c r="Q390" s="892"/>
      <c r="R390" s="893"/>
      <c r="S390" s="893"/>
      <c r="T390" s="893"/>
      <c r="U390" s="893"/>
      <c r="V390" s="893"/>
      <c r="W390" s="57"/>
      <c r="X390" s="892"/>
      <c r="Y390" s="892"/>
      <c r="Z390" s="892"/>
      <c r="AA390" s="893"/>
      <c r="AB390" s="893"/>
      <c r="AC390" s="893"/>
      <c r="AD390" s="893"/>
      <c r="AE390" s="893"/>
      <c r="AF390" s="57"/>
      <c r="AG390" s="892"/>
      <c r="AH390" s="892"/>
      <c r="AI390" s="892"/>
      <c r="AJ390" s="893"/>
      <c r="AK390" s="893"/>
      <c r="AL390" s="893"/>
      <c r="AM390" s="893"/>
      <c r="AN390" s="893"/>
      <c r="AO390" s="57"/>
      <c r="AP390" s="892"/>
      <c r="AQ390" s="892"/>
      <c r="AR390" s="892"/>
      <c r="AS390" s="893"/>
      <c r="AT390" s="893"/>
      <c r="AU390" s="893"/>
      <c r="AV390" s="893"/>
      <c r="AW390" s="893"/>
      <c r="AX390" s="57"/>
      <c r="AY390" s="892"/>
      <c r="AZ390" s="892"/>
      <c r="BA390" s="892"/>
      <c r="BB390" s="893"/>
      <c r="BC390" s="893"/>
      <c r="BD390" s="893"/>
      <c r="BE390" s="893"/>
      <c r="BF390" s="893"/>
      <c r="BG390" s="60"/>
    </row>
    <row r="391" spans="2:66" x14ac:dyDescent="0.25">
      <c r="B391" s="961"/>
      <c r="C391" s="962"/>
      <c r="D391" s="963"/>
      <c r="E391" s="57"/>
      <c r="F391" s="892" t="s">
        <v>6</v>
      </c>
      <c r="G391" s="892"/>
      <c r="H391" s="892"/>
      <c r="I391" s="893" t="s">
        <v>9</v>
      </c>
      <c r="J391" s="893"/>
      <c r="K391" s="893"/>
      <c r="L391" s="893"/>
      <c r="M391" s="893"/>
      <c r="N391" s="57"/>
      <c r="O391" s="892" t="s">
        <v>6</v>
      </c>
      <c r="P391" s="892"/>
      <c r="Q391" s="892"/>
      <c r="R391" s="893" t="s">
        <v>9</v>
      </c>
      <c r="S391" s="893"/>
      <c r="T391" s="893"/>
      <c r="U391" s="893"/>
      <c r="V391" s="893"/>
      <c r="W391" s="57"/>
      <c r="X391" s="892" t="s">
        <v>6</v>
      </c>
      <c r="Y391" s="892"/>
      <c r="Z391" s="892"/>
      <c r="AA391" s="893" t="s">
        <v>9</v>
      </c>
      <c r="AB391" s="893"/>
      <c r="AC391" s="893"/>
      <c r="AD391" s="893"/>
      <c r="AE391" s="893"/>
      <c r="AF391" s="57"/>
      <c r="AG391" s="892" t="s">
        <v>6</v>
      </c>
      <c r="AH391" s="892"/>
      <c r="AI391" s="892"/>
      <c r="AJ391" s="893" t="s">
        <v>9</v>
      </c>
      <c r="AK391" s="893"/>
      <c r="AL391" s="893"/>
      <c r="AM391" s="893"/>
      <c r="AN391" s="893"/>
      <c r="AO391" s="57"/>
      <c r="AP391" s="892" t="s">
        <v>6</v>
      </c>
      <c r="AQ391" s="892"/>
      <c r="AR391" s="892"/>
      <c r="AS391" s="893" t="s">
        <v>9</v>
      </c>
      <c r="AT391" s="893"/>
      <c r="AU391" s="893"/>
      <c r="AV391" s="893"/>
      <c r="AW391" s="893"/>
      <c r="AX391" s="57"/>
      <c r="AY391" s="892" t="s">
        <v>6</v>
      </c>
      <c r="AZ391" s="892"/>
      <c r="BA391" s="892"/>
      <c r="BB391" s="893" t="s">
        <v>9</v>
      </c>
      <c r="BC391" s="893"/>
      <c r="BD391" s="893"/>
      <c r="BE391" s="893"/>
      <c r="BF391" s="893"/>
      <c r="BG391" s="60"/>
    </row>
    <row r="392" spans="2:66" x14ac:dyDescent="0.25">
      <c r="B392" s="961"/>
      <c r="C392" s="962"/>
      <c r="D392" s="963"/>
      <c r="E392" s="57"/>
      <c r="F392" s="892"/>
      <c r="G392" s="892"/>
      <c r="H392" s="892"/>
      <c r="I392" s="893"/>
      <c r="J392" s="893"/>
      <c r="K392" s="893"/>
      <c r="L392" s="893"/>
      <c r="M392" s="893"/>
      <c r="N392" s="57"/>
      <c r="O392" s="892"/>
      <c r="P392" s="892"/>
      <c r="Q392" s="892"/>
      <c r="R392" s="893"/>
      <c r="S392" s="893"/>
      <c r="T392" s="893"/>
      <c r="U392" s="893"/>
      <c r="V392" s="893"/>
      <c r="W392" s="57"/>
      <c r="X392" s="892"/>
      <c r="Y392" s="892"/>
      <c r="Z392" s="892"/>
      <c r="AA392" s="893"/>
      <c r="AB392" s="893"/>
      <c r="AC392" s="893"/>
      <c r="AD392" s="893"/>
      <c r="AE392" s="893"/>
      <c r="AF392" s="57"/>
      <c r="AG392" s="892"/>
      <c r="AH392" s="892"/>
      <c r="AI392" s="892"/>
      <c r="AJ392" s="893"/>
      <c r="AK392" s="893"/>
      <c r="AL392" s="893"/>
      <c r="AM392" s="893"/>
      <c r="AN392" s="893"/>
      <c r="AO392" s="57"/>
      <c r="AP392" s="892"/>
      <c r="AQ392" s="892"/>
      <c r="AR392" s="892"/>
      <c r="AS392" s="893"/>
      <c r="AT392" s="893"/>
      <c r="AU392" s="893"/>
      <c r="AV392" s="893"/>
      <c r="AW392" s="893"/>
      <c r="AX392" s="57"/>
      <c r="AY392" s="892"/>
      <c r="AZ392" s="892"/>
      <c r="BA392" s="892"/>
      <c r="BB392" s="893"/>
      <c r="BC392" s="893"/>
      <c r="BD392" s="893"/>
      <c r="BE392" s="893"/>
      <c r="BF392" s="893"/>
      <c r="BG392" s="60"/>
    </row>
    <row r="393" spans="2:66" x14ac:dyDescent="0.25">
      <c r="B393" s="961"/>
      <c r="C393" s="962"/>
      <c r="D393" s="963"/>
      <c r="E393" s="57"/>
      <c r="F393" s="892"/>
      <c r="G393" s="892"/>
      <c r="H393" s="892"/>
      <c r="I393" s="893"/>
      <c r="J393" s="893"/>
      <c r="K393" s="893"/>
      <c r="L393" s="893"/>
      <c r="M393" s="893"/>
      <c r="N393" s="57"/>
      <c r="O393" s="892"/>
      <c r="P393" s="892"/>
      <c r="Q393" s="892"/>
      <c r="R393" s="893"/>
      <c r="S393" s="893"/>
      <c r="T393" s="893"/>
      <c r="U393" s="893"/>
      <c r="V393" s="893"/>
      <c r="W393" s="57"/>
      <c r="X393" s="892"/>
      <c r="Y393" s="892"/>
      <c r="Z393" s="892"/>
      <c r="AA393" s="893"/>
      <c r="AB393" s="893"/>
      <c r="AC393" s="893"/>
      <c r="AD393" s="893"/>
      <c r="AE393" s="893"/>
      <c r="AF393" s="57"/>
      <c r="AG393" s="892"/>
      <c r="AH393" s="892"/>
      <c r="AI393" s="892"/>
      <c r="AJ393" s="893"/>
      <c r="AK393" s="893"/>
      <c r="AL393" s="893"/>
      <c r="AM393" s="893"/>
      <c r="AN393" s="893"/>
      <c r="AO393" s="57"/>
      <c r="AP393" s="892"/>
      <c r="AQ393" s="892"/>
      <c r="AR393" s="892"/>
      <c r="AS393" s="893"/>
      <c r="AT393" s="893"/>
      <c r="AU393" s="893"/>
      <c r="AV393" s="893"/>
      <c r="AW393" s="893"/>
      <c r="AX393" s="57"/>
      <c r="AY393" s="892"/>
      <c r="AZ393" s="892"/>
      <c r="BA393" s="892"/>
      <c r="BB393" s="893"/>
      <c r="BC393" s="893"/>
      <c r="BD393" s="893"/>
      <c r="BE393" s="893"/>
      <c r="BF393" s="893"/>
      <c r="BG393" s="60"/>
    </row>
    <row r="394" spans="2:66" x14ac:dyDescent="0.25">
      <c r="B394" s="961"/>
      <c r="C394" s="962"/>
      <c r="D394" s="963"/>
      <c r="E394" s="57"/>
      <c r="F394" s="892" t="s">
        <v>7</v>
      </c>
      <c r="G394" s="892"/>
      <c r="H394" s="892"/>
      <c r="I394" s="893" t="s">
        <v>951</v>
      </c>
      <c r="J394" s="893"/>
      <c r="K394" s="893"/>
      <c r="L394" s="893"/>
      <c r="M394" s="893"/>
      <c r="N394" s="57"/>
      <c r="O394" s="892" t="s">
        <v>7</v>
      </c>
      <c r="P394" s="892"/>
      <c r="Q394" s="892"/>
      <c r="R394" s="893" t="s">
        <v>950</v>
      </c>
      <c r="S394" s="893"/>
      <c r="T394" s="893"/>
      <c r="U394" s="893"/>
      <c r="V394" s="893"/>
      <c r="W394" s="57"/>
      <c r="X394" s="892" t="s">
        <v>7</v>
      </c>
      <c r="Y394" s="892"/>
      <c r="Z394" s="892"/>
      <c r="AA394" s="893" t="s">
        <v>235</v>
      </c>
      <c r="AB394" s="893"/>
      <c r="AC394" s="893"/>
      <c r="AD394" s="893"/>
      <c r="AE394" s="893"/>
      <c r="AF394" s="57"/>
      <c r="AG394" s="892" t="s">
        <v>7</v>
      </c>
      <c r="AH394" s="892"/>
      <c r="AI394" s="892"/>
      <c r="AJ394" s="893" t="s">
        <v>949</v>
      </c>
      <c r="AK394" s="893"/>
      <c r="AL394" s="893"/>
      <c r="AM394" s="893"/>
      <c r="AN394" s="893"/>
      <c r="AO394" s="57"/>
      <c r="AP394" s="892" t="s">
        <v>7</v>
      </c>
      <c r="AQ394" s="892"/>
      <c r="AR394" s="892"/>
      <c r="AS394" s="893" t="s">
        <v>1296</v>
      </c>
      <c r="AT394" s="893"/>
      <c r="AU394" s="893"/>
      <c r="AV394" s="893"/>
      <c r="AW394" s="893"/>
      <c r="AX394" s="57"/>
      <c r="AY394" s="892" t="s">
        <v>7</v>
      </c>
      <c r="AZ394" s="892"/>
      <c r="BA394" s="892"/>
      <c r="BB394" s="894" t="s">
        <v>1335</v>
      </c>
      <c r="BC394" s="893"/>
      <c r="BD394" s="893"/>
      <c r="BE394" s="893"/>
      <c r="BF394" s="893"/>
      <c r="BG394" s="60"/>
    </row>
    <row r="395" spans="2:66" x14ac:dyDescent="0.25">
      <c r="B395" s="961"/>
      <c r="C395" s="962"/>
      <c r="D395" s="963"/>
      <c r="E395" s="57"/>
      <c r="F395" s="892"/>
      <c r="G395" s="892"/>
      <c r="H395" s="892"/>
      <c r="I395" s="893"/>
      <c r="J395" s="893"/>
      <c r="K395" s="893"/>
      <c r="L395" s="893"/>
      <c r="M395" s="893"/>
      <c r="N395" s="57"/>
      <c r="O395" s="892"/>
      <c r="P395" s="892"/>
      <c r="Q395" s="892"/>
      <c r="R395" s="893"/>
      <c r="S395" s="893"/>
      <c r="T395" s="893"/>
      <c r="U395" s="893"/>
      <c r="V395" s="893"/>
      <c r="W395" s="57"/>
      <c r="X395" s="892"/>
      <c r="Y395" s="892"/>
      <c r="Z395" s="892"/>
      <c r="AA395" s="893"/>
      <c r="AB395" s="893"/>
      <c r="AC395" s="893"/>
      <c r="AD395" s="893"/>
      <c r="AE395" s="893"/>
      <c r="AF395" s="57"/>
      <c r="AG395" s="892"/>
      <c r="AH395" s="892"/>
      <c r="AI395" s="892"/>
      <c r="AJ395" s="893"/>
      <c r="AK395" s="893"/>
      <c r="AL395" s="893"/>
      <c r="AM395" s="893"/>
      <c r="AN395" s="893"/>
      <c r="AO395" s="57"/>
      <c r="AP395" s="892"/>
      <c r="AQ395" s="892"/>
      <c r="AR395" s="892"/>
      <c r="AS395" s="893"/>
      <c r="AT395" s="893"/>
      <c r="AU395" s="893"/>
      <c r="AV395" s="893"/>
      <c r="AW395" s="893"/>
      <c r="AX395" s="57"/>
      <c r="AY395" s="892"/>
      <c r="AZ395" s="892"/>
      <c r="BA395" s="892"/>
      <c r="BB395" s="893"/>
      <c r="BC395" s="893"/>
      <c r="BD395" s="893"/>
      <c r="BE395" s="893"/>
      <c r="BF395" s="893"/>
      <c r="BG395" s="60"/>
    </row>
    <row r="396" spans="2:66" x14ac:dyDescent="0.25">
      <c r="B396" s="961"/>
      <c r="C396" s="962"/>
      <c r="D396" s="963"/>
      <c r="E396" s="57"/>
      <c r="F396" s="892"/>
      <c r="G396" s="892"/>
      <c r="H396" s="892"/>
      <c r="I396" s="893"/>
      <c r="J396" s="893"/>
      <c r="K396" s="893"/>
      <c r="L396" s="893"/>
      <c r="M396" s="893"/>
      <c r="N396" s="57"/>
      <c r="O396" s="892"/>
      <c r="P396" s="892"/>
      <c r="Q396" s="892"/>
      <c r="R396" s="893"/>
      <c r="S396" s="893"/>
      <c r="T396" s="893"/>
      <c r="U396" s="893"/>
      <c r="V396" s="893"/>
      <c r="W396" s="57"/>
      <c r="X396" s="892"/>
      <c r="Y396" s="892"/>
      <c r="Z396" s="892"/>
      <c r="AA396" s="893"/>
      <c r="AB396" s="893"/>
      <c r="AC396" s="893"/>
      <c r="AD396" s="893"/>
      <c r="AE396" s="893"/>
      <c r="AF396" s="57"/>
      <c r="AG396" s="892"/>
      <c r="AH396" s="892"/>
      <c r="AI396" s="892"/>
      <c r="AJ396" s="893"/>
      <c r="AK396" s="893"/>
      <c r="AL396" s="893"/>
      <c r="AM396" s="893"/>
      <c r="AN396" s="893"/>
      <c r="AO396" s="57"/>
      <c r="AP396" s="892"/>
      <c r="AQ396" s="892"/>
      <c r="AR396" s="892"/>
      <c r="AS396" s="893"/>
      <c r="AT396" s="893"/>
      <c r="AU396" s="893"/>
      <c r="AV396" s="893"/>
      <c r="AW396" s="893"/>
      <c r="AX396" s="57"/>
      <c r="AY396" s="892"/>
      <c r="AZ396" s="892"/>
      <c r="BA396" s="892"/>
      <c r="BB396" s="893"/>
      <c r="BC396" s="893"/>
      <c r="BD396" s="893"/>
      <c r="BE396" s="893"/>
      <c r="BF396" s="893"/>
      <c r="BG396" s="60"/>
    </row>
    <row r="397" spans="2:66" x14ac:dyDescent="0.25">
      <c r="B397" s="961"/>
      <c r="C397" s="962"/>
      <c r="D397" s="963"/>
      <c r="E397" s="57"/>
      <c r="F397" s="61"/>
      <c r="G397" s="61"/>
      <c r="H397" s="61"/>
      <c r="I397" s="62"/>
      <c r="J397" s="62"/>
      <c r="K397" s="62"/>
      <c r="L397" s="62"/>
      <c r="M397" s="62"/>
      <c r="N397" s="57"/>
      <c r="O397" s="61"/>
      <c r="P397" s="61"/>
      <c r="Q397" s="61"/>
      <c r="R397" s="62"/>
      <c r="S397" s="62"/>
      <c r="T397" s="62"/>
      <c r="U397" s="62"/>
      <c r="V397" s="62"/>
      <c r="W397" s="57"/>
      <c r="X397" s="61"/>
      <c r="Y397" s="61"/>
      <c r="Z397" s="61"/>
      <c r="AA397" s="62"/>
      <c r="AB397" s="62"/>
      <c r="AC397" s="62"/>
      <c r="AD397" s="62"/>
      <c r="AE397" s="62"/>
      <c r="AF397" s="57"/>
      <c r="AG397" s="61"/>
      <c r="AH397" s="61"/>
      <c r="AI397" s="61"/>
      <c r="AJ397" s="62"/>
      <c r="AK397" s="62"/>
      <c r="AL397" s="62"/>
      <c r="AM397" s="62"/>
      <c r="AN397" s="62"/>
      <c r="AO397" s="57"/>
      <c r="AP397" s="61"/>
      <c r="AQ397" s="61"/>
      <c r="AR397" s="61"/>
      <c r="AS397" s="62"/>
      <c r="AT397" s="62"/>
      <c r="AU397" s="62"/>
      <c r="AV397" s="62"/>
      <c r="AW397" s="62"/>
      <c r="AX397" s="57"/>
      <c r="AY397" s="61"/>
      <c r="AZ397" s="61"/>
      <c r="BA397" s="61"/>
      <c r="BB397" s="62"/>
      <c r="BC397" s="62"/>
      <c r="BD397" s="62"/>
      <c r="BE397" s="62"/>
      <c r="BF397" s="62"/>
      <c r="BG397" s="60"/>
    </row>
    <row r="398" spans="2:66" ht="16.5" thickBot="1" x14ac:dyDescent="0.3">
      <c r="B398" s="964"/>
      <c r="C398" s="965"/>
      <c r="D398" s="966"/>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4"/>
    </row>
    <row r="401" spans="2:95" ht="16.5" thickBot="1" x14ac:dyDescent="0.3"/>
    <row r="402" spans="2:95" ht="15.75" customHeight="1" x14ac:dyDescent="0.25">
      <c r="B402" s="967" t="s">
        <v>937</v>
      </c>
      <c r="C402" s="968"/>
      <c r="D402" s="969"/>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c r="CD402" s="65"/>
      <c r="CE402" s="65"/>
      <c r="CF402" s="65"/>
      <c r="CG402" s="65"/>
      <c r="CH402" s="65"/>
      <c r="CI402" s="65"/>
      <c r="CJ402" s="65"/>
      <c r="CK402" s="65"/>
      <c r="CL402" s="65"/>
      <c r="CM402" s="65"/>
      <c r="CN402" s="65"/>
      <c r="CO402" s="65"/>
      <c r="CP402" s="65"/>
      <c r="CQ402" s="66"/>
    </row>
    <row r="403" spans="2:95" x14ac:dyDescent="0.25">
      <c r="B403" s="970"/>
      <c r="C403" s="971"/>
      <c r="D403" s="972"/>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8"/>
    </row>
    <row r="404" spans="2:95" x14ac:dyDescent="0.25">
      <c r="B404" s="970"/>
      <c r="C404" s="971"/>
      <c r="D404" s="972"/>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8"/>
    </row>
    <row r="405" spans="2:95" ht="15.75" customHeight="1" x14ac:dyDescent="0.25">
      <c r="B405" s="970"/>
      <c r="C405" s="971"/>
      <c r="D405" s="972"/>
      <c r="E405" s="67"/>
      <c r="F405" s="953" t="s">
        <v>8</v>
      </c>
      <c r="G405" s="953"/>
      <c r="H405" s="953"/>
      <c r="I405" s="953"/>
      <c r="J405" s="953"/>
      <c r="K405" s="953"/>
      <c r="L405" s="953"/>
      <c r="M405" s="953"/>
      <c r="N405" s="67"/>
      <c r="O405" s="953" t="s">
        <v>8</v>
      </c>
      <c r="P405" s="953"/>
      <c r="Q405" s="953"/>
      <c r="R405" s="953"/>
      <c r="S405" s="953"/>
      <c r="T405" s="953"/>
      <c r="U405" s="953"/>
      <c r="V405" s="953"/>
      <c r="W405" s="67"/>
      <c r="X405" s="953" t="s">
        <v>8</v>
      </c>
      <c r="Y405" s="953"/>
      <c r="Z405" s="953"/>
      <c r="AA405" s="953"/>
      <c r="AB405" s="953"/>
      <c r="AC405" s="953"/>
      <c r="AD405" s="953"/>
      <c r="AE405" s="953"/>
      <c r="AF405" s="67"/>
      <c r="AG405" s="953" t="s">
        <v>8</v>
      </c>
      <c r="AH405" s="953"/>
      <c r="AI405" s="953"/>
      <c r="AJ405" s="953"/>
      <c r="AK405" s="953"/>
      <c r="AL405" s="953"/>
      <c r="AM405" s="953"/>
      <c r="AN405" s="953"/>
      <c r="AO405" s="67"/>
      <c r="AP405" s="953" t="s">
        <v>8</v>
      </c>
      <c r="AQ405" s="953"/>
      <c r="AR405" s="953"/>
      <c r="AS405" s="953"/>
      <c r="AT405" s="953"/>
      <c r="AU405" s="953"/>
      <c r="AV405" s="953"/>
      <c r="AW405" s="953"/>
      <c r="AX405" s="67"/>
      <c r="AY405" s="953" t="s">
        <v>8</v>
      </c>
      <c r="AZ405" s="953"/>
      <c r="BA405" s="953"/>
      <c r="BB405" s="953"/>
      <c r="BC405" s="953"/>
      <c r="BD405" s="953"/>
      <c r="BE405" s="953"/>
      <c r="BF405" s="953"/>
      <c r="BG405" s="67"/>
      <c r="BH405" s="953" t="s">
        <v>8</v>
      </c>
      <c r="BI405" s="953"/>
      <c r="BJ405" s="953"/>
      <c r="BK405" s="953"/>
      <c r="BL405" s="953"/>
      <c r="BM405" s="953"/>
      <c r="BN405" s="953"/>
      <c r="BO405" s="953"/>
      <c r="BP405" s="67"/>
      <c r="BQ405" s="953" t="s">
        <v>8</v>
      </c>
      <c r="BR405" s="953"/>
      <c r="BS405" s="953"/>
      <c r="BT405" s="953"/>
      <c r="BU405" s="953"/>
      <c r="BV405" s="953"/>
      <c r="BW405" s="953"/>
      <c r="BX405" s="953"/>
      <c r="BY405" s="67"/>
      <c r="BZ405" s="953" t="s">
        <v>8</v>
      </c>
      <c r="CA405" s="953"/>
      <c r="CB405" s="953"/>
      <c r="CC405" s="953"/>
      <c r="CD405" s="953"/>
      <c r="CE405" s="953"/>
      <c r="CF405" s="953"/>
      <c r="CG405" s="953"/>
      <c r="CH405" s="67"/>
      <c r="CI405" s="953" t="s">
        <v>8</v>
      </c>
      <c r="CJ405" s="953"/>
      <c r="CK405" s="953"/>
      <c r="CL405" s="953"/>
      <c r="CM405" s="953"/>
      <c r="CN405" s="953"/>
      <c r="CO405" s="953"/>
      <c r="CP405" s="953"/>
      <c r="CQ405" s="68"/>
    </row>
    <row r="406" spans="2:95" x14ac:dyDescent="0.25">
      <c r="B406" s="970"/>
      <c r="C406" s="971"/>
      <c r="D406" s="972"/>
      <c r="E406" s="67"/>
      <c r="F406" s="954" t="s">
        <v>0</v>
      </c>
      <c r="G406" s="954"/>
      <c r="H406" s="954"/>
      <c r="I406" s="954" t="s">
        <v>1</v>
      </c>
      <c r="J406" s="954"/>
      <c r="K406" s="954"/>
      <c r="L406" s="954"/>
      <c r="M406" s="954"/>
      <c r="N406" s="67"/>
      <c r="O406" s="954" t="s">
        <v>0</v>
      </c>
      <c r="P406" s="954"/>
      <c r="Q406" s="954"/>
      <c r="R406" s="954" t="s">
        <v>1</v>
      </c>
      <c r="S406" s="954"/>
      <c r="T406" s="954"/>
      <c r="U406" s="954"/>
      <c r="V406" s="954"/>
      <c r="W406" s="67"/>
      <c r="X406" s="954" t="s">
        <v>0</v>
      </c>
      <c r="Y406" s="954"/>
      <c r="Z406" s="954"/>
      <c r="AA406" s="954" t="s">
        <v>1</v>
      </c>
      <c r="AB406" s="954"/>
      <c r="AC406" s="954"/>
      <c r="AD406" s="954"/>
      <c r="AE406" s="954"/>
      <c r="AF406" s="67"/>
      <c r="AG406" s="954" t="s">
        <v>0</v>
      </c>
      <c r="AH406" s="954"/>
      <c r="AI406" s="954"/>
      <c r="AJ406" s="954" t="s">
        <v>1</v>
      </c>
      <c r="AK406" s="954"/>
      <c r="AL406" s="954"/>
      <c r="AM406" s="954"/>
      <c r="AN406" s="954"/>
      <c r="AO406" s="67"/>
      <c r="AP406" s="954" t="s">
        <v>0</v>
      </c>
      <c r="AQ406" s="954"/>
      <c r="AR406" s="954"/>
      <c r="AS406" s="954" t="s">
        <v>1</v>
      </c>
      <c r="AT406" s="954"/>
      <c r="AU406" s="954"/>
      <c r="AV406" s="954"/>
      <c r="AW406" s="954"/>
      <c r="AX406" s="67"/>
      <c r="AY406" s="954" t="s">
        <v>0</v>
      </c>
      <c r="AZ406" s="954"/>
      <c r="BA406" s="954"/>
      <c r="BB406" s="954" t="s">
        <v>1</v>
      </c>
      <c r="BC406" s="954"/>
      <c r="BD406" s="954"/>
      <c r="BE406" s="954"/>
      <c r="BF406" s="954"/>
      <c r="BG406" s="67"/>
      <c r="BH406" s="954" t="s">
        <v>0</v>
      </c>
      <c r="BI406" s="954"/>
      <c r="BJ406" s="954"/>
      <c r="BK406" s="954" t="s">
        <v>1</v>
      </c>
      <c r="BL406" s="954"/>
      <c r="BM406" s="954"/>
      <c r="BN406" s="954"/>
      <c r="BO406" s="954"/>
      <c r="BP406" s="67"/>
      <c r="BQ406" s="954" t="s">
        <v>0</v>
      </c>
      <c r="BR406" s="954"/>
      <c r="BS406" s="954"/>
      <c r="BT406" s="954" t="s">
        <v>1</v>
      </c>
      <c r="BU406" s="954"/>
      <c r="BV406" s="954"/>
      <c r="BW406" s="954"/>
      <c r="BX406" s="954"/>
      <c r="BY406" s="67"/>
      <c r="BZ406" s="954" t="s">
        <v>0</v>
      </c>
      <c r="CA406" s="954"/>
      <c r="CB406" s="954"/>
      <c r="CC406" s="954" t="s">
        <v>1</v>
      </c>
      <c r="CD406" s="954"/>
      <c r="CE406" s="954"/>
      <c r="CF406" s="954"/>
      <c r="CG406" s="954"/>
      <c r="CH406" s="67"/>
      <c r="CI406" s="954" t="s">
        <v>0</v>
      </c>
      <c r="CJ406" s="954"/>
      <c r="CK406" s="954"/>
      <c r="CL406" s="954" t="s">
        <v>1</v>
      </c>
      <c r="CM406" s="954"/>
      <c r="CN406" s="954"/>
      <c r="CO406" s="954"/>
      <c r="CP406" s="954"/>
      <c r="CQ406" s="68"/>
    </row>
    <row r="407" spans="2:95" x14ac:dyDescent="0.25">
      <c r="B407" s="970"/>
      <c r="C407" s="971"/>
      <c r="D407" s="972"/>
      <c r="E407" s="67"/>
      <c r="F407" s="955" t="s">
        <v>2</v>
      </c>
      <c r="G407" s="955"/>
      <c r="H407" s="955"/>
      <c r="I407" s="956" t="s">
        <v>824</v>
      </c>
      <c r="J407" s="956"/>
      <c r="K407" s="956"/>
      <c r="L407" s="956"/>
      <c r="M407" s="956"/>
      <c r="N407" s="67"/>
      <c r="O407" s="955" t="s">
        <v>2</v>
      </c>
      <c r="P407" s="955"/>
      <c r="Q407" s="955"/>
      <c r="R407" s="956" t="s">
        <v>827</v>
      </c>
      <c r="S407" s="956"/>
      <c r="T407" s="956"/>
      <c r="U407" s="956"/>
      <c r="V407" s="956"/>
      <c r="W407" s="67"/>
      <c r="X407" s="955" t="s">
        <v>2</v>
      </c>
      <c r="Y407" s="955"/>
      <c r="Z407" s="955"/>
      <c r="AA407" s="956" t="s">
        <v>832</v>
      </c>
      <c r="AB407" s="956"/>
      <c r="AC407" s="956"/>
      <c r="AD407" s="956"/>
      <c r="AE407" s="956"/>
      <c r="AF407" s="67"/>
      <c r="AG407" s="955" t="s">
        <v>2</v>
      </c>
      <c r="AH407" s="955"/>
      <c r="AI407" s="955"/>
      <c r="AJ407" s="956" t="s">
        <v>836</v>
      </c>
      <c r="AK407" s="956"/>
      <c r="AL407" s="956"/>
      <c r="AM407" s="956"/>
      <c r="AN407" s="956"/>
      <c r="AO407" s="67"/>
      <c r="AP407" s="955" t="s">
        <v>2</v>
      </c>
      <c r="AQ407" s="955"/>
      <c r="AR407" s="955"/>
      <c r="AS407" s="956" t="s">
        <v>839</v>
      </c>
      <c r="AT407" s="956"/>
      <c r="AU407" s="956"/>
      <c r="AV407" s="956"/>
      <c r="AW407" s="956"/>
      <c r="AX407" s="67"/>
      <c r="AY407" s="955" t="s">
        <v>2</v>
      </c>
      <c r="AZ407" s="955"/>
      <c r="BA407" s="955"/>
      <c r="BB407" s="956" t="s">
        <v>844</v>
      </c>
      <c r="BC407" s="956"/>
      <c r="BD407" s="956"/>
      <c r="BE407" s="956"/>
      <c r="BF407" s="956"/>
      <c r="BG407" s="67"/>
      <c r="BH407" s="955" t="s">
        <v>2</v>
      </c>
      <c r="BI407" s="955"/>
      <c r="BJ407" s="955"/>
      <c r="BK407" s="956" t="s">
        <v>848</v>
      </c>
      <c r="BL407" s="956"/>
      <c r="BM407" s="956"/>
      <c r="BN407" s="956"/>
      <c r="BO407" s="956"/>
      <c r="BP407" s="67"/>
      <c r="BQ407" s="955" t="s">
        <v>2</v>
      </c>
      <c r="BR407" s="955"/>
      <c r="BS407" s="955"/>
      <c r="BT407" s="956" t="s">
        <v>851</v>
      </c>
      <c r="BU407" s="956"/>
      <c r="BV407" s="956"/>
      <c r="BW407" s="956"/>
      <c r="BX407" s="956"/>
      <c r="BY407" s="67"/>
      <c r="BZ407" s="955" t="s">
        <v>2</v>
      </c>
      <c r="CA407" s="955"/>
      <c r="CB407" s="955"/>
      <c r="CC407" s="956" t="s">
        <v>855</v>
      </c>
      <c r="CD407" s="956"/>
      <c r="CE407" s="956"/>
      <c r="CF407" s="956"/>
      <c r="CG407" s="956"/>
      <c r="CH407" s="67"/>
      <c r="CI407" s="955" t="s">
        <v>2</v>
      </c>
      <c r="CJ407" s="955"/>
      <c r="CK407" s="955"/>
      <c r="CL407" s="956" t="s">
        <v>859</v>
      </c>
      <c r="CM407" s="956"/>
      <c r="CN407" s="956"/>
      <c r="CO407" s="956"/>
      <c r="CP407" s="956"/>
      <c r="CQ407" s="68"/>
    </row>
    <row r="408" spans="2:95" x14ac:dyDescent="0.25">
      <c r="B408" s="970"/>
      <c r="C408" s="971"/>
      <c r="D408" s="972"/>
      <c r="E408" s="67"/>
      <c r="F408" s="955"/>
      <c r="G408" s="955"/>
      <c r="H408" s="955"/>
      <c r="I408" s="956"/>
      <c r="J408" s="956"/>
      <c r="K408" s="956"/>
      <c r="L408" s="956"/>
      <c r="M408" s="956"/>
      <c r="N408" s="67"/>
      <c r="O408" s="955"/>
      <c r="P408" s="955"/>
      <c r="Q408" s="955"/>
      <c r="R408" s="956"/>
      <c r="S408" s="956"/>
      <c r="T408" s="956"/>
      <c r="U408" s="956"/>
      <c r="V408" s="956"/>
      <c r="W408" s="67"/>
      <c r="X408" s="955"/>
      <c r="Y408" s="955"/>
      <c r="Z408" s="955"/>
      <c r="AA408" s="956"/>
      <c r="AB408" s="956"/>
      <c r="AC408" s="956"/>
      <c r="AD408" s="956"/>
      <c r="AE408" s="956"/>
      <c r="AF408" s="67"/>
      <c r="AG408" s="955"/>
      <c r="AH408" s="955"/>
      <c r="AI408" s="955"/>
      <c r="AJ408" s="956"/>
      <c r="AK408" s="956"/>
      <c r="AL408" s="956"/>
      <c r="AM408" s="956"/>
      <c r="AN408" s="956"/>
      <c r="AO408" s="67"/>
      <c r="AP408" s="955"/>
      <c r="AQ408" s="955"/>
      <c r="AR408" s="955"/>
      <c r="AS408" s="956"/>
      <c r="AT408" s="956"/>
      <c r="AU408" s="956"/>
      <c r="AV408" s="956"/>
      <c r="AW408" s="956"/>
      <c r="AX408" s="67"/>
      <c r="AY408" s="955"/>
      <c r="AZ408" s="955"/>
      <c r="BA408" s="955"/>
      <c r="BB408" s="956"/>
      <c r="BC408" s="956"/>
      <c r="BD408" s="956"/>
      <c r="BE408" s="956"/>
      <c r="BF408" s="956"/>
      <c r="BG408" s="67"/>
      <c r="BH408" s="955"/>
      <c r="BI408" s="955"/>
      <c r="BJ408" s="955"/>
      <c r="BK408" s="956"/>
      <c r="BL408" s="956"/>
      <c r="BM408" s="956"/>
      <c r="BN408" s="956"/>
      <c r="BO408" s="956"/>
      <c r="BP408" s="67"/>
      <c r="BQ408" s="955"/>
      <c r="BR408" s="955"/>
      <c r="BS408" s="955"/>
      <c r="BT408" s="956"/>
      <c r="BU408" s="956"/>
      <c r="BV408" s="956"/>
      <c r="BW408" s="956"/>
      <c r="BX408" s="956"/>
      <c r="BY408" s="67"/>
      <c r="BZ408" s="955"/>
      <c r="CA408" s="955"/>
      <c r="CB408" s="955"/>
      <c r="CC408" s="956"/>
      <c r="CD408" s="956"/>
      <c r="CE408" s="956"/>
      <c r="CF408" s="956"/>
      <c r="CG408" s="956"/>
      <c r="CH408" s="67"/>
      <c r="CI408" s="955"/>
      <c r="CJ408" s="955"/>
      <c r="CK408" s="955"/>
      <c r="CL408" s="956"/>
      <c r="CM408" s="956"/>
      <c r="CN408" s="956"/>
      <c r="CO408" s="956"/>
      <c r="CP408" s="956"/>
      <c r="CQ408" s="68"/>
    </row>
    <row r="409" spans="2:95" x14ac:dyDescent="0.25">
      <c r="B409" s="970"/>
      <c r="C409" s="971"/>
      <c r="D409" s="972"/>
      <c r="E409" s="67"/>
      <c r="F409" s="955"/>
      <c r="G409" s="955"/>
      <c r="H409" s="955"/>
      <c r="I409" s="956"/>
      <c r="J409" s="956"/>
      <c r="K409" s="956"/>
      <c r="L409" s="956"/>
      <c r="M409" s="956"/>
      <c r="N409" s="67"/>
      <c r="O409" s="955"/>
      <c r="P409" s="955"/>
      <c r="Q409" s="955"/>
      <c r="R409" s="956"/>
      <c r="S409" s="956"/>
      <c r="T409" s="956"/>
      <c r="U409" s="956"/>
      <c r="V409" s="956"/>
      <c r="W409" s="67"/>
      <c r="X409" s="955"/>
      <c r="Y409" s="955"/>
      <c r="Z409" s="955"/>
      <c r="AA409" s="956"/>
      <c r="AB409" s="956"/>
      <c r="AC409" s="956"/>
      <c r="AD409" s="956"/>
      <c r="AE409" s="956"/>
      <c r="AF409" s="67"/>
      <c r="AG409" s="955"/>
      <c r="AH409" s="955"/>
      <c r="AI409" s="955"/>
      <c r="AJ409" s="956"/>
      <c r="AK409" s="956"/>
      <c r="AL409" s="956"/>
      <c r="AM409" s="956"/>
      <c r="AN409" s="956"/>
      <c r="AO409" s="67"/>
      <c r="AP409" s="955"/>
      <c r="AQ409" s="955"/>
      <c r="AR409" s="955"/>
      <c r="AS409" s="956"/>
      <c r="AT409" s="956"/>
      <c r="AU409" s="956"/>
      <c r="AV409" s="956"/>
      <c r="AW409" s="956"/>
      <c r="AX409" s="67"/>
      <c r="AY409" s="955"/>
      <c r="AZ409" s="955"/>
      <c r="BA409" s="955"/>
      <c r="BB409" s="956"/>
      <c r="BC409" s="956"/>
      <c r="BD409" s="956"/>
      <c r="BE409" s="956"/>
      <c r="BF409" s="956"/>
      <c r="BG409" s="67"/>
      <c r="BH409" s="955"/>
      <c r="BI409" s="955"/>
      <c r="BJ409" s="955"/>
      <c r="BK409" s="956"/>
      <c r="BL409" s="956"/>
      <c r="BM409" s="956"/>
      <c r="BN409" s="956"/>
      <c r="BO409" s="956"/>
      <c r="BP409" s="67"/>
      <c r="BQ409" s="955"/>
      <c r="BR409" s="955"/>
      <c r="BS409" s="955"/>
      <c r="BT409" s="956"/>
      <c r="BU409" s="956"/>
      <c r="BV409" s="956"/>
      <c r="BW409" s="956"/>
      <c r="BX409" s="956"/>
      <c r="BY409" s="67"/>
      <c r="BZ409" s="955"/>
      <c r="CA409" s="955"/>
      <c r="CB409" s="955"/>
      <c r="CC409" s="956"/>
      <c r="CD409" s="956"/>
      <c r="CE409" s="956"/>
      <c r="CF409" s="956"/>
      <c r="CG409" s="956"/>
      <c r="CH409" s="67"/>
      <c r="CI409" s="955"/>
      <c r="CJ409" s="955"/>
      <c r="CK409" s="955"/>
      <c r="CL409" s="956"/>
      <c r="CM409" s="956"/>
      <c r="CN409" s="956"/>
      <c r="CO409" s="956"/>
      <c r="CP409" s="956"/>
      <c r="CQ409" s="68"/>
    </row>
    <row r="410" spans="2:95" x14ac:dyDescent="0.25">
      <c r="B410" s="970"/>
      <c r="C410" s="971"/>
      <c r="D410" s="972"/>
      <c r="E410" s="67"/>
      <c r="F410" s="954" t="s">
        <v>0</v>
      </c>
      <c r="G410" s="954"/>
      <c r="H410" s="954"/>
      <c r="I410" s="954" t="s">
        <v>1</v>
      </c>
      <c r="J410" s="954"/>
      <c r="K410" s="954"/>
      <c r="L410" s="954"/>
      <c r="M410" s="954"/>
      <c r="N410" s="67"/>
      <c r="O410" s="954" t="s">
        <v>0</v>
      </c>
      <c r="P410" s="954"/>
      <c r="Q410" s="954"/>
      <c r="R410" s="954" t="s">
        <v>1</v>
      </c>
      <c r="S410" s="954"/>
      <c r="T410" s="954"/>
      <c r="U410" s="954"/>
      <c r="V410" s="954"/>
      <c r="W410" s="67"/>
      <c r="X410" s="954" t="s">
        <v>0</v>
      </c>
      <c r="Y410" s="954"/>
      <c r="Z410" s="954"/>
      <c r="AA410" s="954" t="s">
        <v>1</v>
      </c>
      <c r="AB410" s="954"/>
      <c r="AC410" s="954"/>
      <c r="AD410" s="954"/>
      <c r="AE410" s="954"/>
      <c r="AF410" s="67"/>
      <c r="AG410" s="954" t="s">
        <v>0</v>
      </c>
      <c r="AH410" s="954"/>
      <c r="AI410" s="954"/>
      <c r="AJ410" s="954" t="s">
        <v>1</v>
      </c>
      <c r="AK410" s="954"/>
      <c r="AL410" s="954"/>
      <c r="AM410" s="954"/>
      <c r="AN410" s="954"/>
      <c r="AO410" s="67"/>
      <c r="AP410" s="954" t="s">
        <v>0</v>
      </c>
      <c r="AQ410" s="954"/>
      <c r="AR410" s="954"/>
      <c r="AS410" s="954" t="s">
        <v>1</v>
      </c>
      <c r="AT410" s="954"/>
      <c r="AU410" s="954"/>
      <c r="AV410" s="954"/>
      <c r="AW410" s="954"/>
      <c r="AX410" s="67"/>
      <c r="AY410" s="954" t="s">
        <v>0</v>
      </c>
      <c r="AZ410" s="954"/>
      <c r="BA410" s="954"/>
      <c r="BB410" s="954" t="s">
        <v>1</v>
      </c>
      <c r="BC410" s="954"/>
      <c r="BD410" s="954"/>
      <c r="BE410" s="954"/>
      <c r="BF410" s="954"/>
      <c r="BG410" s="67"/>
      <c r="BH410" s="954" t="s">
        <v>0</v>
      </c>
      <c r="BI410" s="954"/>
      <c r="BJ410" s="954"/>
      <c r="BK410" s="954" t="s">
        <v>1</v>
      </c>
      <c r="BL410" s="954"/>
      <c r="BM410" s="954"/>
      <c r="BN410" s="954"/>
      <c r="BO410" s="954"/>
      <c r="BP410" s="67"/>
      <c r="BQ410" s="954" t="s">
        <v>0</v>
      </c>
      <c r="BR410" s="954"/>
      <c r="BS410" s="954"/>
      <c r="BT410" s="954" t="s">
        <v>1</v>
      </c>
      <c r="BU410" s="954"/>
      <c r="BV410" s="954"/>
      <c r="BW410" s="954"/>
      <c r="BX410" s="954"/>
      <c r="BY410" s="67"/>
      <c r="BZ410" s="954" t="s">
        <v>0</v>
      </c>
      <c r="CA410" s="954"/>
      <c r="CB410" s="954"/>
      <c r="CC410" s="954" t="s">
        <v>1</v>
      </c>
      <c r="CD410" s="954"/>
      <c r="CE410" s="954"/>
      <c r="CF410" s="954"/>
      <c r="CG410" s="954"/>
      <c r="CH410" s="67"/>
      <c r="CI410" s="954" t="s">
        <v>0</v>
      </c>
      <c r="CJ410" s="954"/>
      <c r="CK410" s="954"/>
      <c r="CL410" s="954" t="s">
        <v>1</v>
      </c>
      <c r="CM410" s="954"/>
      <c r="CN410" s="954"/>
      <c r="CO410" s="954"/>
      <c r="CP410" s="954"/>
      <c r="CQ410" s="68"/>
    </row>
    <row r="411" spans="2:95" ht="15.75" customHeight="1" x14ac:dyDescent="0.25">
      <c r="B411" s="970"/>
      <c r="C411" s="971"/>
      <c r="D411" s="972"/>
      <c r="E411" s="67"/>
      <c r="F411" s="955" t="s">
        <v>3</v>
      </c>
      <c r="G411" s="955"/>
      <c r="H411" s="955"/>
      <c r="I411" s="957" t="s">
        <v>823</v>
      </c>
      <c r="J411" s="956"/>
      <c r="K411" s="956"/>
      <c r="L411" s="956"/>
      <c r="M411" s="956"/>
      <c r="N411" s="67"/>
      <c r="O411" s="955" t="s">
        <v>3</v>
      </c>
      <c r="P411" s="955"/>
      <c r="Q411" s="955"/>
      <c r="R411" s="957" t="s">
        <v>828</v>
      </c>
      <c r="S411" s="956"/>
      <c r="T411" s="956"/>
      <c r="U411" s="956"/>
      <c r="V411" s="956"/>
      <c r="W411" s="67"/>
      <c r="X411" s="955" t="s">
        <v>3</v>
      </c>
      <c r="Y411" s="955"/>
      <c r="Z411" s="955"/>
      <c r="AA411" s="957" t="s">
        <v>831</v>
      </c>
      <c r="AB411" s="956"/>
      <c r="AC411" s="956"/>
      <c r="AD411" s="956"/>
      <c r="AE411" s="956"/>
      <c r="AF411" s="67"/>
      <c r="AG411" s="955" t="s">
        <v>3</v>
      </c>
      <c r="AH411" s="955"/>
      <c r="AI411" s="955"/>
      <c r="AJ411" s="957" t="s">
        <v>835</v>
      </c>
      <c r="AK411" s="956"/>
      <c r="AL411" s="956"/>
      <c r="AM411" s="956"/>
      <c r="AN411" s="956"/>
      <c r="AO411" s="67"/>
      <c r="AP411" s="955" t="s">
        <v>3</v>
      </c>
      <c r="AQ411" s="955"/>
      <c r="AR411" s="955"/>
      <c r="AS411" s="957" t="s">
        <v>840</v>
      </c>
      <c r="AT411" s="956"/>
      <c r="AU411" s="956"/>
      <c r="AV411" s="956"/>
      <c r="AW411" s="956"/>
      <c r="AX411" s="67"/>
      <c r="AY411" s="955" t="s">
        <v>3</v>
      </c>
      <c r="AZ411" s="955"/>
      <c r="BA411" s="955"/>
      <c r="BB411" s="957" t="s">
        <v>843</v>
      </c>
      <c r="BC411" s="956"/>
      <c r="BD411" s="956"/>
      <c r="BE411" s="956"/>
      <c r="BF411" s="956"/>
      <c r="BG411" s="67"/>
      <c r="BH411" s="955" t="s">
        <v>3</v>
      </c>
      <c r="BI411" s="955"/>
      <c r="BJ411" s="955"/>
      <c r="BK411" s="957" t="s">
        <v>847</v>
      </c>
      <c r="BL411" s="956"/>
      <c r="BM411" s="956"/>
      <c r="BN411" s="956"/>
      <c r="BO411" s="956"/>
      <c r="BP411" s="67"/>
      <c r="BQ411" s="955" t="s">
        <v>3</v>
      </c>
      <c r="BR411" s="955"/>
      <c r="BS411" s="955"/>
      <c r="BT411" s="957" t="s">
        <v>850</v>
      </c>
      <c r="BU411" s="956"/>
      <c r="BV411" s="956"/>
      <c r="BW411" s="956"/>
      <c r="BX411" s="956"/>
      <c r="BY411" s="67"/>
      <c r="BZ411" s="955" t="s">
        <v>3</v>
      </c>
      <c r="CA411" s="955"/>
      <c r="CB411" s="955"/>
      <c r="CC411" s="957" t="s">
        <v>854</v>
      </c>
      <c r="CD411" s="956"/>
      <c r="CE411" s="956"/>
      <c r="CF411" s="956"/>
      <c r="CG411" s="956"/>
      <c r="CH411" s="67"/>
      <c r="CI411" s="955" t="s">
        <v>3</v>
      </c>
      <c r="CJ411" s="955"/>
      <c r="CK411" s="955"/>
      <c r="CL411" s="957" t="s">
        <v>858</v>
      </c>
      <c r="CM411" s="956"/>
      <c r="CN411" s="956"/>
      <c r="CO411" s="956"/>
      <c r="CP411" s="956"/>
      <c r="CQ411" s="68"/>
    </row>
    <row r="412" spans="2:95" x14ac:dyDescent="0.25">
      <c r="B412" s="970"/>
      <c r="C412" s="971"/>
      <c r="D412" s="972"/>
      <c r="E412" s="67"/>
      <c r="F412" s="955"/>
      <c r="G412" s="955"/>
      <c r="H412" s="955"/>
      <c r="I412" s="956"/>
      <c r="J412" s="956"/>
      <c r="K412" s="956"/>
      <c r="L412" s="956"/>
      <c r="M412" s="956"/>
      <c r="N412" s="67"/>
      <c r="O412" s="955"/>
      <c r="P412" s="955"/>
      <c r="Q412" s="955"/>
      <c r="R412" s="956"/>
      <c r="S412" s="956"/>
      <c r="T412" s="956"/>
      <c r="U412" s="956"/>
      <c r="V412" s="956"/>
      <c r="W412" s="67"/>
      <c r="X412" s="955"/>
      <c r="Y412" s="955"/>
      <c r="Z412" s="955"/>
      <c r="AA412" s="956"/>
      <c r="AB412" s="956"/>
      <c r="AC412" s="956"/>
      <c r="AD412" s="956"/>
      <c r="AE412" s="956"/>
      <c r="AF412" s="67"/>
      <c r="AG412" s="955"/>
      <c r="AH412" s="955"/>
      <c r="AI412" s="955"/>
      <c r="AJ412" s="956"/>
      <c r="AK412" s="956"/>
      <c r="AL412" s="956"/>
      <c r="AM412" s="956"/>
      <c r="AN412" s="956"/>
      <c r="AO412" s="67"/>
      <c r="AP412" s="955"/>
      <c r="AQ412" s="955"/>
      <c r="AR412" s="955"/>
      <c r="AS412" s="956"/>
      <c r="AT412" s="956"/>
      <c r="AU412" s="956"/>
      <c r="AV412" s="956"/>
      <c r="AW412" s="956"/>
      <c r="AX412" s="67"/>
      <c r="AY412" s="955"/>
      <c r="AZ412" s="955"/>
      <c r="BA412" s="955"/>
      <c r="BB412" s="956"/>
      <c r="BC412" s="956"/>
      <c r="BD412" s="956"/>
      <c r="BE412" s="956"/>
      <c r="BF412" s="956"/>
      <c r="BG412" s="67"/>
      <c r="BH412" s="955"/>
      <c r="BI412" s="955"/>
      <c r="BJ412" s="955"/>
      <c r="BK412" s="956"/>
      <c r="BL412" s="956"/>
      <c r="BM412" s="956"/>
      <c r="BN412" s="956"/>
      <c r="BO412" s="956"/>
      <c r="BP412" s="67"/>
      <c r="BQ412" s="955"/>
      <c r="BR412" s="955"/>
      <c r="BS412" s="955"/>
      <c r="BT412" s="956"/>
      <c r="BU412" s="956"/>
      <c r="BV412" s="956"/>
      <c r="BW412" s="956"/>
      <c r="BX412" s="956"/>
      <c r="BY412" s="67"/>
      <c r="BZ412" s="955"/>
      <c r="CA412" s="955"/>
      <c r="CB412" s="955"/>
      <c r="CC412" s="956"/>
      <c r="CD412" s="956"/>
      <c r="CE412" s="956"/>
      <c r="CF412" s="956"/>
      <c r="CG412" s="956"/>
      <c r="CH412" s="67"/>
      <c r="CI412" s="955"/>
      <c r="CJ412" s="955"/>
      <c r="CK412" s="955"/>
      <c r="CL412" s="956"/>
      <c r="CM412" s="956"/>
      <c r="CN412" s="956"/>
      <c r="CO412" s="956"/>
      <c r="CP412" s="956"/>
      <c r="CQ412" s="68"/>
    </row>
    <row r="413" spans="2:95" x14ac:dyDescent="0.25">
      <c r="B413" s="970"/>
      <c r="C413" s="971"/>
      <c r="D413" s="972"/>
      <c r="E413" s="67"/>
      <c r="F413" s="955"/>
      <c r="G413" s="955"/>
      <c r="H413" s="955"/>
      <c r="I413" s="956"/>
      <c r="J413" s="956"/>
      <c r="K413" s="956"/>
      <c r="L413" s="956"/>
      <c r="M413" s="956"/>
      <c r="N413" s="67"/>
      <c r="O413" s="955"/>
      <c r="P413" s="955"/>
      <c r="Q413" s="955"/>
      <c r="R413" s="956"/>
      <c r="S413" s="956"/>
      <c r="T413" s="956"/>
      <c r="U413" s="956"/>
      <c r="V413" s="956"/>
      <c r="W413" s="67"/>
      <c r="X413" s="955"/>
      <c r="Y413" s="955"/>
      <c r="Z413" s="955"/>
      <c r="AA413" s="956"/>
      <c r="AB413" s="956"/>
      <c r="AC413" s="956"/>
      <c r="AD413" s="956"/>
      <c r="AE413" s="956"/>
      <c r="AF413" s="67"/>
      <c r="AG413" s="955"/>
      <c r="AH413" s="955"/>
      <c r="AI413" s="955"/>
      <c r="AJ413" s="956"/>
      <c r="AK413" s="956"/>
      <c r="AL413" s="956"/>
      <c r="AM413" s="956"/>
      <c r="AN413" s="956"/>
      <c r="AO413" s="67"/>
      <c r="AP413" s="955"/>
      <c r="AQ413" s="955"/>
      <c r="AR413" s="955"/>
      <c r="AS413" s="956"/>
      <c r="AT413" s="956"/>
      <c r="AU413" s="956"/>
      <c r="AV413" s="956"/>
      <c r="AW413" s="956"/>
      <c r="AX413" s="67"/>
      <c r="AY413" s="955"/>
      <c r="AZ413" s="955"/>
      <c r="BA413" s="955"/>
      <c r="BB413" s="956"/>
      <c r="BC413" s="956"/>
      <c r="BD413" s="956"/>
      <c r="BE413" s="956"/>
      <c r="BF413" s="956"/>
      <c r="BG413" s="67"/>
      <c r="BH413" s="955"/>
      <c r="BI413" s="955"/>
      <c r="BJ413" s="955"/>
      <c r="BK413" s="956"/>
      <c r="BL413" s="956"/>
      <c r="BM413" s="956"/>
      <c r="BN413" s="956"/>
      <c r="BO413" s="956"/>
      <c r="BP413" s="67"/>
      <c r="BQ413" s="955"/>
      <c r="BR413" s="955"/>
      <c r="BS413" s="955"/>
      <c r="BT413" s="956"/>
      <c r="BU413" s="956"/>
      <c r="BV413" s="956"/>
      <c r="BW413" s="956"/>
      <c r="BX413" s="956"/>
      <c r="BY413" s="67"/>
      <c r="BZ413" s="955"/>
      <c r="CA413" s="955"/>
      <c r="CB413" s="955"/>
      <c r="CC413" s="956"/>
      <c r="CD413" s="956"/>
      <c r="CE413" s="956"/>
      <c r="CF413" s="956"/>
      <c r="CG413" s="956"/>
      <c r="CH413" s="67"/>
      <c r="CI413" s="955"/>
      <c r="CJ413" s="955"/>
      <c r="CK413" s="955"/>
      <c r="CL413" s="956"/>
      <c r="CM413" s="956"/>
      <c r="CN413" s="956"/>
      <c r="CO413" s="956"/>
      <c r="CP413" s="956"/>
      <c r="CQ413" s="68"/>
    </row>
    <row r="414" spans="2:95" x14ac:dyDescent="0.25">
      <c r="B414" s="970"/>
      <c r="C414" s="971"/>
      <c r="D414" s="972"/>
      <c r="E414" s="67"/>
      <c r="F414" s="955" t="s">
        <v>4</v>
      </c>
      <c r="G414" s="955"/>
      <c r="H414" s="955"/>
      <c r="I414" s="956" t="s">
        <v>825</v>
      </c>
      <c r="J414" s="956"/>
      <c r="K414" s="956"/>
      <c r="L414" s="956"/>
      <c r="M414" s="956"/>
      <c r="N414" s="67"/>
      <c r="O414" s="955" t="s">
        <v>4</v>
      </c>
      <c r="P414" s="955"/>
      <c r="Q414" s="955"/>
      <c r="R414" s="956" t="s">
        <v>825</v>
      </c>
      <c r="S414" s="956"/>
      <c r="T414" s="956"/>
      <c r="U414" s="956"/>
      <c r="V414" s="956"/>
      <c r="W414" s="67"/>
      <c r="X414" s="955" t="s">
        <v>4</v>
      </c>
      <c r="Y414" s="955"/>
      <c r="Z414" s="955"/>
      <c r="AA414" s="956" t="s">
        <v>825</v>
      </c>
      <c r="AB414" s="956"/>
      <c r="AC414" s="956"/>
      <c r="AD414" s="956"/>
      <c r="AE414" s="956"/>
      <c r="AF414" s="67"/>
      <c r="AG414" s="955" t="s">
        <v>4</v>
      </c>
      <c r="AH414" s="955"/>
      <c r="AI414" s="955"/>
      <c r="AJ414" s="956" t="s">
        <v>825</v>
      </c>
      <c r="AK414" s="956"/>
      <c r="AL414" s="956"/>
      <c r="AM414" s="956"/>
      <c r="AN414" s="956"/>
      <c r="AO414" s="67"/>
      <c r="AP414" s="955" t="s">
        <v>4</v>
      </c>
      <c r="AQ414" s="955"/>
      <c r="AR414" s="955"/>
      <c r="AS414" s="956" t="s">
        <v>825</v>
      </c>
      <c r="AT414" s="956"/>
      <c r="AU414" s="956"/>
      <c r="AV414" s="956"/>
      <c r="AW414" s="956"/>
      <c r="AX414" s="67"/>
      <c r="AY414" s="955" t="s">
        <v>4</v>
      </c>
      <c r="AZ414" s="955"/>
      <c r="BA414" s="955"/>
      <c r="BB414" s="956" t="s">
        <v>825</v>
      </c>
      <c r="BC414" s="956"/>
      <c r="BD414" s="956"/>
      <c r="BE414" s="956"/>
      <c r="BF414" s="956"/>
      <c r="BG414" s="67"/>
      <c r="BH414" s="955" t="s">
        <v>4</v>
      </c>
      <c r="BI414" s="955"/>
      <c r="BJ414" s="955"/>
      <c r="BK414" s="956" t="s">
        <v>825</v>
      </c>
      <c r="BL414" s="956"/>
      <c r="BM414" s="956"/>
      <c r="BN414" s="956"/>
      <c r="BO414" s="956"/>
      <c r="BP414" s="67"/>
      <c r="BQ414" s="955" t="s">
        <v>4</v>
      </c>
      <c r="BR414" s="955"/>
      <c r="BS414" s="955"/>
      <c r="BT414" s="956" t="s">
        <v>825</v>
      </c>
      <c r="BU414" s="956"/>
      <c r="BV414" s="956"/>
      <c r="BW414" s="956"/>
      <c r="BX414" s="956"/>
      <c r="BY414" s="67"/>
      <c r="BZ414" s="955" t="s">
        <v>4</v>
      </c>
      <c r="CA414" s="955"/>
      <c r="CB414" s="955"/>
      <c r="CC414" s="956" t="s">
        <v>825</v>
      </c>
      <c r="CD414" s="956"/>
      <c r="CE414" s="956"/>
      <c r="CF414" s="956"/>
      <c r="CG414" s="956"/>
      <c r="CH414" s="67"/>
      <c r="CI414" s="955" t="s">
        <v>4</v>
      </c>
      <c r="CJ414" s="955"/>
      <c r="CK414" s="955"/>
      <c r="CL414" s="956" t="s">
        <v>825</v>
      </c>
      <c r="CM414" s="956"/>
      <c r="CN414" s="956"/>
      <c r="CO414" s="956"/>
      <c r="CP414" s="956"/>
      <c r="CQ414" s="68"/>
    </row>
    <row r="415" spans="2:95" x14ac:dyDescent="0.25">
      <c r="B415" s="970"/>
      <c r="C415" s="971"/>
      <c r="D415" s="972"/>
      <c r="E415" s="67"/>
      <c r="F415" s="955"/>
      <c r="G415" s="955"/>
      <c r="H415" s="955"/>
      <c r="I415" s="956"/>
      <c r="J415" s="956"/>
      <c r="K415" s="956"/>
      <c r="L415" s="956"/>
      <c r="M415" s="956"/>
      <c r="N415" s="67"/>
      <c r="O415" s="955"/>
      <c r="P415" s="955"/>
      <c r="Q415" s="955"/>
      <c r="R415" s="956"/>
      <c r="S415" s="956"/>
      <c r="T415" s="956"/>
      <c r="U415" s="956"/>
      <c r="V415" s="956"/>
      <c r="W415" s="67"/>
      <c r="X415" s="955"/>
      <c r="Y415" s="955"/>
      <c r="Z415" s="955"/>
      <c r="AA415" s="956"/>
      <c r="AB415" s="956"/>
      <c r="AC415" s="956"/>
      <c r="AD415" s="956"/>
      <c r="AE415" s="956"/>
      <c r="AF415" s="67"/>
      <c r="AG415" s="955"/>
      <c r="AH415" s="955"/>
      <c r="AI415" s="955"/>
      <c r="AJ415" s="956"/>
      <c r="AK415" s="956"/>
      <c r="AL415" s="956"/>
      <c r="AM415" s="956"/>
      <c r="AN415" s="956"/>
      <c r="AO415" s="67"/>
      <c r="AP415" s="955"/>
      <c r="AQ415" s="955"/>
      <c r="AR415" s="955"/>
      <c r="AS415" s="956"/>
      <c r="AT415" s="956"/>
      <c r="AU415" s="956"/>
      <c r="AV415" s="956"/>
      <c r="AW415" s="956"/>
      <c r="AX415" s="67"/>
      <c r="AY415" s="955"/>
      <c r="AZ415" s="955"/>
      <c r="BA415" s="955"/>
      <c r="BB415" s="956"/>
      <c r="BC415" s="956"/>
      <c r="BD415" s="956"/>
      <c r="BE415" s="956"/>
      <c r="BF415" s="956"/>
      <c r="BG415" s="67"/>
      <c r="BH415" s="955"/>
      <c r="BI415" s="955"/>
      <c r="BJ415" s="955"/>
      <c r="BK415" s="956"/>
      <c r="BL415" s="956"/>
      <c r="BM415" s="956"/>
      <c r="BN415" s="956"/>
      <c r="BO415" s="956"/>
      <c r="BP415" s="67"/>
      <c r="BQ415" s="955"/>
      <c r="BR415" s="955"/>
      <c r="BS415" s="955"/>
      <c r="BT415" s="956"/>
      <c r="BU415" s="956"/>
      <c r="BV415" s="956"/>
      <c r="BW415" s="956"/>
      <c r="BX415" s="956"/>
      <c r="BY415" s="67"/>
      <c r="BZ415" s="955"/>
      <c r="CA415" s="955"/>
      <c r="CB415" s="955"/>
      <c r="CC415" s="956"/>
      <c r="CD415" s="956"/>
      <c r="CE415" s="956"/>
      <c r="CF415" s="956"/>
      <c r="CG415" s="956"/>
      <c r="CH415" s="67"/>
      <c r="CI415" s="955"/>
      <c r="CJ415" s="955"/>
      <c r="CK415" s="955"/>
      <c r="CL415" s="956"/>
      <c r="CM415" s="956"/>
      <c r="CN415" s="956"/>
      <c r="CO415" s="956"/>
      <c r="CP415" s="956"/>
      <c r="CQ415" s="68"/>
    </row>
    <row r="416" spans="2:95" x14ac:dyDescent="0.25">
      <c r="B416" s="970"/>
      <c r="C416" s="971"/>
      <c r="D416" s="972"/>
      <c r="E416" s="67"/>
      <c r="F416" s="955"/>
      <c r="G416" s="955"/>
      <c r="H416" s="955"/>
      <c r="I416" s="956"/>
      <c r="J416" s="956"/>
      <c r="K416" s="956"/>
      <c r="L416" s="956"/>
      <c r="M416" s="956"/>
      <c r="N416" s="67"/>
      <c r="O416" s="955"/>
      <c r="P416" s="955"/>
      <c r="Q416" s="955"/>
      <c r="R416" s="956"/>
      <c r="S416" s="956"/>
      <c r="T416" s="956"/>
      <c r="U416" s="956"/>
      <c r="V416" s="956"/>
      <c r="W416" s="67"/>
      <c r="X416" s="955"/>
      <c r="Y416" s="955"/>
      <c r="Z416" s="955"/>
      <c r="AA416" s="956"/>
      <c r="AB416" s="956"/>
      <c r="AC416" s="956"/>
      <c r="AD416" s="956"/>
      <c r="AE416" s="956"/>
      <c r="AF416" s="67"/>
      <c r="AG416" s="955"/>
      <c r="AH416" s="955"/>
      <c r="AI416" s="955"/>
      <c r="AJ416" s="956"/>
      <c r="AK416" s="956"/>
      <c r="AL416" s="956"/>
      <c r="AM416" s="956"/>
      <c r="AN416" s="956"/>
      <c r="AO416" s="67"/>
      <c r="AP416" s="955"/>
      <c r="AQ416" s="955"/>
      <c r="AR416" s="955"/>
      <c r="AS416" s="956"/>
      <c r="AT416" s="956"/>
      <c r="AU416" s="956"/>
      <c r="AV416" s="956"/>
      <c r="AW416" s="956"/>
      <c r="AX416" s="67"/>
      <c r="AY416" s="955"/>
      <c r="AZ416" s="955"/>
      <c r="BA416" s="955"/>
      <c r="BB416" s="956"/>
      <c r="BC416" s="956"/>
      <c r="BD416" s="956"/>
      <c r="BE416" s="956"/>
      <c r="BF416" s="956"/>
      <c r="BG416" s="67"/>
      <c r="BH416" s="955"/>
      <c r="BI416" s="955"/>
      <c r="BJ416" s="955"/>
      <c r="BK416" s="956"/>
      <c r="BL416" s="956"/>
      <c r="BM416" s="956"/>
      <c r="BN416" s="956"/>
      <c r="BO416" s="956"/>
      <c r="BP416" s="67"/>
      <c r="BQ416" s="955"/>
      <c r="BR416" s="955"/>
      <c r="BS416" s="955"/>
      <c r="BT416" s="956"/>
      <c r="BU416" s="956"/>
      <c r="BV416" s="956"/>
      <c r="BW416" s="956"/>
      <c r="BX416" s="956"/>
      <c r="BY416" s="67"/>
      <c r="BZ416" s="955"/>
      <c r="CA416" s="955"/>
      <c r="CB416" s="955"/>
      <c r="CC416" s="956"/>
      <c r="CD416" s="956"/>
      <c r="CE416" s="956"/>
      <c r="CF416" s="956"/>
      <c r="CG416" s="956"/>
      <c r="CH416" s="67"/>
      <c r="CI416" s="955"/>
      <c r="CJ416" s="955"/>
      <c r="CK416" s="955"/>
      <c r="CL416" s="956"/>
      <c r="CM416" s="956"/>
      <c r="CN416" s="956"/>
      <c r="CO416" s="956"/>
      <c r="CP416" s="956"/>
      <c r="CQ416" s="68"/>
    </row>
    <row r="417" spans="2:95" x14ac:dyDescent="0.25">
      <c r="B417" s="970"/>
      <c r="C417" s="971"/>
      <c r="D417" s="972"/>
      <c r="E417" s="67"/>
      <c r="F417" s="955" t="s">
        <v>5</v>
      </c>
      <c r="G417" s="955"/>
      <c r="H417" s="955"/>
      <c r="I417" s="956" t="s">
        <v>826</v>
      </c>
      <c r="J417" s="956"/>
      <c r="K417" s="956"/>
      <c r="L417" s="956"/>
      <c r="M417" s="956"/>
      <c r="N417" s="67"/>
      <c r="O417" s="955" t="s">
        <v>5</v>
      </c>
      <c r="P417" s="955"/>
      <c r="Q417" s="955"/>
      <c r="R417" s="956" t="s">
        <v>829</v>
      </c>
      <c r="S417" s="956"/>
      <c r="T417" s="956"/>
      <c r="U417" s="956"/>
      <c r="V417" s="956"/>
      <c r="W417" s="67"/>
      <c r="X417" s="955" t="s">
        <v>5</v>
      </c>
      <c r="Y417" s="955"/>
      <c r="Z417" s="955"/>
      <c r="AA417" s="956" t="s">
        <v>833</v>
      </c>
      <c r="AB417" s="956"/>
      <c r="AC417" s="956"/>
      <c r="AD417" s="956"/>
      <c r="AE417" s="956"/>
      <c r="AF417" s="67"/>
      <c r="AG417" s="955" t="s">
        <v>5</v>
      </c>
      <c r="AH417" s="955"/>
      <c r="AI417" s="955"/>
      <c r="AJ417" s="956" t="s">
        <v>837</v>
      </c>
      <c r="AK417" s="956"/>
      <c r="AL417" s="956"/>
      <c r="AM417" s="956"/>
      <c r="AN417" s="956"/>
      <c r="AO417" s="67"/>
      <c r="AP417" s="955" t="s">
        <v>5</v>
      </c>
      <c r="AQ417" s="955"/>
      <c r="AR417" s="955"/>
      <c r="AS417" s="956" t="s">
        <v>841</v>
      </c>
      <c r="AT417" s="956"/>
      <c r="AU417" s="956"/>
      <c r="AV417" s="956"/>
      <c r="AW417" s="956"/>
      <c r="AX417" s="67"/>
      <c r="AY417" s="955" t="s">
        <v>5</v>
      </c>
      <c r="AZ417" s="955"/>
      <c r="BA417" s="955"/>
      <c r="BB417" s="956" t="s">
        <v>845</v>
      </c>
      <c r="BC417" s="956"/>
      <c r="BD417" s="956"/>
      <c r="BE417" s="956"/>
      <c r="BF417" s="956"/>
      <c r="BG417" s="67"/>
      <c r="BH417" s="955" t="s">
        <v>5</v>
      </c>
      <c r="BI417" s="955"/>
      <c r="BJ417" s="955"/>
      <c r="BK417" s="956" t="s">
        <v>916</v>
      </c>
      <c r="BL417" s="956"/>
      <c r="BM417" s="956"/>
      <c r="BN417" s="956"/>
      <c r="BO417" s="956"/>
      <c r="BP417" s="67"/>
      <c r="BQ417" s="955" t="s">
        <v>5</v>
      </c>
      <c r="BR417" s="955"/>
      <c r="BS417" s="955"/>
      <c r="BT417" s="956" t="s">
        <v>852</v>
      </c>
      <c r="BU417" s="956"/>
      <c r="BV417" s="956"/>
      <c r="BW417" s="956"/>
      <c r="BX417" s="956"/>
      <c r="BY417" s="67"/>
      <c r="BZ417" s="955" t="s">
        <v>5</v>
      </c>
      <c r="CA417" s="955"/>
      <c r="CB417" s="955"/>
      <c r="CC417" s="956" t="s">
        <v>856</v>
      </c>
      <c r="CD417" s="956"/>
      <c r="CE417" s="956"/>
      <c r="CF417" s="956"/>
      <c r="CG417" s="956"/>
      <c r="CH417" s="67"/>
      <c r="CI417" s="955" t="s">
        <v>5</v>
      </c>
      <c r="CJ417" s="955"/>
      <c r="CK417" s="955"/>
      <c r="CL417" s="956" t="s">
        <v>860</v>
      </c>
      <c r="CM417" s="956"/>
      <c r="CN417" s="956"/>
      <c r="CO417" s="956"/>
      <c r="CP417" s="956"/>
      <c r="CQ417" s="68"/>
    </row>
    <row r="418" spans="2:95" x14ac:dyDescent="0.25">
      <c r="B418" s="970"/>
      <c r="C418" s="971"/>
      <c r="D418" s="972"/>
      <c r="E418" s="67"/>
      <c r="F418" s="955"/>
      <c r="G418" s="955"/>
      <c r="H418" s="955"/>
      <c r="I418" s="956"/>
      <c r="J418" s="956"/>
      <c r="K418" s="956"/>
      <c r="L418" s="956"/>
      <c r="M418" s="956"/>
      <c r="N418" s="67"/>
      <c r="O418" s="955"/>
      <c r="P418" s="955"/>
      <c r="Q418" s="955"/>
      <c r="R418" s="956"/>
      <c r="S418" s="956"/>
      <c r="T418" s="956"/>
      <c r="U418" s="956"/>
      <c r="V418" s="956"/>
      <c r="W418" s="67"/>
      <c r="X418" s="955"/>
      <c r="Y418" s="955"/>
      <c r="Z418" s="955"/>
      <c r="AA418" s="956"/>
      <c r="AB418" s="956"/>
      <c r="AC418" s="956"/>
      <c r="AD418" s="956"/>
      <c r="AE418" s="956"/>
      <c r="AF418" s="67"/>
      <c r="AG418" s="955"/>
      <c r="AH418" s="955"/>
      <c r="AI418" s="955"/>
      <c r="AJ418" s="956"/>
      <c r="AK418" s="956"/>
      <c r="AL418" s="956"/>
      <c r="AM418" s="956"/>
      <c r="AN418" s="956"/>
      <c r="AO418" s="67"/>
      <c r="AP418" s="955"/>
      <c r="AQ418" s="955"/>
      <c r="AR418" s="955"/>
      <c r="AS418" s="956"/>
      <c r="AT418" s="956"/>
      <c r="AU418" s="956"/>
      <c r="AV418" s="956"/>
      <c r="AW418" s="956"/>
      <c r="AX418" s="67"/>
      <c r="AY418" s="955"/>
      <c r="AZ418" s="955"/>
      <c r="BA418" s="955"/>
      <c r="BB418" s="956"/>
      <c r="BC418" s="956"/>
      <c r="BD418" s="956"/>
      <c r="BE418" s="956"/>
      <c r="BF418" s="956"/>
      <c r="BG418" s="67"/>
      <c r="BH418" s="955"/>
      <c r="BI418" s="955"/>
      <c r="BJ418" s="955"/>
      <c r="BK418" s="956"/>
      <c r="BL418" s="956"/>
      <c r="BM418" s="956"/>
      <c r="BN418" s="956"/>
      <c r="BO418" s="956"/>
      <c r="BP418" s="67"/>
      <c r="BQ418" s="955"/>
      <c r="BR418" s="955"/>
      <c r="BS418" s="955"/>
      <c r="BT418" s="956"/>
      <c r="BU418" s="956"/>
      <c r="BV418" s="956"/>
      <c r="BW418" s="956"/>
      <c r="BX418" s="956"/>
      <c r="BY418" s="67"/>
      <c r="BZ418" s="955"/>
      <c r="CA418" s="955"/>
      <c r="CB418" s="955"/>
      <c r="CC418" s="956"/>
      <c r="CD418" s="956"/>
      <c r="CE418" s="956"/>
      <c r="CF418" s="956"/>
      <c r="CG418" s="956"/>
      <c r="CH418" s="67"/>
      <c r="CI418" s="955"/>
      <c r="CJ418" s="955"/>
      <c r="CK418" s="955"/>
      <c r="CL418" s="956"/>
      <c r="CM418" s="956"/>
      <c r="CN418" s="956"/>
      <c r="CO418" s="956"/>
      <c r="CP418" s="956"/>
      <c r="CQ418" s="68"/>
    </row>
    <row r="419" spans="2:95" x14ac:dyDescent="0.25">
      <c r="B419" s="970"/>
      <c r="C419" s="971"/>
      <c r="D419" s="972"/>
      <c r="E419" s="67"/>
      <c r="F419" s="955"/>
      <c r="G419" s="955"/>
      <c r="H419" s="955"/>
      <c r="I419" s="956"/>
      <c r="J419" s="956"/>
      <c r="K419" s="956"/>
      <c r="L419" s="956"/>
      <c r="M419" s="956"/>
      <c r="N419" s="67"/>
      <c r="O419" s="955"/>
      <c r="P419" s="955"/>
      <c r="Q419" s="955"/>
      <c r="R419" s="956"/>
      <c r="S419" s="956"/>
      <c r="T419" s="956"/>
      <c r="U419" s="956"/>
      <c r="V419" s="956"/>
      <c r="W419" s="67"/>
      <c r="X419" s="955"/>
      <c r="Y419" s="955"/>
      <c r="Z419" s="955"/>
      <c r="AA419" s="956"/>
      <c r="AB419" s="956"/>
      <c r="AC419" s="956"/>
      <c r="AD419" s="956"/>
      <c r="AE419" s="956"/>
      <c r="AF419" s="67"/>
      <c r="AG419" s="955"/>
      <c r="AH419" s="955"/>
      <c r="AI419" s="955"/>
      <c r="AJ419" s="956"/>
      <c r="AK419" s="956"/>
      <c r="AL419" s="956"/>
      <c r="AM419" s="956"/>
      <c r="AN419" s="956"/>
      <c r="AO419" s="67"/>
      <c r="AP419" s="955"/>
      <c r="AQ419" s="955"/>
      <c r="AR419" s="955"/>
      <c r="AS419" s="956"/>
      <c r="AT419" s="956"/>
      <c r="AU419" s="956"/>
      <c r="AV419" s="956"/>
      <c r="AW419" s="956"/>
      <c r="AX419" s="67"/>
      <c r="AY419" s="955"/>
      <c r="AZ419" s="955"/>
      <c r="BA419" s="955"/>
      <c r="BB419" s="956"/>
      <c r="BC419" s="956"/>
      <c r="BD419" s="956"/>
      <c r="BE419" s="956"/>
      <c r="BF419" s="956"/>
      <c r="BG419" s="67"/>
      <c r="BH419" s="955"/>
      <c r="BI419" s="955"/>
      <c r="BJ419" s="955"/>
      <c r="BK419" s="956"/>
      <c r="BL419" s="956"/>
      <c r="BM419" s="956"/>
      <c r="BN419" s="956"/>
      <c r="BO419" s="956"/>
      <c r="BP419" s="67"/>
      <c r="BQ419" s="955"/>
      <c r="BR419" s="955"/>
      <c r="BS419" s="955"/>
      <c r="BT419" s="956"/>
      <c r="BU419" s="956"/>
      <c r="BV419" s="956"/>
      <c r="BW419" s="956"/>
      <c r="BX419" s="956"/>
      <c r="BY419" s="67"/>
      <c r="BZ419" s="955"/>
      <c r="CA419" s="955"/>
      <c r="CB419" s="955"/>
      <c r="CC419" s="956"/>
      <c r="CD419" s="956"/>
      <c r="CE419" s="956"/>
      <c r="CF419" s="956"/>
      <c r="CG419" s="956"/>
      <c r="CH419" s="67"/>
      <c r="CI419" s="955"/>
      <c r="CJ419" s="955"/>
      <c r="CK419" s="955"/>
      <c r="CL419" s="956"/>
      <c r="CM419" s="956"/>
      <c r="CN419" s="956"/>
      <c r="CO419" s="956"/>
      <c r="CP419" s="956"/>
      <c r="CQ419" s="68"/>
    </row>
    <row r="420" spans="2:95" x14ac:dyDescent="0.25">
      <c r="B420" s="970"/>
      <c r="C420" s="971"/>
      <c r="D420" s="972"/>
      <c r="E420" s="67"/>
      <c r="F420" s="955" t="s">
        <v>6</v>
      </c>
      <c r="G420" s="955"/>
      <c r="H420" s="955"/>
      <c r="I420" s="956" t="s">
        <v>9</v>
      </c>
      <c r="J420" s="956"/>
      <c r="K420" s="956"/>
      <c r="L420" s="956"/>
      <c r="M420" s="956"/>
      <c r="N420" s="67"/>
      <c r="O420" s="955" t="s">
        <v>6</v>
      </c>
      <c r="P420" s="955"/>
      <c r="Q420" s="955"/>
      <c r="R420" s="956" t="s">
        <v>9</v>
      </c>
      <c r="S420" s="956"/>
      <c r="T420" s="956"/>
      <c r="U420" s="956"/>
      <c r="V420" s="956"/>
      <c r="W420" s="67"/>
      <c r="X420" s="955" t="s">
        <v>6</v>
      </c>
      <c r="Y420" s="955"/>
      <c r="Z420" s="955"/>
      <c r="AA420" s="956" t="s">
        <v>9</v>
      </c>
      <c r="AB420" s="956"/>
      <c r="AC420" s="956"/>
      <c r="AD420" s="956"/>
      <c r="AE420" s="956"/>
      <c r="AF420" s="67"/>
      <c r="AG420" s="955" t="s">
        <v>6</v>
      </c>
      <c r="AH420" s="955"/>
      <c r="AI420" s="955"/>
      <c r="AJ420" s="956" t="s">
        <v>9</v>
      </c>
      <c r="AK420" s="956"/>
      <c r="AL420" s="956"/>
      <c r="AM420" s="956"/>
      <c r="AN420" s="956"/>
      <c r="AO420" s="67"/>
      <c r="AP420" s="955" t="s">
        <v>6</v>
      </c>
      <c r="AQ420" s="955"/>
      <c r="AR420" s="955"/>
      <c r="AS420" s="956" t="s">
        <v>9</v>
      </c>
      <c r="AT420" s="956"/>
      <c r="AU420" s="956"/>
      <c r="AV420" s="956"/>
      <c r="AW420" s="956"/>
      <c r="AX420" s="67"/>
      <c r="AY420" s="955" t="s">
        <v>6</v>
      </c>
      <c r="AZ420" s="955"/>
      <c r="BA420" s="955"/>
      <c r="BB420" s="956" t="s">
        <v>9</v>
      </c>
      <c r="BC420" s="956"/>
      <c r="BD420" s="956"/>
      <c r="BE420" s="956"/>
      <c r="BF420" s="956"/>
      <c r="BG420" s="67"/>
      <c r="BH420" s="955" t="s">
        <v>6</v>
      </c>
      <c r="BI420" s="955"/>
      <c r="BJ420" s="955"/>
      <c r="BK420" s="956" t="s">
        <v>9</v>
      </c>
      <c r="BL420" s="956"/>
      <c r="BM420" s="956"/>
      <c r="BN420" s="956"/>
      <c r="BO420" s="956"/>
      <c r="BP420" s="67"/>
      <c r="BQ420" s="955" t="s">
        <v>6</v>
      </c>
      <c r="BR420" s="955"/>
      <c r="BS420" s="955"/>
      <c r="BT420" s="956" t="s">
        <v>9</v>
      </c>
      <c r="BU420" s="956"/>
      <c r="BV420" s="956"/>
      <c r="BW420" s="956"/>
      <c r="BX420" s="956"/>
      <c r="BY420" s="67"/>
      <c r="BZ420" s="955" t="s">
        <v>6</v>
      </c>
      <c r="CA420" s="955"/>
      <c r="CB420" s="955"/>
      <c r="CC420" s="956" t="s">
        <v>9</v>
      </c>
      <c r="CD420" s="956"/>
      <c r="CE420" s="956"/>
      <c r="CF420" s="956"/>
      <c r="CG420" s="956"/>
      <c r="CH420" s="67"/>
      <c r="CI420" s="955" t="s">
        <v>6</v>
      </c>
      <c r="CJ420" s="955"/>
      <c r="CK420" s="955"/>
      <c r="CL420" s="956" t="s">
        <v>9</v>
      </c>
      <c r="CM420" s="956"/>
      <c r="CN420" s="956"/>
      <c r="CO420" s="956"/>
      <c r="CP420" s="956"/>
      <c r="CQ420" s="68"/>
    </row>
    <row r="421" spans="2:95" x14ac:dyDescent="0.25">
      <c r="B421" s="970"/>
      <c r="C421" s="971"/>
      <c r="D421" s="972"/>
      <c r="E421" s="67"/>
      <c r="F421" s="955"/>
      <c r="G421" s="955"/>
      <c r="H421" s="955"/>
      <c r="I421" s="956"/>
      <c r="J421" s="956"/>
      <c r="K421" s="956"/>
      <c r="L421" s="956"/>
      <c r="M421" s="956"/>
      <c r="N421" s="67"/>
      <c r="O421" s="955"/>
      <c r="P421" s="955"/>
      <c r="Q421" s="955"/>
      <c r="R421" s="956"/>
      <c r="S421" s="956"/>
      <c r="T421" s="956"/>
      <c r="U421" s="956"/>
      <c r="V421" s="956"/>
      <c r="W421" s="67"/>
      <c r="X421" s="955"/>
      <c r="Y421" s="955"/>
      <c r="Z421" s="955"/>
      <c r="AA421" s="956"/>
      <c r="AB421" s="956"/>
      <c r="AC421" s="956"/>
      <c r="AD421" s="956"/>
      <c r="AE421" s="956"/>
      <c r="AF421" s="67"/>
      <c r="AG421" s="955"/>
      <c r="AH421" s="955"/>
      <c r="AI421" s="955"/>
      <c r="AJ421" s="956"/>
      <c r="AK421" s="956"/>
      <c r="AL421" s="956"/>
      <c r="AM421" s="956"/>
      <c r="AN421" s="956"/>
      <c r="AO421" s="67"/>
      <c r="AP421" s="955"/>
      <c r="AQ421" s="955"/>
      <c r="AR421" s="955"/>
      <c r="AS421" s="956"/>
      <c r="AT421" s="956"/>
      <c r="AU421" s="956"/>
      <c r="AV421" s="956"/>
      <c r="AW421" s="956"/>
      <c r="AX421" s="67"/>
      <c r="AY421" s="955"/>
      <c r="AZ421" s="955"/>
      <c r="BA421" s="955"/>
      <c r="BB421" s="956"/>
      <c r="BC421" s="956"/>
      <c r="BD421" s="956"/>
      <c r="BE421" s="956"/>
      <c r="BF421" s="956"/>
      <c r="BG421" s="67"/>
      <c r="BH421" s="955"/>
      <c r="BI421" s="955"/>
      <c r="BJ421" s="955"/>
      <c r="BK421" s="956"/>
      <c r="BL421" s="956"/>
      <c r="BM421" s="956"/>
      <c r="BN421" s="956"/>
      <c r="BO421" s="956"/>
      <c r="BP421" s="67"/>
      <c r="BQ421" s="955"/>
      <c r="BR421" s="955"/>
      <c r="BS421" s="955"/>
      <c r="BT421" s="956"/>
      <c r="BU421" s="956"/>
      <c r="BV421" s="956"/>
      <c r="BW421" s="956"/>
      <c r="BX421" s="956"/>
      <c r="BY421" s="67"/>
      <c r="BZ421" s="955"/>
      <c r="CA421" s="955"/>
      <c r="CB421" s="955"/>
      <c r="CC421" s="956"/>
      <c r="CD421" s="956"/>
      <c r="CE421" s="956"/>
      <c r="CF421" s="956"/>
      <c r="CG421" s="956"/>
      <c r="CH421" s="67"/>
      <c r="CI421" s="955"/>
      <c r="CJ421" s="955"/>
      <c r="CK421" s="955"/>
      <c r="CL421" s="956"/>
      <c r="CM421" s="956"/>
      <c r="CN421" s="956"/>
      <c r="CO421" s="956"/>
      <c r="CP421" s="956"/>
      <c r="CQ421" s="68"/>
    </row>
    <row r="422" spans="2:95" x14ac:dyDescent="0.25">
      <c r="B422" s="970"/>
      <c r="C422" s="971"/>
      <c r="D422" s="972"/>
      <c r="E422" s="67"/>
      <c r="F422" s="955"/>
      <c r="G422" s="955"/>
      <c r="H422" s="955"/>
      <c r="I422" s="956"/>
      <c r="J422" s="956"/>
      <c r="K422" s="956"/>
      <c r="L422" s="956"/>
      <c r="M422" s="956"/>
      <c r="N422" s="67"/>
      <c r="O422" s="955"/>
      <c r="P422" s="955"/>
      <c r="Q422" s="955"/>
      <c r="R422" s="956"/>
      <c r="S422" s="956"/>
      <c r="T422" s="956"/>
      <c r="U422" s="956"/>
      <c r="V422" s="956"/>
      <c r="W422" s="67"/>
      <c r="X422" s="955"/>
      <c r="Y422" s="955"/>
      <c r="Z422" s="955"/>
      <c r="AA422" s="956"/>
      <c r="AB422" s="956"/>
      <c r="AC422" s="956"/>
      <c r="AD422" s="956"/>
      <c r="AE422" s="956"/>
      <c r="AF422" s="67"/>
      <c r="AG422" s="955"/>
      <c r="AH422" s="955"/>
      <c r="AI422" s="955"/>
      <c r="AJ422" s="956"/>
      <c r="AK422" s="956"/>
      <c r="AL422" s="956"/>
      <c r="AM422" s="956"/>
      <c r="AN422" s="956"/>
      <c r="AO422" s="67"/>
      <c r="AP422" s="955"/>
      <c r="AQ422" s="955"/>
      <c r="AR422" s="955"/>
      <c r="AS422" s="956"/>
      <c r="AT422" s="956"/>
      <c r="AU422" s="956"/>
      <c r="AV422" s="956"/>
      <c r="AW422" s="956"/>
      <c r="AX422" s="67"/>
      <c r="AY422" s="955"/>
      <c r="AZ422" s="955"/>
      <c r="BA422" s="955"/>
      <c r="BB422" s="956"/>
      <c r="BC422" s="956"/>
      <c r="BD422" s="956"/>
      <c r="BE422" s="956"/>
      <c r="BF422" s="956"/>
      <c r="BG422" s="67"/>
      <c r="BH422" s="955"/>
      <c r="BI422" s="955"/>
      <c r="BJ422" s="955"/>
      <c r="BK422" s="956"/>
      <c r="BL422" s="956"/>
      <c r="BM422" s="956"/>
      <c r="BN422" s="956"/>
      <c r="BO422" s="956"/>
      <c r="BP422" s="67"/>
      <c r="BQ422" s="955"/>
      <c r="BR422" s="955"/>
      <c r="BS422" s="955"/>
      <c r="BT422" s="956"/>
      <c r="BU422" s="956"/>
      <c r="BV422" s="956"/>
      <c r="BW422" s="956"/>
      <c r="BX422" s="956"/>
      <c r="BY422" s="67"/>
      <c r="BZ422" s="955"/>
      <c r="CA422" s="955"/>
      <c r="CB422" s="955"/>
      <c r="CC422" s="956"/>
      <c r="CD422" s="956"/>
      <c r="CE422" s="956"/>
      <c r="CF422" s="956"/>
      <c r="CG422" s="956"/>
      <c r="CH422" s="67"/>
      <c r="CI422" s="955"/>
      <c r="CJ422" s="955"/>
      <c r="CK422" s="955"/>
      <c r="CL422" s="956"/>
      <c r="CM422" s="956"/>
      <c r="CN422" s="956"/>
      <c r="CO422" s="956"/>
      <c r="CP422" s="956"/>
      <c r="CQ422" s="68"/>
    </row>
    <row r="423" spans="2:95" x14ac:dyDescent="0.25">
      <c r="B423" s="970"/>
      <c r="C423" s="971"/>
      <c r="D423" s="972"/>
      <c r="E423" s="67"/>
      <c r="F423" s="955" t="s">
        <v>7</v>
      </c>
      <c r="G423" s="955"/>
      <c r="H423" s="955"/>
      <c r="I423" s="956" t="s">
        <v>2145</v>
      </c>
      <c r="J423" s="956"/>
      <c r="K423" s="956"/>
      <c r="L423" s="956"/>
      <c r="M423" s="956"/>
      <c r="N423" s="67"/>
      <c r="O423" s="955" t="s">
        <v>7</v>
      </c>
      <c r="P423" s="955"/>
      <c r="Q423" s="955"/>
      <c r="R423" s="956" t="s">
        <v>830</v>
      </c>
      <c r="S423" s="956"/>
      <c r="T423" s="956"/>
      <c r="U423" s="956"/>
      <c r="V423" s="956"/>
      <c r="W423" s="67"/>
      <c r="X423" s="955" t="s">
        <v>7</v>
      </c>
      <c r="Y423" s="955"/>
      <c r="Z423" s="955"/>
      <c r="AA423" s="956" t="s">
        <v>834</v>
      </c>
      <c r="AB423" s="956"/>
      <c r="AC423" s="956"/>
      <c r="AD423" s="956"/>
      <c r="AE423" s="956"/>
      <c r="AF423" s="67"/>
      <c r="AG423" s="955" t="s">
        <v>7</v>
      </c>
      <c r="AH423" s="955"/>
      <c r="AI423" s="955"/>
      <c r="AJ423" s="956" t="s">
        <v>838</v>
      </c>
      <c r="AK423" s="956"/>
      <c r="AL423" s="956"/>
      <c r="AM423" s="956"/>
      <c r="AN423" s="956"/>
      <c r="AO423" s="67"/>
      <c r="AP423" s="955" t="s">
        <v>7</v>
      </c>
      <c r="AQ423" s="955"/>
      <c r="AR423" s="955"/>
      <c r="AS423" s="956" t="s">
        <v>842</v>
      </c>
      <c r="AT423" s="956"/>
      <c r="AU423" s="956"/>
      <c r="AV423" s="956"/>
      <c r="AW423" s="956"/>
      <c r="AX423" s="67"/>
      <c r="AY423" s="955" t="s">
        <v>7</v>
      </c>
      <c r="AZ423" s="955"/>
      <c r="BA423" s="955"/>
      <c r="BB423" s="956" t="s">
        <v>846</v>
      </c>
      <c r="BC423" s="956"/>
      <c r="BD423" s="956"/>
      <c r="BE423" s="956"/>
      <c r="BF423" s="956"/>
      <c r="BG423" s="67"/>
      <c r="BH423" s="955" t="s">
        <v>7</v>
      </c>
      <c r="BI423" s="955"/>
      <c r="BJ423" s="955"/>
      <c r="BK423" s="956" t="s">
        <v>849</v>
      </c>
      <c r="BL423" s="956"/>
      <c r="BM423" s="956"/>
      <c r="BN423" s="956"/>
      <c r="BO423" s="956"/>
      <c r="BP423" s="67"/>
      <c r="BQ423" s="955" t="s">
        <v>7</v>
      </c>
      <c r="BR423" s="955"/>
      <c r="BS423" s="955"/>
      <c r="BT423" s="956" t="s">
        <v>853</v>
      </c>
      <c r="BU423" s="956"/>
      <c r="BV423" s="956"/>
      <c r="BW423" s="956"/>
      <c r="BX423" s="956"/>
      <c r="BY423" s="67"/>
      <c r="BZ423" s="955" t="s">
        <v>7</v>
      </c>
      <c r="CA423" s="955"/>
      <c r="CB423" s="955"/>
      <c r="CC423" s="956" t="s">
        <v>857</v>
      </c>
      <c r="CD423" s="956"/>
      <c r="CE423" s="956"/>
      <c r="CF423" s="956"/>
      <c r="CG423" s="956"/>
      <c r="CH423" s="67"/>
      <c r="CI423" s="955" t="s">
        <v>7</v>
      </c>
      <c r="CJ423" s="955"/>
      <c r="CK423" s="955"/>
      <c r="CL423" s="956" t="s">
        <v>2146</v>
      </c>
      <c r="CM423" s="956"/>
      <c r="CN423" s="956"/>
      <c r="CO423" s="956"/>
      <c r="CP423" s="956"/>
      <c r="CQ423" s="68"/>
    </row>
    <row r="424" spans="2:95" x14ac:dyDescent="0.25">
      <c r="B424" s="970"/>
      <c r="C424" s="971"/>
      <c r="D424" s="972"/>
      <c r="E424" s="67"/>
      <c r="F424" s="955"/>
      <c r="G424" s="955"/>
      <c r="H424" s="955"/>
      <c r="I424" s="956"/>
      <c r="J424" s="956"/>
      <c r="K424" s="956"/>
      <c r="L424" s="956"/>
      <c r="M424" s="956"/>
      <c r="N424" s="67"/>
      <c r="O424" s="955"/>
      <c r="P424" s="955"/>
      <c r="Q424" s="955"/>
      <c r="R424" s="956"/>
      <c r="S424" s="956"/>
      <c r="T424" s="956"/>
      <c r="U424" s="956"/>
      <c r="V424" s="956"/>
      <c r="W424" s="67"/>
      <c r="X424" s="955"/>
      <c r="Y424" s="955"/>
      <c r="Z424" s="955"/>
      <c r="AA424" s="956"/>
      <c r="AB424" s="956"/>
      <c r="AC424" s="956"/>
      <c r="AD424" s="956"/>
      <c r="AE424" s="956"/>
      <c r="AF424" s="67"/>
      <c r="AG424" s="955"/>
      <c r="AH424" s="955"/>
      <c r="AI424" s="955"/>
      <c r="AJ424" s="956"/>
      <c r="AK424" s="956"/>
      <c r="AL424" s="956"/>
      <c r="AM424" s="956"/>
      <c r="AN424" s="956"/>
      <c r="AO424" s="67"/>
      <c r="AP424" s="955"/>
      <c r="AQ424" s="955"/>
      <c r="AR424" s="955"/>
      <c r="AS424" s="956"/>
      <c r="AT424" s="956"/>
      <c r="AU424" s="956"/>
      <c r="AV424" s="956"/>
      <c r="AW424" s="956"/>
      <c r="AX424" s="67"/>
      <c r="AY424" s="955"/>
      <c r="AZ424" s="955"/>
      <c r="BA424" s="955"/>
      <c r="BB424" s="956"/>
      <c r="BC424" s="956"/>
      <c r="BD424" s="956"/>
      <c r="BE424" s="956"/>
      <c r="BF424" s="956"/>
      <c r="BG424" s="67"/>
      <c r="BH424" s="955"/>
      <c r="BI424" s="955"/>
      <c r="BJ424" s="955"/>
      <c r="BK424" s="956"/>
      <c r="BL424" s="956"/>
      <c r="BM424" s="956"/>
      <c r="BN424" s="956"/>
      <c r="BO424" s="956"/>
      <c r="BP424" s="67"/>
      <c r="BQ424" s="955"/>
      <c r="BR424" s="955"/>
      <c r="BS424" s="955"/>
      <c r="BT424" s="956"/>
      <c r="BU424" s="956"/>
      <c r="BV424" s="956"/>
      <c r="BW424" s="956"/>
      <c r="BX424" s="956"/>
      <c r="BY424" s="67"/>
      <c r="BZ424" s="955"/>
      <c r="CA424" s="955"/>
      <c r="CB424" s="955"/>
      <c r="CC424" s="956"/>
      <c r="CD424" s="956"/>
      <c r="CE424" s="956"/>
      <c r="CF424" s="956"/>
      <c r="CG424" s="956"/>
      <c r="CH424" s="67"/>
      <c r="CI424" s="955"/>
      <c r="CJ424" s="955"/>
      <c r="CK424" s="955"/>
      <c r="CL424" s="956"/>
      <c r="CM424" s="956"/>
      <c r="CN424" s="956"/>
      <c r="CO424" s="956"/>
      <c r="CP424" s="956"/>
      <c r="CQ424" s="68"/>
    </row>
    <row r="425" spans="2:95" x14ac:dyDescent="0.25">
      <c r="B425" s="970"/>
      <c r="C425" s="971"/>
      <c r="D425" s="972"/>
      <c r="E425" s="67"/>
      <c r="F425" s="955"/>
      <c r="G425" s="955"/>
      <c r="H425" s="955"/>
      <c r="I425" s="956"/>
      <c r="J425" s="956"/>
      <c r="K425" s="956"/>
      <c r="L425" s="956"/>
      <c r="M425" s="956"/>
      <c r="N425" s="67"/>
      <c r="O425" s="955"/>
      <c r="P425" s="955"/>
      <c r="Q425" s="955"/>
      <c r="R425" s="956"/>
      <c r="S425" s="956"/>
      <c r="T425" s="956"/>
      <c r="U425" s="956"/>
      <c r="V425" s="956"/>
      <c r="W425" s="67"/>
      <c r="X425" s="955"/>
      <c r="Y425" s="955"/>
      <c r="Z425" s="955"/>
      <c r="AA425" s="956"/>
      <c r="AB425" s="956"/>
      <c r="AC425" s="956"/>
      <c r="AD425" s="956"/>
      <c r="AE425" s="956"/>
      <c r="AF425" s="67"/>
      <c r="AG425" s="955"/>
      <c r="AH425" s="955"/>
      <c r="AI425" s="955"/>
      <c r="AJ425" s="956"/>
      <c r="AK425" s="956"/>
      <c r="AL425" s="956"/>
      <c r="AM425" s="956"/>
      <c r="AN425" s="956"/>
      <c r="AO425" s="67"/>
      <c r="AP425" s="955"/>
      <c r="AQ425" s="955"/>
      <c r="AR425" s="955"/>
      <c r="AS425" s="956"/>
      <c r="AT425" s="956"/>
      <c r="AU425" s="956"/>
      <c r="AV425" s="956"/>
      <c r="AW425" s="956"/>
      <c r="AX425" s="67"/>
      <c r="AY425" s="955"/>
      <c r="AZ425" s="955"/>
      <c r="BA425" s="955"/>
      <c r="BB425" s="956"/>
      <c r="BC425" s="956"/>
      <c r="BD425" s="956"/>
      <c r="BE425" s="956"/>
      <c r="BF425" s="956"/>
      <c r="BG425" s="67"/>
      <c r="BH425" s="955"/>
      <c r="BI425" s="955"/>
      <c r="BJ425" s="955"/>
      <c r="BK425" s="956"/>
      <c r="BL425" s="956"/>
      <c r="BM425" s="956"/>
      <c r="BN425" s="956"/>
      <c r="BO425" s="956"/>
      <c r="BP425" s="67"/>
      <c r="BQ425" s="955"/>
      <c r="BR425" s="955"/>
      <c r="BS425" s="955"/>
      <c r="BT425" s="956"/>
      <c r="BU425" s="956"/>
      <c r="BV425" s="956"/>
      <c r="BW425" s="956"/>
      <c r="BX425" s="956"/>
      <c r="BY425" s="67"/>
      <c r="BZ425" s="955"/>
      <c r="CA425" s="955"/>
      <c r="CB425" s="955"/>
      <c r="CC425" s="956"/>
      <c r="CD425" s="956"/>
      <c r="CE425" s="956"/>
      <c r="CF425" s="956"/>
      <c r="CG425" s="956"/>
      <c r="CH425" s="67"/>
      <c r="CI425" s="955"/>
      <c r="CJ425" s="955"/>
      <c r="CK425" s="955"/>
      <c r="CL425" s="956"/>
      <c r="CM425" s="956"/>
      <c r="CN425" s="956"/>
      <c r="CO425" s="956"/>
      <c r="CP425" s="956"/>
      <c r="CQ425" s="68"/>
    </row>
    <row r="426" spans="2:95" x14ac:dyDescent="0.25">
      <c r="B426" s="970"/>
      <c r="C426" s="971"/>
      <c r="D426" s="972"/>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8"/>
    </row>
    <row r="427" spans="2:95" x14ac:dyDescent="0.25">
      <c r="B427" s="970"/>
      <c r="C427" s="971"/>
      <c r="D427" s="972"/>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8"/>
    </row>
    <row r="428" spans="2:95" x14ac:dyDescent="0.25">
      <c r="B428" s="970"/>
      <c r="C428" s="971"/>
      <c r="D428" s="972"/>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8"/>
    </row>
    <row r="429" spans="2:95" x14ac:dyDescent="0.25">
      <c r="B429" s="970"/>
      <c r="C429" s="971"/>
      <c r="D429" s="972"/>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8"/>
    </row>
    <row r="430" spans="2:95" x14ac:dyDescent="0.25">
      <c r="B430" s="970"/>
      <c r="C430" s="971"/>
      <c r="D430" s="972"/>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8"/>
    </row>
    <row r="431" spans="2:95" x14ac:dyDescent="0.25">
      <c r="B431" s="970"/>
      <c r="C431" s="971"/>
      <c r="D431" s="972"/>
      <c r="E431" s="67"/>
      <c r="F431" s="953" t="s">
        <v>8</v>
      </c>
      <c r="G431" s="953"/>
      <c r="H431" s="953"/>
      <c r="I431" s="953"/>
      <c r="J431" s="953"/>
      <c r="K431" s="953"/>
      <c r="L431" s="953"/>
      <c r="M431" s="953"/>
      <c r="N431" s="67"/>
      <c r="O431" s="953" t="s">
        <v>8</v>
      </c>
      <c r="P431" s="953"/>
      <c r="Q431" s="953"/>
      <c r="R431" s="953"/>
      <c r="S431" s="953"/>
      <c r="T431" s="953"/>
      <c r="U431" s="953"/>
      <c r="V431" s="953"/>
      <c r="W431" s="67"/>
      <c r="X431" s="953" t="s">
        <v>8</v>
      </c>
      <c r="Y431" s="953"/>
      <c r="Z431" s="953"/>
      <c r="AA431" s="953"/>
      <c r="AB431" s="953"/>
      <c r="AC431" s="953"/>
      <c r="AD431" s="953"/>
      <c r="AE431" s="953"/>
      <c r="AF431" s="67"/>
      <c r="AG431" s="953" t="s">
        <v>8</v>
      </c>
      <c r="AH431" s="953"/>
      <c r="AI431" s="953"/>
      <c r="AJ431" s="953"/>
      <c r="AK431" s="953"/>
      <c r="AL431" s="953"/>
      <c r="AM431" s="953"/>
      <c r="AN431" s="953"/>
      <c r="AO431" s="67"/>
      <c r="AP431" s="953" t="s">
        <v>8</v>
      </c>
      <c r="AQ431" s="953"/>
      <c r="AR431" s="953"/>
      <c r="AS431" s="953"/>
      <c r="AT431" s="953"/>
      <c r="AU431" s="953"/>
      <c r="AV431" s="953"/>
      <c r="AW431" s="953"/>
      <c r="AX431" s="67"/>
      <c r="AY431" s="953" t="s">
        <v>8</v>
      </c>
      <c r="AZ431" s="953"/>
      <c r="BA431" s="953"/>
      <c r="BB431" s="953"/>
      <c r="BC431" s="953"/>
      <c r="BD431" s="953"/>
      <c r="BE431" s="953"/>
      <c r="BF431" s="953"/>
      <c r="BG431" s="67"/>
      <c r="BH431" s="953" t="s">
        <v>8</v>
      </c>
      <c r="BI431" s="953"/>
      <c r="BJ431" s="953"/>
      <c r="BK431" s="953"/>
      <c r="BL431" s="953"/>
      <c r="BM431" s="953"/>
      <c r="BN431" s="953"/>
      <c r="BO431" s="953"/>
      <c r="BP431" s="67"/>
      <c r="BQ431" s="953" t="s">
        <v>8</v>
      </c>
      <c r="BR431" s="953"/>
      <c r="BS431" s="953"/>
      <c r="BT431" s="953"/>
      <c r="BU431" s="953"/>
      <c r="BV431" s="953"/>
      <c r="BW431" s="953"/>
      <c r="BX431" s="953"/>
      <c r="BY431" s="67"/>
      <c r="BZ431" s="953" t="s">
        <v>8</v>
      </c>
      <c r="CA431" s="953"/>
      <c r="CB431" s="953"/>
      <c r="CC431" s="953"/>
      <c r="CD431" s="953"/>
      <c r="CE431" s="953"/>
      <c r="CF431" s="953"/>
      <c r="CG431" s="953"/>
      <c r="CH431" s="67"/>
      <c r="CI431" s="953" t="s">
        <v>8</v>
      </c>
      <c r="CJ431" s="953"/>
      <c r="CK431" s="953"/>
      <c r="CL431" s="953"/>
      <c r="CM431" s="953"/>
      <c r="CN431" s="953"/>
      <c r="CO431" s="953"/>
      <c r="CP431" s="953"/>
      <c r="CQ431" s="68"/>
    </row>
    <row r="432" spans="2:95" x14ac:dyDescent="0.25">
      <c r="B432" s="970"/>
      <c r="C432" s="971"/>
      <c r="D432" s="972"/>
      <c r="E432" s="67"/>
      <c r="F432" s="954" t="s">
        <v>0</v>
      </c>
      <c r="G432" s="954"/>
      <c r="H432" s="954"/>
      <c r="I432" s="954" t="s">
        <v>1</v>
      </c>
      <c r="J432" s="954"/>
      <c r="K432" s="954"/>
      <c r="L432" s="954"/>
      <c r="M432" s="954"/>
      <c r="N432" s="67"/>
      <c r="O432" s="954" t="s">
        <v>0</v>
      </c>
      <c r="P432" s="954"/>
      <c r="Q432" s="954"/>
      <c r="R432" s="954" t="s">
        <v>1</v>
      </c>
      <c r="S432" s="954"/>
      <c r="T432" s="954"/>
      <c r="U432" s="954"/>
      <c r="V432" s="954"/>
      <c r="W432" s="67"/>
      <c r="X432" s="954" t="s">
        <v>0</v>
      </c>
      <c r="Y432" s="954"/>
      <c r="Z432" s="954"/>
      <c r="AA432" s="954" t="s">
        <v>1</v>
      </c>
      <c r="AB432" s="954"/>
      <c r="AC432" s="954"/>
      <c r="AD432" s="954"/>
      <c r="AE432" s="954"/>
      <c r="AF432" s="67"/>
      <c r="AG432" s="954" t="s">
        <v>0</v>
      </c>
      <c r="AH432" s="954"/>
      <c r="AI432" s="954"/>
      <c r="AJ432" s="954" t="s">
        <v>1</v>
      </c>
      <c r="AK432" s="954"/>
      <c r="AL432" s="954"/>
      <c r="AM432" s="954"/>
      <c r="AN432" s="954"/>
      <c r="AO432" s="67"/>
      <c r="AP432" s="954" t="s">
        <v>0</v>
      </c>
      <c r="AQ432" s="954"/>
      <c r="AR432" s="954"/>
      <c r="AS432" s="954" t="s">
        <v>1</v>
      </c>
      <c r="AT432" s="954"/>
      <c r="AU432" s="954"/>
      <c r="AV432" s="954"/>
      <c r="AW432" s="954"/>
      <c r="AX432" s="67"/>
      <c r="AY432" s="954" t="s">
        <v>0</v>
      </c>
      <c r="AZ432" s="954"/>
      <c r="BA432" s="954"/>
      <c r="BB432" s="954" t="s">
        <v>1</v>
      </c>
      <c r="BC432" s="954"/>
      <c r="BD432" s="954"/>
      <c r="BE432" s="954"/>
      <c r="BF432" s="954"/>
      <c r="BG432" s="67"/>
      <c r="BH432" s="954" t="s">
        <v>0</v>
      </c>
      <c r="BI432" s="954"/>
      <c r="BJ432" s="954"/>
      <c r="BK432" s="954" t="s">
        <v>1</v>
      </c>
      <c r="BL432" s="954"/>
      <c r="BM432" s="954"/>
      <c r="BN432" s="954"/>
      <c r="BO432" s="954"/>
      <c r="BP432" s="67"/>
      <c r="BQ432" s="954" t="s">
        <v>0</v>
      </c>
      <c r="BR432" s="954"/>
      <c r="BS432" s="954"/>
      <c r="BT432" s="954" t="s">
        <v>1</v>
      </c>
      <c r="BU432" s="954"/>
      <c r="BV432" s="954"/>
      <c r="BW432" s="954"/>
      <c r="BX432" s="954"/>
      <c r="BY432" s="67"/>
      <c r="BZ432" s="954" t="s">
        <v>0</v>
      </c>
      <c r="CA432" s="954"/>
      <c r="CB432" s="954"/>
      <c r="CC432" s="954" t="s">
        <v>1</v>
      </c>
      <c r="CD432" s="954"/>
      <c r="CE432" s="954"/>
      <c r="CF432" s="954"/>
      <c r="CG432" s="954"/>
      <c r="CH432" s="67"/>
      <c r="CI432" s="954" t="s">
        <v>0</v>
      </c>
      <c r="CJ432" s="954"/>
      <c r="CK432" s="954"/>
      <c r="CL432" s="954" t="s">
        <v>1</v>
      </c>
      <c r="CM432" s="954"/>
      <c r="CN432" s="954"/>
      <c r="CO432" s="954"/>
      <c r="CP432" s="954"/>
      <c r="CQ432" s="68"/>
    </row>
    <row r="433" spans="2:95" x14ac:dyDescent="0.25">
      <c r="B433" s="970"/>
      <c r="C433" s="971"/>
      <c r="D433" s="972"/>
      <c r="E433" s="67"/>
      <c r="F433" s="955" t="s">
        <v>2</v>
      </c>
      <c r="G433" s="955"/>
      <c r="H433" s="955"/>
      <c r="I433" s="956" t="s">
        <v>862</v>
      </c>
      <c r="J433" s="956"/>
      <c r="K433" s="956"/>
      <c r="L433" s="956"/>
      <c r="M433" s="956"/>
      <c r="N433" s="67"/>
      <c r="O433" s="955" t="s">
        <v>2</v>
      </c>
      <c r="P433" s="955"/>
      <c r="Q433" s="955"/>
      <c r="R433" s="956" t="s">
        <v>866</v>
      </c>
      <c r="S433" s="956"/>
      <c r="T433" s="956"/>
      <c r="U433" s="956"/>
      <c r="V433" s="956"/>
      <c r="W433" s="67"/>
      <c r="X433" s="955" t="s">
        <v>2</v>
      </c>
      <c r="Y433" s="955"/>
      <c r="Z433" s="955"/>
      <c r="AA433" s="956" t="s">
        <v>869</v>
      </c>
      <c r="AB433" s="956"/>
      <c r="AC433" s="956"/>
      <c r="AD433" s="956"/>
      <c r="AE433" s="956"/>
      <c r="AF433" s="67"/>
      <c r="AG433" s="955" t="s">
        <v>2</v>
      </c>
      <c r="AH433" s="955"/>
      <c r="AI433" s="955"/>
      <c r="AJ433" s="956" t="s">
        <v>873</v>
      </c>
      <c r="AK433" s="956"/>
      <c r="AL433" s="956"/>
      <c r="AM433" s="956"/>
      <c r="AN433" s="956"/>
      <c r="AO433" s="67"/>
      <c r="AP433" s="955" t="s">
        <v>2</v>
      </c>
      <c r="AQ433" s="955"/>
      <c r="AR433" s="955"/>
      <c r="AS433" s="956" t="s">
        <v>876</v>
      </c>
      <c r="AT433" s="956"/>
      <c r="AU433" s="956"/>
      <c r="AV433" s="956"/>
      <c r="AW433" s="956"/>
      <c r="AX433" s="67"/>
      <c r="AY433" s="955" t="s">
        <v>2</v>
      </c>
      <c r="AZ433" s="955"/>
      <c r="BA433" s="955"/>
      <c r="BB433" s="956" t="s">
        <v>880</v>
      </c>
      <c r="BC433" s="956"/>
      <c r="BD433" s="956"/>
      <c r="BE433" s="956"/>
      <c r="BF433" s="956"/>
      <c r="BG433" s="67"/>
      <c r="BH433" s="955" t="s">
        <v>2</v>
      </c>
      <c r="BI433" s="955"/>
      <c r="BJ433" s="955"/>
      <c r="BK433" s="956" t="s">
        <v>883</v>
      </c>
      <c r="BL433" s="956"/>
      <c r="BM433" s="956"/>
      <c r="BN433" s="956"/>
      <c r="BO433" s="956"/>
      <c r="BP433" s="67"/>
      <c r="BQ433" s="955" t="s">
        <v>2</v>
      </c>
      <c r="BR433" s="955"/>
      <c r="BS433" s="955"/>
      <c r="BT433" s="956" t="s">
        <v>887</v>
      </c>
      <c r="BU433" s="956"/>
      <c r="BV433" s="956"/>
      <c r="BW433" s="956"/>
      <c r="BX433" s="956"/>
      <c r="BY433" s="67"/>
      <c r="BZ433" s="955" t="s">
        <v>2</v>
      </c>
      <c r="CA433" s="955"/>
      <c r="CB433" s="955"/>
      <c r="CC433" s="956" t="s">
        <v>891</v>
      </c>
      <c r="CD433" s="956"/>
      <c r="CE433" s="956"/>
      <c r="CF433" s="956"/>
      <c r="CG433" s="956"/>
      <c r="CH433" s="67"/>
      <c r="CI433" s="955" t="s">
        <v>2</v>
      </c>
      <c r="CJ433" s="955"/>
      <c r="CK433" s="955"/>
      <c r="CL433" s="956" t="s">
        <v>895</v>
      </c>
      <c r="CM433" s="956"/>
      <c r="CN433" s="956"/>
      <c r="CO433" s="956"/>
      <c r="CP433" s="956"/>
      <c r="CQ433" s="68"/>
    </row>
    <row r="434" spans="2:95" x14ac:dyDescent="0.25">
      <c r="B434" s="970"/>
      <c r="C434" s="971"/>
      <c r="D434" s="972"/>
      <c r="E434" s="67"/>
      <c r="F434" s="955"/>
      <c r="G434" s="955"/>
      <c r="H434" s="955"/>
      <c r="I434" s="956"/>
      <c r="J434" s="956"/>
      <c r="K434" s="956"/>
      <c r="L434" s="956"/>
      <c r="M434" s="956"/>
      <c r="N434" s="67"/>
      <c r="O434" s="955"/>
      <c r="P434" s="955"/>
      <c r="Q434" s="955"/>
      <c r="R434" s="956"/>
      <c r="S434" s="956"/>
      <c r="T434" s="956"/>
      <c r="U434" s="956"/>
      <c r="V434" s="956"/>
      <c r="W434" s="67"/>
      <c r="X434" s="955"/>
      <c r="Y434" s="955"/>
      <c r="Z434" s="955"/>
      <c r="AA434" s="956"/>
      <c r="AB434" s="956"/>
      <c r="AC434" s="956"/>
      <c r="AD434" s="956"/>
      <c r="AE434" s="956"/>
      <c r="AF434" s="67"/>
      <c r="AG434" s="955"/>
      <c r="AH434" s="955"/>
      <c r="AI434" s="955"/>
      <c r="AJ434" s="956"/>
      <c r="AK434" s="956"/>
      <c r="AL434" s="956"/>
      <c r="AM434" s="956"/>
      <c r="AN434" s="956"/>
      <c r="AO434" s="67"/>
      <c r="AP434" s="955"/>
      <c r="AQ434" s="955"/>
      <c r="AR434" s="955"/>
      <c r="AS434" s="956"/>
      <c r="AT434" s="956"/>
      <c r="AU434" s="956"/>
      <c r="AV434" s="956"/>
      <c r="AW434" s="956"/>
      <c r="AX434" s="67"/>
      <c r="AY434" s="955"/>
      <c r="AZ434" s="955"/>
      <c r="BA434" s="955"/>
      <c r="BB434" s="956"/>
      <c r="BC434" s="956"/>
      <c r="BD434" s="956"/>
      <c r="BE434" s="956"/>
      <c r="BF434" s="956"/>
      <c r="BG434" s="67"/>
      <c r="BH434" s="955"/>
      <c r="BI434" s="955"/>
      <c r="BJ434" s="955"/>
      <c r="BK434" s="956"/>
      <c r="BL434" s="956"/>
      <c r="BM434" s="956"/>
      <c r="BN434" s="956"/>
      <c r="BO434" s="956"/>
      <c r="BP434" s="67"/>
      <c r="BQ434" s="955"/>
      <c r="BR434" s="955"/>
      <c r="BS434" s="955"/>
      <c r="BT434" s="956"/>
      <c r="BU434" s="956"/>
      <c r="BV434" s="956"/>
      <c r="BW434" s="956"/>
      <c r="BX434" s="956"/>
      <c r="BY434" s="67"/>
      <c r="BZ434" s="955"/>
      <c r="CA434" s="955"/>
      <c r="CB434" s="955"/>
      <c r="CC434" s="956"/>
      <c r="CD434" s="956"/>
      <c r="CE434" s="956"/>
      <c r="CF434" s="956"/>
      <c r="CG434" s="956"/>
      <c r="CH434" s="67"/>
      <c r="CI434" s="955"/>
      <c r="CJ434" s="955"/>
      <c r="CK434" s="955"/>
      <c r="CL434" s="956"/>
      <c r="CM434" s="956"/>
      <c r="CN434" s="956"/>
      <c r="CO434" s="956"/>
      <c r="CP434" s="956"/>
      <c r="CQ434" s="68"/>
    </row>
    <row r="435" spans="2:95" x14ac:dyDescent="0.25">
      <c r="B435" s="970"/>
      <c r="C435" s="971"/>
      <c r="D435" s="972"/>
      <c r="E435" s="67"/>
      <c r="F435" s="955"/>
      <c r="G435" s="955"/>
      <c r="H435" s="955"/>
      <c r="I435" s="956"/>
      <c r="J435" s="956"/>
      <c r="K435" s="956"/>
      <c r="L435" s="956"/>
      <c r="M435" s="956"/>
      <c r="N435" s="67"/>
      <c r="O435" s="955"/>
      <c r="P435" s="955"/>
      <c r="Q435" s="955"/>
      <c r="R435" s="956"/>
      <c r="S435" s="956"/>
      <c r="T435" s="956"/>
      <c r="U435" s="956"/>
      <c r="V435" s="956"/>
      <c r="W435" s="67"/>
      <c r="X435" s="955"/>
      <c r="Y435" s="955"/>
      <c r="Z435" s="955"/>
      <c r="AA435" s="956"/>
      <c r="AB435" s="956"/>
      <c r="AC435" s="956"/>
      <c r="AD435" s="956"/>
      <c r="AE435" s="956"/>
      <c r="AF435" s="67"/>
      <c r="AG435" s="955"/>
      <c r="AH435" s="955"/>
      <c r="AI435" s="955"/>
      <c r="AJ435" s="956"/>
      <c r="AK435" s="956"/>
      <c r="AL435" s="956"/>
      <c r="AM435" s="956"/>
      <c r="AN435" s="956"/>
      <c r="AO435" s="67"/>
      <c r="AP435" s="955"/>
      <c r="AQ435" s="955"/>
      <c r="AR435" s="955"/>
      <c r="AS435" s="956"/>
      <c r="AT435" s="956"/>
      <c r="AU435" s="956"/>
      <c r="AV435" s="956"/>
      <c r="AW435" s="956"/>
      <c r="AX435" s="67"/>
      <c r="AY435" s="955"/>
      <c r="AZ435" s="955"/>
      <c r="BA435" s="955"/>
      <c r="BB435" s="956"/>
      <c r="BC435" s="956"/>
      <c r="BD435" s="956"/>
      <c r="BE435" s="956"/>
      <c r="BF435" s="956"/>
      <c r="BG435" s="67"/>
      <c r="BH435" s="955"/>
      <c r="BI435" s="955"/>
      <c r="BJ435" s="955"/>
      <c r="BK435" s="956"/>
      <c r="BL435" s="956"/>
      <c r="BM435" s="956"/>
      <c r="BN435" s="956"/>
      <c r="BO435" s="956"/>
      <c r="BP435" s="67"/>
      <c r="BQ435" s="955"/>
      <c r="BR435" s="955"/>
      <c r="BS435" s="955"/>
      <c r="BT435" s="956"/>
      <c r="BU435" s="956"/>
      <c r="BV435" s="956"/>
      <c r="BW435" s="956"/>
      <c r="BX435" s="956"/>
      <c r="BY435" s="67"/>
      <c r="BZ435" s="955"/>
      <c r="CA435" s="955"/>
      <c r="CB435" s="955"/>
      <c r="CC435" s="956"/>
      <c r="CD435" s="956"/>
      <c r="CE435" s="956"/>
      <c r="CF435" s="956"/>
      <c r="CG435" s="956"/>
      <c r="CH435" s="67"/>
      <c r="CI435" s="955"/>
      <c r="CJ435" s="955"/>
      <c r="CK435" s="955"/>
      <c r="CL435" s="956"/>
      <c r="CM435" s="956"/>
      <c r="CN435" s="956"/>
      <c r="CO435" s="956"/>
      <c r="CP435" s="956"/>
      <c r="CQ435" s="68"/>
    </row>
    <row r="436" spans="2:95" x14ac:dyDescent="0.25">
      <c r="B436" s="970"/>
      <c r="C436" s="971"/>
      <c r="D436" s="972"/>
      <c r="E436" s="67"/>
      <c r="F436" s="954" t="s">
        <v>0</v>
      </c>
      <c r="G436" s="954"/>
      <c r="H436" s="954"/>
      <c r="I436" s="954" t="s">
        <v>1</v>
      </c>
      <c r="J436" s="954"/>
      <c r="K436" s="954"/>
      <c r="L436" s="954"/>
      <c r="M436" s="954"/>
      <c r="N436" s="67"/>
      <c r="O436" s="954" t="s">
        <v>0</v>
      </c>
      <c r="P436" s="954"/>
      <c r="Q436" s="954"/>
      <c r="R436" s="954" t="s">
        <v>1</v>
      </c>
      <c r="S436" s="954"/>
      <c r="T436" s="954"/>
      <c r="U436" s="954"/>
      <c r="V436" s="954"/>
      <c r="W436" s="67"/>
      <c r="X436" s="954" t="s">
        <v>0</v>
      </c>
      <c r="Y436" s="954"/>
      <c r="Z436" s="954"/>
      <c r="AA436" s="954" t="s">
        <v>1</v>
      </c>
      <c r="AB436" s="954"/>
      <c r="AC436" s="954"/>
      <c r="AD436" s="954"/>
      <c r="AE436" s="954"/>
      <c r="AF436" s="67"/>
      <c r="AG436" s="954" t="s">
        <v>0</v>
      </c>
      <c r="AH436" s="954"/>
      <c r="AI436" s="954"/>
      <c r="AJ436" s="954" t="s">
        <v>1</v>
      </c>
      <c r="AK436" s="954"/>
      <c r="AL436" s="954"/>
      <c r="AM436" s="954"/>
      <c r="AN436" s="954"/>
      <c r="AO436" s="67"/>
      <c r="AP436" s="954" t="s">
        <v>0</v>
      </c>
      <c r="AQ436" s="954"/>
      <c r="AR436" s="954"/>
      <c r="AS436" s="954" t="s">
        <v>1</v>
      </c>
      <c r="AT436" s="954"/>
      <c r="AU436" s="954"/>
      <c r="AV436" s="954"/>
      <c r="AW436" s="954"/>
      <c r="AX436" s="67"/>
      <c r="AY436" s="954" t="s">
        <v>0</v>
      </c>
      <c r="AZ436" s="954"/>
      <c r="BA436" s="954"/>
      <c r="BB436" s="954" t="s">
        <v>1</v>
      </c>
      <c r="BC436" s="954"/>
      <c r="BD436" s="954"/>
      <c r="BE436" s="954"/>
      <c r="BF436" s="954"/>
      <c r="BG436" s="67"/>
      <c r="BH436" s="954" t="s">
        <v>0</v>
      </c>
      <c r="BI436" s="954"/>
      <c r="BJ436" s="954"/>
      <c r="BK436" s="954" t="s">
        <v>1</v>
      </c>
      <c r="BL436" s="954"/>
      <c r="BM436" s="954"/>
      <c r="BN436" s="954"/>
      <c r="BO436" s="954"/>
      <c r="BP436" s="67"/>
      <c r="BQ436" s="954" t="s">
        <v>0</v>
      </c>
      <c r="BR436" s="954"/>
      <c r="BS436" s="954"/>
      <c r="BT436" s="954" t="s">
        <v>1</v>
      </c>
      <c r="BU436" s="954"/>
      <c r="BV436" s="954"/>
      <c r="BW436" s="954"/>
      <c r="BX436" s="954"/>
      <c r="BY436" s="67"/>
      <c r="BZ436" s="954" t="s">
        <v>0</v>
      </c>
      <c r="CA436" s="954"/>
      <c r="CB436" s="954"/>
      <c r="CC436" s="954" t="s">
        <v>1</v>
      </c>
      <c r="CD436" s="954"/>
      <c r="CE436" s="954"/>
      <c r="CF436" s="954"/>
      <c r="CG436" s="954"/>
      <c r="CH436" s="67"/>
      <c r="CI436" s="954" t="s">
        <v>0</v>
      </c>
      <c r="CJ436" s="954"/>
      <c r="CK436" s="954"/>
      <c r="CL436" s="954" t="s">
        <v>1</v>
      </c>
      <c r="CM436" s="954"/>
      <c r="CN436" s="954"/>
      <c r="CO436" s="954"/>
      <c r="CP436" s="954"/>
      <c r="CQ436" s="68"/>
    </row>
    <row r="437" spans="2:95" ht="15.75" customHeight="1" x14ac:dyDescent="0.25">
      <c r="B437" s="970"/>
      <c r="C437" s="971"/>
      <c r="D437" s="972"/>
      <c r="E437" s="67"/>
      <c r="F437" s="955" t="s">
        <v>3</v>
      </c>
      <c r="G437" s="955"/>
      <c r="H437" s="955"/>
      <c r="I437" s="957" t="s">
        <v>861</v>
      </c>
      <c r="J437" s="956"/>
      <c r="K437" s="956"/>
      <c r="L437" s="956"/>
      <c r="M437" s="956"/>
      <c r="N437" s="67"/>
      <c r="O437" s="955" t="s">
        <v>3</v>
      </c>
      <c r="P437" s="955"/>
      <c r="Q437" s="955"/>
      <c r="R437" s="957" t="s">
        <v>865</v>
      </c>
      <c r="S437" s="956"/>
      <c r="T437" s="956"/>
      <c r="U437" s="956"/>
      <c r="V437" s="956"/>
      <c r="W437" s="67"/>
      <c r="X437" s="955" t="s">
        <v>3</v>
      </c>
      <c r="Y437" s="955"/>
      <c r="Z437" s="955"/>
      <c r="AA437" s="957" t="s">
        <v>870</v>
      </c>
      <c r="AB437" s="956"/>
      <c r="AC437" s="956"/>
      <c r="AD437" s="956"/>
      <c r="AE437" s="956"/>
      <c r="AF437" s="67"/>
      <c r="AG437" s="955" t="s">
        <v>3</v>
      </c>
      <c r="AH437" s="955"/>
      <c r="AI437" s="955"/>
      <c r="AJ437" s="957" t="s">
        <v>872</v>
      </c>
      <c r="AK437" s="956"/>
      <c r="AL437" s="956"/>
      <c r="AM437" s="956"/>
      <c r="AN437" s="956"/>
      <c r="AO437" s="67"/>
      <c r="AP437" s="955" t="s">
        <v>3</v>
      </c>
      <c r="AQ437" s="955"/>
      <c r="AR437" s="955"/>
      <c r="AS437" s="957" t="s">
        <v>875</v>
      </c>
      <c r="AT437" s="956"/>
      <c r="AU437" s="956"/>
      <c r="AV437" s="956"/>
      <c r="AW437" s="956"/>
      <c r="AX437" s="67"/>
      <c r="AY437" s="955" t="s">
        <v>3</v>
      </c>
      <c r="AZ437" s="955"/>
      <c r="BA437" s="955"/>
      <c r="BB437" s="957" t="s">
        <v>879</v>
      </c>
      <c r="BC437" s="956"/>
      <c r="BD437" s="956"/>
      <c r="BE437" s="956"/>
      <c r="BF437" s="956"/>
      <c r="BG437" s="67"/>
      <c r="BH437" s="955" t="s">
        <v>3</v>
      </c>
      <c r="BI437" s="955"/>
      <c r="BJ437" s="955"/>
      <c r="BK437" s="957" t="s">
        <v>884</v>
      </c>
      <c r="BL437" s="956"/>
      <c r="BM437" s="956"/>
      <c r="BN437" s="956"/>
      <c r="BO437" s="956"/>
      <c r="BP437" s="67"/>
      <c r="BQ437" s="955" t="s">
        <v>3</v>
      </c>
      <c r="BR437" s="955"/>
      <c r="BS437" s="955"/>
      <c r="BT437" s="957" t="s">
        <v>886</v>
      </c>
      <c r="BU437" s="956"/>
      <c r="BV437" s="956"/>
      <c r="BW437" s="956"/>
      <c r="BX437" s="956"/>
      <c r="BY437" s="67"/>
      <c r="BZ437" s="955" t="s">
        <v>3</v>
      </c>
      <c r="CA437" s="955"/>
      <c r="CB437" s="955"/>
      <c r="CC437" s="957" t="s">
        <v>890</v>
      </c>
      <c r="CD437" s="956"/>
      <c r="CE437" s="956"/>
      <c r="CF437" s="956"/>
      <c r="CG437" s="956"/>
      <c r="CH437" s="67"/>
      <c r="CI437" s="955" t="s">
        <v>3</v>
      </c>
      <c r="CJ437" s="955"/>
      <c r="CK437" s="955"/>
      <c r="CL437" s="957" t="s">
        <v>894</v>
      </c>
      <c r="CM437" s="956"/>
      <c r="CN437" s="956"/>
      <c r="CO437" s="956"/>
      <c r="CP437" s="956"/>
      <c r="CQ437" s="68"/>
    </row>
    <row r="438" spans="2:95" x14ac:dyDescent="0.25">
      <c r="B438" s="970"/>
      <c r="C438" s="971"/>
      <c r="D438" s="972"/>
      <c r="E438" s="67"/>
      <c r="F438" s="955"/>
      <c r="G438" s="955"/>
      <c r="H438" s="955"/>
      <c r="I438" s="956"/>
      <c r="J438" s="956"/>
      <c r="K438" s="956"/>
      <c r="L438" s="956"/>
      <c r="M438" s="956"/>
      <c r="N438" s="67"/>
      <c r="O438" s="955"/>
      <c r="P438" s="955"/>
      <c r="Q438" s="955"/>
      <c r="R438" s="956"/>
      <c r="S438" s="956"/>
      <c r="T438" s="956"/>
      <c r="U438" s="956"/>
      <c r="V438" s="956"/>
      <c r="W438" s="67"/>
      <c r="X438" s="955"/>
      <c r="Y438" s="955"/>
      <c r="Z438" s="955"/>
      <c r="AA438" s="956"/>
      <c r="AB438" s="956"/>
      <c r="AC438" s="956"/>
      <c r="AD438" s="956"/>
      <c r="AE438" s="956"/>
      <c r="AF438" s="67"/>
      <c r="AG438" s="955"/>
      <c r="AH438" s="955"/>
      <c r="AI438" s="955"/>
      <c r="AJ438" s="956"/>
      <c r="AK438" s="956"/>
      <c r="AL438" s="956"/>
      <c r="AM438" s="956"/>
      <c r="AN438" s="956"/>
      <c r="AO438" s="67"/>
      <c r="AP438" s="955"/>
      <c r="AQ438" s="955"/>
      <c r="AR438" s="955"/>
      <c r="AS438" s="956"/>
      <c r="AT438" s="956"/>
      <c r="AU438" s="956"/>
      <c r="AV438" s="956"/>
      <c r="AW438" s="956"/>
      <c r="AX438" s="67"/>
      <c r="AY438" s="955"/>
      <c r="AZ438" s="955"/>
      <c r="BA438" s="955"/>
      <c r="BB438" s="956"/>
      <c r="BC438" s="956"/>
      <c r="BD438" s="956"/>
      <c r="BE438" s="956"/>
      <c r="BF438" s="956"/>
      <c r="BG438" s="67"/>
      <c r="BH438" s="955"/>
      <c r="BI438" s="955"/>
      <c r="BJ438" s="955"/>
      <c r="BK438" s="956"/>
      <c r="BL438" s="956"/>
      <c r="BM438" s="956"/>
      <c r="BN438" s="956"/>
      <c r="BO438" s="956"/>
      <c r="BP438" s="67"/>
      <c r="BQ438" s="955"/>
      <c r="BR438" s="955"/>
      <c r="BS438" s="955"/>
      <c r="BT438" s="956"/>
      <c r="BU438" s="956"/>
      <c r="BV438" s="956"/>
      <c r="BW438" s="956"/>
      <c r="BX438" s="956"/>
      <c r="BY438" s="67"/>
      <c r="BZ438" s="955"/>
      <c r="CA438" s="955"/>
      <c r="CB438" s="955"/>
      <c r="CC438" s="956"/>
      <c r="CD438" s="956"/>
      <c r="CE438" s="956"/>
      <c r="CF438" s="956"/>
      <c r="CG438" s="956"/>
      <c r="CH438" s="67"/>
      <c r="CI438" s="955"/>
      <c r="CJ438" s="955"/>
      <c r="CK438" s="955"/>
      <c r="CL438" s="956"/>
      <c r="CM438" s="956"/>
      <c r="CN438" s="956"/>
      <c r="CO438" s="956"/>
      <c r="CP438" s="956"/>
      <c r="CQ438" s="68"/>
    </row>
    <row r="439" spans="2:95" x14ac:dyDescent="0.25">
      <c r="B439" s="970"/>
      <c r="C439" s="971"/>
      <c r="D439" s="972"/>
      <c r="E439" s="67"/>
      <c r="F439" s="955"/>
      <c r="G439" s="955"/>
      <c r="H439" s="955"/>
      <c r="I439" s="956"/>
      <c r="J439" s="956"/>
      <c r="K439" s="956"/>
      <c r="L439" s="956"/>
      <c r="M439" s="956"/>
      <c r="N439" s="67"/>
      <c r="O439" s="955"/>
      <c r="P439" s="955"/>
      <c r="Q439" s="955"/>
      <c r="R439" s="956"/>
      <c r="S439" s="956"/>
      <c r="T439" s="956"/>
      <c r="U439" s="956"/>
      <c r="V439" s="956"/>
      <c r="W439" s="67"/>
      <c r="X439" s="955"/>
      <c r="Y439" s="955"/>
      <c r="Z439" s="955"/>
      <c r="AA439" s="956"/>
      <c r="AB439" s="956"/>
      <c r="AC439" s="956"/>
      <c r="AD439" s="956"/>
      <c r="AE439" s="956"/>
      <c r="AF439" s="67"/>
      <c r="AG439" s="955"/>
      <c r="AH439" s="955"/>
      <c r="AI439" s="955"/>
      <c r="AJ439" s="956"/>
      <c r="AK439" s="956"/>
      <c r="AL439" s="956"/>
      <c r="AM439" s="956"/>
      <c r="AN439" s="956"/>
      <c r="AO439" s="67"/>
      <c r="AP439" s="955"/>
      <c r="AQ439" s="955"/>
      <c r="AR439" s="955"/>
      <c r="AS439" s="956"/>
      <c r="AT439" s="956"/>
      <c r="AU439" s="956"/>
      <c r="AV439" s="956"/>
      <c r="AW439" s="956"/>
      <c r="AX439" s="67"/>
      <c r="AY439" s="955"/>
      <c r="AZ439" s="955"/>
      <c r="BA439" s="955"/>
      <c r="BB439" s="956"/>
      <c r="BC439" s="956"/>
      <c r="BD439" s="956"/>
      <c r="BE439" s="956"/>
      <c r="BF439" s="956"/>
      <c r="BG439" s="67"/>
      <c r="BH439" s="955"/>
      <c r="BI439" s="955"/>
      <c r="BJ439" s="955"/>
      <c r="BK439" s="956"/>
      <c r="BL439" s="956"/>
      <c r="BM439" s="956"/>
      <c r="BN439" s="956"/>
      <c r="BO439" s="956"/>
      <c r="BP439" s="67"/>
      <c r="BQ439" s="955"/>
      <c r="BR439" s="955"/>
      <c r="BS439" s="955"/>
      <c r="BT439" s="956"/>
      <c r="BU439" s="956"/>
      <c r="BV439" s="956"/>
      <c r="BW439" s="956"/>
      <c r="BX439" s="956"/>
      <c r="BY439" s="67"/>
      <c r="BZ439" s="955"/>
      <c r="CA439" s="955"/>
      <c r="CB439" s="955"/>
      <c r="CC439" s="956"/>
      <c r="CD439" s="956"/>
      <c r="CE439" s="956"/>
      <c r="CF439" s="956"/>
      <c r="CG439" s="956"/>
      <c r="CH439" s="67"/>
      <c r="CI439" s="955"/>
      <c r="CJ439" s="955"/>
      <c r="CK439" s="955"/>
      <c r="CL439" s="956"/>
      <c r="CM439" s="956"/>
      <c r="CN439" s="956"/>
      <c r="CO439" s="956"/>
      <c r="CP439" s="956"/>
      <c r="CQ439" s="68"/>
    </row>
    <row r="440" spans="2:95" x14ac:dyDescent="0.25">
      <c r="B440" s="970"/>
      <c r="C440" s="971"/>
      <c r="D440" s="972"/>
      <c r="E440" s="67"/>
      <c r="F440" s="955" t="s">
        <v>4</v>
      </c>
      <c r="G440" s="955"/>
      <c r="H440" s="955"/>
      <c r="I440" s="956" t="s">
        <v>825</v>
      </c>
      <c r="J440" s="956"/>
      <c r="K440" s="956"/>
      <c r="L440" s="956"/>
      <c r="M440" s="956"/>
      <c r="N440" s="67"/>
      <c r="O440" s="955" t="s">
        <v>4</v>
      </c>
      <c r="P440" s="955"/>
      <c r="Q440" s="955"/>
      <c r="R440" s="956" t="s">
        <v>825</v>
      </c>
      <c r="S440" s="956"/>
      <c r="T440" s="956"/>
      <c r="U440" s="956"/>
      <c r="V440" s="956"/>
      <c r="W440" s="67"/>
      <c r="X440" s="955" t="s">
        <v>4</v>
      </c>
      <c r="Y440" s="955"/>
      <c r="Z440" s="955"/>
      <c r="AA440" s="956" t="s">
        <v>825</v>
      </c>
      <c r="AB440" s="956"/>
      <c r="AC440" s="956"/>
      <c r="AD440" s="956"/>
      <c r="AE440" s="956"/>
      <c r="AF440" s="67"/>
      <c r="AG440" s="955" t="s">
        <v>4</v>
      </c>
      <c r="AH440" s="955"/>
      <c r="AI440" s="955"/>
      <c r="AJ440" s="956" t="s">
        <v>825</v>
      </c>
      <c r="AK440" s="956"/>
      <c r="AL440" s="956"/>
      <c r="AM440" s="956"/>
      <c r="AN440" s="956"/>
      <c r="AO440" s="67"/>
      <c r="AP440" s="955" t="s">
        <v>4</v>
      </c>
      <c r="AQ440" s="955"/>
      <c r="AR440" s="955"/>
      <c r="AS440" s="956" t="s">
        <v>825</v>
      </c>
      <c r="AT440" s="956"/>
      <c r="AU440" s="956"/>
      <c r="AV440" s="956"/>
      <c r="AW440" s="956"/>
      <c r="AX440" s="67"/>
      <c r="AY440" s="955" t="s">
        <v>4</v>
      </c>
      <c r="AZ440" s="955"/>
      <c r="BA440" s="955"/>
      <c r="BB440" s="956" t="s">
        <v>825</v>
      </c>
      <c r="BC440" s="956"/>
      <c r="BD440" s="956"/>
      <c r="BE440" s="956"/>
      <c r="BF440" s="956"/>
      <c r="BG440" s="67"/>
      <c r="BH440" s="955" t="s">
        <v>4</v>
      </c>
      <c r="BI440" s="955"/>
      <c r="BJ440" s="955"/>
      <c r="BK440" s="956" t="s">
        <v>825</v>
      </c>
      <c r="BL440" s="956"/>
      <c r="BM440" s="956"/>
      <c r="BN440" s="956"/>
      <c r="BO440" s="956"/>
      <c r="BP440" s="67"/>
      <c r="BQ440" s="955" t="s">
        <v>4</v>
      </c>
      <c r="BR440" s="955"/>
      <c r="BS440" s="955"/>
      <c r="BT440" s="956" t="s">
        <v>825</v>
      </c>
      <c r="BU440" s="956"/>
      <c r="BV440" s="956"/>
      <c r="BW440" s="956"/>
      <c r="BX440" s="956"/>
      <c r="BY440" s="67"/>
      <c r="BZ440" s="955" t="s">
        <v>4</v>
      </c>
      <c r="CA440" s="955"/>
      <c r="CB440" s="955"/>
      <c r="CC440" s="956" t="s">
        <v>825</v>
      </c>
      <c r="CD440" s="956"/>
      <c r="CE440" s="956"/>
      <c r="CF440" s="956"/>
      <c r="CG440" s="956"/>
      <c r="CH440" s="67"/>
      <c r="CI440" s="955" t="s">
        <v>4</v>
      </c>
      <c r="CJ440" s="955"/>
      <c r="CK440" s="955"/>
      <c r="CL440" s="956" t="s">
        <v>825</v>
      </c>
      <c r="CM440" s="956"/>
      <c r="CN440" s="956"/>
      <c r="CO440" s="956"/>
      <c r="CP440" s="956"/>
      <c r="CQ440" s="68"/>
    </row>
    <row r="441" spans="2:95" x14ac:dyDescent="0.25">
      <c r="B441" s="970"/>
      <c r="C441" s="971"/>
      <c r="D441" s="972"/>
      <c r="E441" s="67"/>
      <c r="F441" s="955"/>
      <c r="G441" s="955"/>
      <c r="H441" s="955"/>
      <c r="I441" s="956"/>
      <c r="J441" s="956"/>
      <c r="K441" s="956"/>
      <c r="L441" s="956"/>
      <c r="M441" s="956"/>
      <c r="N441" s="67"/>
      <c r="O441" s="955"/>
      <c r="P441" s="955"/>
      <c r="Q441" s="955"/>
      <c r="R441" s="956"/>
      <c r="S441" s="956"/>
      <c r="T441" s="956"/>
      <c r="U441" s="956"/>
      <c r="V441" s="956"/>
      <c r="W441" s="67"/>
      <c r="X441" s="955"/>
      <c r="Y441" s="955"/>
      <c r="Z441" s="955"/>
      <c r="AA441" s="956"/>
      <c r="AB441" s="956"/>
      <c r="AC441" s="956"/>
      <c r="AD441" s="956"/>
      <c r="AE441" s="956"/>
      <c r="AF441" s="67"/>
      <c r="AG441" s="955"/>
      <c r="AH441" s="955"/>
      <c r="AI441" s="955"/>
      <c r="AJ441" s="956"/>
      <c r="AK441" s="956"/>
      <c r="AL441" s="956"/>
      <c r="AM441" s="956"/>
      <c r="AN441" s="956"/>
      <c r="AO441" s="67"/>
      <c r="AP441" s="955"/>
      <c r="AQ441" s="955"/>
      <c r="AR441" s="955"/>
      <c r="AS441" s="956"/>
      <c r="AT441" s="956"/>
      <c r="AU441" s="956"/>
      <c r="AV441" s="956"/>
      <c r="AW441" s="956"/>
      <c r="AX441" s="67"/>
      <c r="AY441" s="955"/>
      <c r="AZ441" s="955"/>
      <c r="BA441" s="955"/>
      <c r="BB441" s="956"/>
      <c r="BC441" s="956"/>
      <c r="BD441" s="956"/>
      <c r="BE441" s="956"/>
      <c r="BF441" s="956"/>
      <c r="BG441" s="67"/>
      <c r="BH441" s="955"/>
      <c r="BI441" s="955"/>
      <c r="BJ441" s="955"/>
      <c r="BK441" s="956"/>
      <c r="BL441" s="956"/>
      <c r="BM441" s="956"/>
      <c r="BN441" s="956"/>
      <c r="BO441" s="956"/>
      <c r="BP441" s="67"/>
      <c r="BQ441" s="955"/>
      <c r="BR441" s="955"/>
      <c r="BS441" s="955"/>
      <c r="BT441" s="956"/>
      <c r="BU441" s="956"/>
      <c r="BV441" s="956"/>
      <c r="BW441" s="956"/>
      <c r="BX441" s="956"/>
      <c r="BY441" s="67"/>
      <c r="BZ441" s="955"/>
      <c r="CA441" s="955"/>
      <c r="CB441" s="955"/>
      <c r="CC441" s="956"/>
      <c r="CD441" s="956"/>
      <c r="CE441" s="956"/>
      <c r="CF441" s="956"/>
      <c r="CG441" s="956"/>
      <c r="CH441" s="67"/>
      <c r="CI441" s="955"/>
      <c r="CJ441" s="955"/>
      <c r="CK441" s="955"/>
      <c r="CL441" s="956"/>
      <c r="CM441" s="956"/>
      <c r="CN441" s="956"/>
      <c r="CO441" s="956"/>
      <c r="CP441" s="956"/>
      <c r="CQ441" s="68"/>
    </row>
    <row r="442" spans="2:95" x14ac:dyDescent="0.25">
      <c r="B442" s="970"/>
      <c r="C442" s="971"/>
      <c r="D442" s="972"/>
      <c r="E442" s="67"/>
      <c r="F442" s="955"/>
      <c r="G442" s="955"/>
      <c r="H442" s="955"/>
      <c r="I442" s="956"/>
      <c r="J442" s="956"/>
      <c r="K442" s="956"/>
      <c r="L442" s="956"/>
      <c r="M442" s="956"/>
      <c r="N442" s="67"/>
      <c r="O442" s="955"/>
      <c r="P442" s="955"/>
      <c r="Q442" s="955"/>
      <c r="R442" s="956"/>
      <c r="S442" s="956"/>
      <c r="T442" s="956"/>
      <c r="U442" s="956"/>
      <c r="V442" s="956"/>
      <c r="W442" s="67"/>
      <c r="X442" s="955"/>
      <c r="Y442" s="955"/>
      <c r="Z442" s="955"/>
      <c r="AA442" s="956"/>
      <c r="AB442" s="956"/>
      <c r="AC442" s="956"/>
      <c r="AD442" s="956"/>
      <c r="AE442" s="956"/>
      <c r="AF442" s="67"/>
      <c r="AG442" s="955"/>
      <c r="AH442" s="955"/>
      <c r="AI442" s="955"/>
      <c r="AJ442" s="956"/>
      <c r="AK442" s="956"/>
      <c r="AL442" s="956"/>
      <c r="AM442" s="956"/>
      <c r="AN442" s="956"/>
      <c r="AO442" s="67"/>
      <c r="AP442" s="955"/>
      <c r="AQ442" s="955"/>
      <c r="AR442" s="955"/>
      <c r="AS442" s="956"/>
      <c r="AT442" s="956"/>
      <c r="AU442" s="956"/>
      <c r="AV442" s="956"/>
      <c r="AW442" s="956"/>
      <c r="AX442" s="67"/>
      <c r="AY442" s="955"/>
      <c r="AZ442" s="955"/>
      <c r="BA442" s="955"/>
      <c r="BB442" s="956"/>
      <c r="BC442" s="956"/>
      <c r="BD442" s="956"/>
      <c r="BE442" s="956"/>
      <c r="BF442" s="956"/>
      <c r="BG442" s="67"/>
      <c r="BH442" s="955"/>
      <c r="BI442" s="955"/>
      <c r="BJ442" s="955"/>
      <c r="BK442" s="956"/>
      <c r="BL442" s="956"/>
      <c r="BM442" s="956"/>
      <c r="BN442" s="956"/>
      <c r="BO442" s="956"/>
      <c r="BP442" s="67"/>
      <c r="BQ442" s="955"/>
      <c r="BR442" s="955"/>
      <c r="BS442" s="955"/>
      <c r="BT442" s="956"/>
      <c r="BU442" s="956"/>
      <c r="BV442" s="956"/>
      <c r="BW442" s="956"/>
      <c r="BX442" s="956"/>
      <c r="BY442" s="67"/>
      <c r="BZ442" s="955"/>
      <c r="CA442" s="955"/>
      <c r="CB442" s="955"/>
      <c r="CC442" s="956"/>
      <c r="CD442" s="956"/>
      <c r="CE442" s="956"/>
      <c r="CF442" s="956"/>
      <c r="CG442" s="956"/>
      <c r="CH442" s="67"/>
      <c r="CI442" s="955"/>
      <c r="CJ442" s="955"/>
      <c r="CK442" s="955"/>
      <c r="CL442" s="956"/>
      <c r="CM442" s="956"/>
      <c r="CN442" s="956"/>
      <c r="CO442" s="956"/>
      <c r="CP442" s="956"/>
      <c r="CQ442" s="68"/>
    </row>
    <row r="443" spans="2:95" x14ac:dyDescent="0.25">
      <c r="B443" s="970"/>
      <c r="C443" s="971"/>
      <c r="D443" s="972"/>
      <c r="E443" s="67"/>
      <c r="F443" s="955" t="s">
        <v>5</v>
      </c>
      <c r="G443" s="955"/>
      <c r="H443" s="955"/>
      <c r="I443" s="956" t="s">
        <v>863</v>
      </c>
      <c r="J443" s="956"/>
      <c r="K443" s="956"/>
      <c r="L443" s="956"/>
      <c r="M443" s="956"/>
      <c r="N443" s="67"/>
      <c r="O443" s="955" t="s">
        <v>5</v>
      </c>
      <c r="P443" s="955"/>
      <c r="Q443" s="955"/>
      <c r="R443" s="956" t="s">
        <v>867</v>
      </c>
      <c r="S443" s="956"/>
      <c r="T443" s="956"/>
      <c r="U443" s="956"/>
      <c r="V443" s="956"/>
      <c r="W443" s="67"/>
      <c r="X443" s="955" t="s">
        <v>5</v>
      </c>
      <c r="Y443" s="955"/>
      <c r="Z443" s="955"/>
      <c r="AA443" s="956" t="s">
        <v>929</v>
      </c>
      <c r="AB443" s="956"/>
      <c r="AC443" s="956"/>
      <c r="AD443" s="956"/>
      <c r="AE443" s="956"/>
      <c r="AF443" s="67"/>
      <c r="AG443" s="955" t="s">
        <v>5</v>
      </c>
      <c r="AH443" s="955"/>
      <c r="AI443" s="955"/>
      <c r="AJ443" s="956" t="s">
        <v>874</v>
      </c>
      <c r="AK443" s="956"/>
      <c r="AL443" s="956"/>
      <c r="AM443" s="956"/>
      <c r="AN443" s="956"/>
      <c r="AO443" s="67"/>
      <c r="AP443" s="955" t="s">
        <v>5</v>
      </c>
      <c r="AQ443" s="955"/>
      <c r="AR443" s="955"/>
      <c r="AS443" s="956" t="s">
        <v>877</v>
      </c>
      <c r="AT443" s="956"/>
      <c r="AU443" s="956"/>
      <c r="AV443" s="956"/>
      <c r="AW443" s="956"/>
      <c r="AX443" s="67"/>
      <c r="AY443" s="955" t="s">
        <v>5</v>
      </c>
      <c r="AZ443" s="955"/>
      <c r="BA443" s="955"/>
      <c r="BB443" s="956" t="s">
        <v>881</v>
      </c>
      <c r="BC443" s="956"/>
      <c r="BD443" s="956"/>
      <c r="BE443" s="956"/>
      <c r="BF443" s="956"/>
      <c r="BG443" s="67"/>
      <c r="BH443" s="955" t="s">
        <v>5</v>
      </c>
      <c r="BI443" s="955"/>
      <c r="BJ443" s="955"/>
      <c r="BK443" s="956" t="s">
        <v>885</v>
      </c>
      <c r="BL443" s="956"/>
      <c r="BM443" s="956"/>
      <c r="BN443" s="956"/>
      <c r="BO443" s="956"/>
      <c r="BP443" s="67"/>
      <c r="BQ443" s="955" t="s">
        <v>5</v>
      </c>
      <c r="BR443" s="955"/>
      <c r="BS443" s="955"/>
      <c r="BT443" s="956" t="s">
        <v>888</v>
      </c>
      <c r="BU443" s="956"/>
      <c r="BV443" s="956"/>
      <c r="BW443" s="956"/>
      <c r="BX443" s="956"/>
      <c r="BY443" s="67"/>
      <c r="BZ443" s="955" t="s">
        <v>5</v>
      </c>
      <c r="CA443" s="955"/>
      <c r="CB443" s="955"/>
      <c r="CC443" s="956" t="s">
        <v>892</v>
      </c>
      <c r="CD443" s="956"/>
      <c r="CE443" s="956"/>
      <c r="CF443" s="956"/>
      <c r="CG443" s="956"/>
      <c r="CH443" s="67"/>
      <c r="CI443" s="955" t="s">
        <v>5</v>
      </c>
      <c r="CJ443" s="955"/>
      <c r="CK443" s="955"/>
      <c r="CL443" s="956" t="s">
        <v>896</v>
      </c>
      <c r="CM443" s="956"/>
      <c r="CN443" s="956"/>
      <c r="CO443" s="956"/>
      <c r="CP443" s="956"/>
      <c r="CQ443" s="68"/>
    </row>
    <row r="444" spans="2:95" x14ac:dyDescent="0.25">
      <c r="B444" s="970"/>
      <c r="C444" s="971"/>
      <c r="D444" s="972"/>
      <c r="E444" s="67"/>
      <c r="F444" s="955"/>
      <c r="G444" s="955"/>
      <c r="H444" s="955"/>
      <c r="I444" s="956"/>
      <c r="J444" s="956"/>
      <c r="K444" s="956"/>
      <c r="L444" s="956"/>
      <c r="M444" s="956"/>
      <c r="N444" s="67"/>
      <c r="O444" s="955"/>
      <c r="P444" s="955"/>
      <c r="Q444" s="955"/>
      <c r="R444" s="956"/>
      <c r="S444" s="956"/>
      <c r="T444" s="956"/>
      <c r="U444" s="956"/>
      <c r="V444" s="956"/>
      <c r="W444" s="67"/>
      <c r="X444" s="955"/>
      <c r="Y444" s="955"/>
      <c r="Z444" s="955"/>
      <c r="AA444" s="956"/>
      <c r="AB444" s="956"/>
      <c r="AC444" s="956"/>
      <c r="AD444" s="956"/>
      <c r="AE444" s="956"/>
      <c r="AF444" s="67"/>
      <c r="AG444" s="955"/>
      <c r="AH444" s="955"/>
      <c r="AI444" s="955"/>
      <c r="AJ444" s="956"/>
      <c r="AK444" s="956"/>
      <c r="AL444" s="956"/>
      <c r="AM444" s="956"/>
      <c r="AN444" s="956"/>
      <c r="AO444" s="67"/>
      <c r="AP444" s="955"/>
      <c r="AQ444" s="955"/>
      <c r="AR444" s="955"/>
      <c r="AS444" s="956"/>
      <c r="AT444" s="956"/>
      <c r="AU444" s="956"/>
      <c r="AV444" s="956"/>
      <c r="AW444" s="956"/>
      <c r="AX444" s="67"/>
      <c r="AY444" s="955"/>
      <c r="AZ444" s="955"/>
      <c r="BA444" s="955"/>
      <c r="BB444" s="956"/>
      <c r="BC444" s="956"/>
      <c r="BD444" s="956"/>
      <c r="BE444" s="956"/>
      <c r="BF444" s="956"/>
      <c r="BG444" s="67"/>
      <c r="BH444" s="955"/>
      <c r="BI444" s="955"/>
      <c r="BJ444" s="955"/>
      <c r="BK444" s="956"/>
      <c r="BL444" s="956"/>
      <c r="BM444" s="956"/>
      <c r="BN444" s="956"/>
      <c r="BO444" s="956"/>
      <c r="BP444" s="67"/>
      <c r="BQ444" s="955"/>
      <c r="BR444" s="955"/>
      <c r="BS444" s="955"/>
      <c r="BT444" s="956"/>
      <c r="BU444" s="956"/>
      <c r="BV444" s="956"/>
      <c r="BW444" s="956"/>
      <c r="BX444" s="956"/>
      <c r="BY444" s="67"/>
      <c r="BZ444" s="955"/>
      <c r="CA444" s="955"/>
      <c r="CB444" s="955"/>
      <c r="CC444" s="956"/>
      <c r="CD444" s="956"/>
      <c r="CE444" s="956"/>
      <c r="CF444" s="956"/>
      <c r="CG444" s="956"/>
      <c r="CH444" s="67"/>
      <c r="CI444" s="955"/>
      <c r="CJ444" s="955"/>
      <c r="CK444" s="955"/>
      <c r="CL444" s="956"/>
      <c r="CM444" s="956"/>
      <c r="CN444" s="956"/>
      <c r="CO444" s="956"/>
      <c r="CP444" s="956"/>
      <c r="CQ444" s="68"/>
    </row>
    <row r="445" spans="2:95" x14ac:dyDescent="0.25">
      <c r="B445" s="970"/>
      <c r="C445" s="971"/>
      <c r="D445" s="972"/>
      <c r="E445" s="67"/>
      <c r="F445" s="955"/>
      <c r="G445" s="955"/>
      <c r="H445" s="955"/>
      <c r="I445" s="956"/>
      <c r="J445" s="956"/>
      <c r="K445" s="956"/>
      <c r="L445" s="956"/>
      <c r="M445" s="956"/>
      <c r="N445" s="67"/>
      <c r="O445" s="955"/>
      <c r="P445" s="955"/>
      <c r="Q445" s="955"/>
      <c r="R445" s="956"/>
      <c r="S445" s="956"/>
      <c r="T445" s="956"/>
      <c r="U445" s="956"/>
      <c r="V445" s="956"/>
      <c r="W445" s="67"/>
      <c r="X445" s="955"/>
      <c r="Y445" s="955"/>
      <c r="Z445" s="955"/>
      <c r="AA445" s="956"/>
      <c r="AB445" s="956"/>
      <c r="AC445" s="956"/>
      <c r="AD445" s="956"/>
      <c r="AE445" s="956"/>
      <c r="AF445" s="67"/>
      <c r="AG445" s="955"/>
      <c r="AH445" s="955"/>
      <c r="AI445" s="955"/>
      <c r="AJ445" s="956"/>
      <c r="AK445" s="956"/>
      <c r="AL445" s="956"/>
      <c r="AM445" s="956"/>
      <c r="AN445" s="956"/>
      <c r="AO445" s="67"/>
      <c r="AP445" s="955"/>
      <c r="AQ445" s="955"/>
      <c r="AR445" s="955"/>
      <c r="AS445" s="956"/>
      <c r="AT445" s="956"/>
      <c r="AU445" s="956"/>
      <c r="AV445" s="956"/>
      <c r="AW445" s="956"/>
      <c r="AX445" s="67"/>
      <c r="AY445" s="955"/>
      <c r="AZ445" s="955"/>
      <c r="BA445" s="955"/>
      <c r="BB445" s="956"/>
      <c r="BC445" s="956"/>
      <c r="BD445" s="956"/>
      <c r="BE445" s="956"/>
      <c r="BF445" s="956"/>
      <c r="BG445" s="67"/>
      <c r="BH445" s="955"/>
      <c r="BI445" s="955"/>
      <c r="BJ445" s="955"/>
      <c r="BK445" s="956"/>
      <c r="BL445" s="956"/>
      <c r="BM445" s="956"/>
      <c r="BN445" s="956"/>
      <c r="BO445" s="956"/>
      <c r="BP445" s="67"/>
      <c r="BQ445" s="955"/>
      <c r="BR445" s="955"/>
      <c r="BS445" s="955"/>
      <c r="BT445" s="956"/>
      <c r="BU445" s="956"/>
      <c r="BV445" s="956"/>
      <c r="BW445" s="956"/>
      <c r="BX445" s="956"/>
      <c r="BY445" s="67"/>
      <c r="BZ445" s="955"/>
      <c r="CA445" s="955"/>
      <c r="CB445" s="955"/>
      <c r="CC445" s="956"/>
      <c r="CD445" s="956"/>
      <c r="CE445" s="956"/>
      <c r="CF445" s="956"/>
      <c r="CG445" s="956"/>
      <c r="CH445" s="67"/>
      <c r="CI445" s="955"/>
      <c r="CJ445" s="955"/>
      <c r="CK445" s="955"/>
      <c r="CL445" s="956"/>
      <c r="CM445" s="956"/>
      <c r="CN445" s="956"/>
      <c r="CO445" s="956"/>
      <c r="CP445" s="956"/>
      <c r="CQ445" s="68"/>
    </row>
    <row r="446" spans="2:95" x14ac:dyDescent="0.25">
      <c r="B446" s="970"/>
      <c r="C446" s="971"/>
      <c r="D446" s="972"/>
      <c r="E446" s="67"/>
      <c r="F446" s="955" t="s">
        <v>6</v>
      </c>
      <c r="G446" s="955"/>
      <c r="H446" s="955"/>
      <c r="I446" s="956" t="s">
        <v>9</v>
      </c>
      <c r="J446" s="956"/>
      <c r="K446" s="956"/>
      <c r="L446" s="956"/>
      <c r="M446" s="956"/>
      <c r="N446" s="67"/>
      <c r="O446" s="955" t="s">
        <v>6</v>
      </c>
      <c r="P446" s="955"/>
      <c r="Q446" s="955"/>
      <c r="R446" s="956" t="s">
        <v>9</v>
      </c>
      <c r="S446" s="956"/>
      <c r="T446" s="956"/>
      <c r="U446" s="956"/>
      <c r="V446" s="956"/>
      <c r="W446" s="67"/>
      <c r="X446" s="955" t="s">
        <v>6</v>
      </c>
      <c r="Y446" s="955"/>
      <c r="Z446" s="955"/>
      <c r="AA446" s="956" t="s">
        <v>9</v>
      </c>
      <c r="AB446" s="956"/>
      <c r="AC446" s="956"/>
      <c r="AD446" s="956"/>
      <c r="AE446" s="956"/>
      <c r="AF446" s="67"/>
      <c r="AG446" s="955" t="s">
        <v>6</v>
      </c>
      <c r="AH446" s="955"/>
      <c r="AI446" s="955"/>
      <c r="AJ446" s="956" t="s">
        <v>9</v>
      </c>
      <c r="AK446" s="956"/>
      <c r="AL446" s="956"/>
      <c r="AM446" s="956"/>
      <c r="AN446" s="956"/>
      <c r="AO446" s="67"/>
      <c r="AP446" s="955" t="s">
        <v>6</v>
      </c>
      <c r="AQ446" s="955"/>
      <c r="AR446" s="955"/>
      <c r="AS446" s="956" t="s">
        <v>9</v>
      </c>
      <c r="AT446" s="956"/>
      <c r="AU446" s="956"/>
      <c r="AV446" s="956"/>
      <c r="AW446" s="956"/>
      <c r="AX446" s="67"/>
      <c r="AY446" s="955" t="s">
        <v>6</v>
      </c>
      <c r="AZ446" s="955"/>
      <c r="BA446" s="955"/>
      <c r="BB446" s="956" t="s">
        <v>9</v>
      </c>
      <c r="BC446" s="956"/>
      <c r="BD446" s="956"/>
      <c r="BE446" s="956"/>
      <c r="BF446" s="956"/>
      <c r="BG446" s="67"/>
      <c r="BH446" s="955" t="s">
        <v>6</v>
      </c>
      <c r="BI446" s="955"/>
      <c r="BJ446" s="955"/>
      <c r="BK446" s="956" t="s">
        <v>9</v>
      </c>
      <c r="BL446" s="956"/>
      <c r="BM446" s="956"/>
      <c r="BN446" s="956"/>
      <c r="BO446" s="956"/>
      <c r="BP446" s="67"/>
      <c r="BQ446" s="955" t="s">
        <v>6</v>
      </c>
      <c r="BR446" s="955"/>
      <c r="BS446" s="955"/>
      <c r="BT446" s="956" t="s">
        <v>9</v>
      </c>
      <c r="BU446" s="956"/>
      <c r="BV446" s="956"/>
      <c r="BW446" s="956"/>
      <c r="BX446" s="956"/>
      <c r="BY446" s="67"/>
      <c r="BZ446" s="955" t="s">
        <v>6</v>
      </c>
      <c r="CA446" s="955"/>
      <c r="CB446" s="955"/>
      <c r="CC446" s="956" t="s">
        <v>9</v>
      </c>
      <c r="CD446" s="956"/>
      <c r="CE446" s="956"/>
      <c r="CF446" s="956"/>
      <c r="CG446" s="956"/>
      <c r="CH446" s="67"/>
      <c r="CI446" s="955" t="s">
        <v>6</v>
      </c>
      <c r="CJ446" s="955"/>
      <c r="CK446" s="955"/>
      <c r="CL446" s="956" t="s">
        <v>9</v>
      </c>
      <c r="CM446" s="956"/>
      <c r="CN446" s="956"/>
      <c r="CO446" s="956"/>
      <c r="CP446" s="956"/>
      <c r="CQ446" s="68"/>
    </row>
    <row r="447" spans="2:95" x14ac:dyDescent="0.25">
      <c r="B447" s="970"/>
      <c r="C447" s="971"/>
      <c r="D447" s="972"/>
      <c r="E447" s="67"/>
      <c r="F447" s="955"/>
      <c r="G447" s="955"/>
      <c r="H447" s="955"/>
      <c r="I447" s="956"/>
      <c r="J447" s="956"/>
      <c r="K447" s="956"/>
      <c r="L447" s="956"/>
      <c r="M447" s="956"/>
      <c r="N447" s="67"/>
      <c r="O447" s="955"/>
      <c r="P447" s="955"/>
      <c r="Q447" s="955"/>
      <c r="R447" s="956"/>
      <c r="S447" s="956"/>
      <c r="T447" s="956"/>
      <c r="U447" s="956"/>
      <c r="V447" s="956"/>
      <c r="W447" s="67"/>
      <c r="X447" s="955"/>
      <c r="Y447" s="955"/>
      <c r="Z447" s="955"/>
      <c r="AA447" s="956"/>
      <c r="AB447" s="956"/>
      <c r="AC447" s="956"/>
      <c r="AD447" s="956"/>
      <c r="AE447" s="956"/>
      <c r="AF447" s="67"/>
      <c r="AG447" s="955"/>
      <c r="AH447" s="955"/>
      <c r="AI447" s="955"/>
      <c r="AJ447" s="956"/>
      <c r="AK447" s="956"/>
      <c r="AL447" s="956"/>
      <c r="AM447" s="956"/>
      <c r="AN447" s="956"/>
      <c r="AO447" s="67"/>
      <c r="AP447" s="955"/>
      <c r="AQ447" s="955"/>
      <c r="AR447" s="955"/>
      <c r="AS447" s="956"/>
      <c r="AT447" s="956"/>
      <c r="AU447" s="956"/>
      <c r="AV447" s="956"/>
      <c r="AW447" s="956"/>
      <c r="AX447" s="67"/>
      <c r="AY447" s="955"/>
      <c r="AZ447" s="955"/>
      <c r="BA447" s="955"/>
      <c r="BB447" s="956"/>
      <c r="BC447" s="956"/>
      <c r="BD447" s="956"/>
      <c r="BE447" s="956"/>
      <c r="BF447" s="956"/>
      <c r="BG447" s="67"/>
      <c r="BH447" s="955"/>
      <c r="BI447" s="955"/>
      <c r="BJ447" s="955"/>
      <c r="BK447" s="956"/>
      <c r="BL447" s="956"/>
      <c r="BM447" s="956"/>
      <c r="BN447" s="956"/>
      <c r="BO447" s="956"/>
      <c r="BP447" s="67"/>
      <c r="BQ447" s="955"/>
      <c r="BR447" s="955"/>
      <c r="BS447" s="955"/>
      <c r="BT447" s="956"/>
      <c r="BU447" s="956"/>
      <c r="BV447" s="956"/>
      <c r="BW447" s="956"/>
      <c r="BX447" s="956"/>
      <c r="BY447" s="67"/>
      <c r="BZ447" s="955"/>
      <c r="CA447" s="955"/>
      <c r="CB447" s="955"/>
      <c r="CC447" s="956"/>
      <c r="CD447" s="956"/>
      <c r="CE447" s="956"/>
      <c r="CF447" s="956"/>
      <c r="CG447" s="956"/>
      <c r="CH447" s="67"/>
      <c r="CI447" s="955"/>
      <c r="CJ447" s="955"/>
      <c r="CK447" s="955"/>
      <c r="CL447" s="956"/>
      <c r="CM447" s="956"/>
      <c r="CN447" s="956"/>
      <c r="CO447" s="956"/>
      <c r="CP447" s="956"/>
      <c r="CQ447" s="68"/>
    </row>
    <row r="448" spans="2:95" x14ac:dyDescent="0.25">
      <c r="B448" s="970"/>
      <c r="C448" s="971"/>
      <c r="D448" s="972"/>
      <c r="E448" s="67"/>
      <c r="F448" s="955"/>
      <c r="G448" s="955"/>
      <c r="H448" s="955"/>
      <c r="I448" s="956"/>
      <c r="J448" s="956"/>
      <c r="K448" s="956"/>
      <c r="L448" s="956"/>
      <c r="M448" s="956"/>
      <c r="N448" s="67"/>
      <c r="O448" s="955"/>
      <c r="P448" s="955"/>
      <c r="Q448" s="955"/>
      <c r="R448" s="956"/>
      <c r="S448" s="956"/>
      <c r="T448" s="956"/>
      <c r="U448" s="956"/>
      <c r="V448" s="956"/>
      <c r="W448" s="67"/>
      <c r="X448" s="955"/>
      <c r="Y448" s="955"/>
      <c r="Z448" s="955"/>
      <c r="AA448" s="956"/>
      <c r="AB448" s="956"/>
      <c r="AC448" s="956"/>
      <c r="AD448" s="956"/>
      <c r="AE448" s="956"/>
      <c r="AF448" s="67"/>
      <c r="AG448" s="955"/>
      <c r="AH448" s="955"/>
      <c r="AI448" s="955"/>
      <c r="AJ448" s="956"/>
      <c r="AK448" s="956"/>
      <c r="AL448" s="956"/>
      <c r="AM448" s="956"/>
      <c r="AN448" s="956"/>
      <c r="AO448" s="67"/>
      <c r="AP448" s="955"/>
      <c r="AQ448" s="955"/>
      <c r="AR448" s="955"/>
      <c r="AS448" s="956"/>
      <c r="AT448" s="956"/>
      <c r="AU448" s="956"/>
      <c r="AV448" s="956"/>
      <c r="AW448" s="956"/>
      <c r="AX448" s="67"/>
      <c r="AY448" s="955"/>
      <c r="AZ448" s="955"/>
      <c r="BA448" s="955"/>
      <c r="BB448" s="956"/>
      <c r="BC448" s="956"/>
      <c r="BD448" s="956"/>
      <c r="BE448" s="956"/>
      <c r="BF448" s="956"/>
      <c r="BG448" s="67"/>
      <c r="BH448" s="955"/>
      <c r="BI448" s="955"/>
      <c r="BJ448" s="955"/>
      <c r="BK448" s="956"/>
      <c r="BL448" s="956"/>
      <c r="BM448" s="956"/>
      <c r="BN448" s="956"/>
      <c r="BO448" s="956"/>
      <c r="BP448" s="67"/>
      <c r="BQ448" s="955"/>
      <c r="BR448" s="955"/>
      <c r="BS448" s="955"/>
      <c r="BT448" s="956"/>
      <c r="BU448" s="956"/>
      <c r="BV448" s="956"/>
      <c r="BW448" s="956"/>
      <c r="BX448" s="956"/>
      <c r="BY448" s="67"/>
      <c r="BZ448" s="955"/>
      <c r="CA448" s="955"/>
      <c r="CB448" s="955"/>
      <c r="CC448" s="956"/>
      <c r="CD448" s="956"/>
      <c r="CE448" s="956"/>
      <c r="CF448" s="956"/>
      <c r="CG448" s="956"/>
      <c r="CH448" s="67"/>
      <c r="CI448" s="955"/>
      <c r="CJ448" s="955"/>
      <c r="CK448" s="955"/>
      <c r="CL448" s="956"/>
      <c r="CM448" s="956"/>
      <c r="CN448" s="956"/>
      <c r="CO448" s="956"/>
      <c r="CP448" s="956"/>
      <c r="CQ448" s="68"/>
    </row>
    <row r="449" spans="2:104" x14ac:dyDescent="0.25">
      <c r="B449" s="970"/>
      <c r="C449" s="971"/>
      <c r="D449" s="972"/>
      <c r="E449" s="67"/>
      <c r="F449" s="955" t="s">
        <v>7</v>
      </c>
      <c r="G449" s="955"/>
      <c r="H449" s="955"/>
      <c r="I449" s="956" t="s">
        <v>864</v>
      </c>
      <c r="J449" s="956"/>
      <c r="K449" s="956"/>
      <c r="L449" s="956"/>
      <c r="M449" s="956"/>
      <c r="N449" s="67"/>
      <c r="O449" s="955" t="s">
        <v>7</v>
      </c>
      <c r="P449" s="955"/>
      <c r="Q449" s="955"/>
      <c r="R449" s="956" t="s">
        <v>868</v>
      </c>
      <c r="S449" s="956"/>
      <c r="T449" s="956"/>
      <c r="U449" s="956"/>
      <c r="V449" s="956"/>
      <c r="W449" s="67"/>
      <c r="X449" s="955" t="s">
        <v>7</v>
      </c>
      <c r="Y449" s="955"/>
      <c r="Z449" s="955"/>
      <c r="AA449" s="956" t="s">
        <v>930</v>
      </c>
      <c r="AB449" s="956"/>
      <c r="AC449" s="956"/>
      <c r="AD449" s="956"/>
      <c r="AE449" s="956"/>
      <c r="AF449" s="67"/>
      <c r="AG449" s="955" t="s">
        <v>7</v>
      </c>
      <c r="AH449" s="955"/>
      <c r="AI449" s="955"/>
      <c r="AJ449" s="956" t="s">
        <v>2148</v>
      </c>
      <c r="AK449" s="956"/>
      <c r="AL449" s="956"/>
      <c r="AM449" s="956"/>
      <c r="AN449" s="956"/>
      <c r="AO449" s="67"/>
      <c r="AP449" s="955" t="s">
        <v>7</v>
      </c>
      <c r="AQ449" s="955"/>
      <c r="AR449" s="955"/>
      <c r="AS449" s="956" t="s">
        <v>878</v>
      </c>
      <c r="AT449" s="956"/>
      <c r="AU449" s="956"/>
      <c r="AV449" s="956"/>
      <c r="AW449" s="956"/>
      <c r="AX449" s="67"/>
      <c r="AY449" s="955" t="s">
        <v>7</v>
      </c>
      <c r="AZ449" s="955"/>
      <c r="BA449" s="955"/>
      <c r="BB449" s="956" t="s">
        <v>882</v>
      </c>
      <c r="BC449" s="956"/>
      <c r="BD449" s="956"/>
      <c r="BE449" s="956"/>
      <c r="BF449" s="956"/>
      <c r="BG449" s="67"/>
      <c r="BH449" s="955" t="s">
        <v>7</v>
      </c>
      <c r="BI449" s="955"/>
      <c r="BJ449" s="955"/>
      <c r="BK449" s="956" t="s">
        <v>2149</v>
      </c>
      <c r="BL449" s="956"/>
      <c r="BM449" s="956"/>
      <c r="BN449" s="956"/>
      <c r="BO449" s="956"/>
      <c r="BP449" s="67"/>
      <c r="BQ449" s="955" t="s">
        <v>7</v>
      </c>
      <c r="BR449" s="955"/>
      <c r="BS449" s="955"/>
      <c r="BT449" s="956" t="s">
        <v>889</v>
      </c>
      <c r="BU449" s="956"/>
      <c r="BV449" s="956"/>
      <c r="BW449" s="956"/>
      <c r="BX449" s="956"/>
      <c r="BY449" s="67"/>
      <c r="BZ449" s="955" t="s">
        <v>7</v>
      </c>
      <c r="CA449" s="955"/>
      <c r="CB449" s="955"/>
      <c r="CC449" s="956" t="s">
        <v>893</v>
      </c>
      <c r="CD449" s="956"/>
      <c r="CE449" s="956"/>
      <c r="CF449" s="956"/>
      <c r="CG449" s="956"/>
      <c r="CH449" s="67"/>
      <c r="CI449" s="955" t="s">
        <v>7</v>
      </c>
      <c r="CJ449" s="955"/>
      <c r="CK449" s="955"/>
      <c r="CL449" s="956" t="s">
        <v>897</v>
      </c>
      <c r="CM449" s="956"/>
      <c r="CN449" s="956"/>
      <c r="CO449" s="956"/>
      <c r="CP449" s="956"/>
      <c r="CQ449" s="68"/>
    </row>
    <row r="450" spans="2:104" x14ac:dyDescent="0.25">
      <c r="B450" s="970"/>
      <c r="C450" s="971"/>
      <c r="D450" s="972"/>
      <c r="E450" s="67"/>
      <c r="F450" s="955"/>
      <c r="G450" s="955"/>
      <c r="H450" s="955"/>
      <c r="I450" s="956"/>
      <c r="J450" s="956"/>
      <c r="K450" s="956"/>
      <c r="L450" s="956"/>
      <c r="M450" s="956"/>
      <c r="N450" s="67"/>
      <c r="O450" s="955"/>
      <c r="P450" s="955"/>
      <c r="Q450" s="955"/>
      <c r="R450" s="956"/>
      <c r="S450" s="956"/>
      <c r="T450" s="956"/>
      <c r="U450" s="956"/>
      <c r="V450" s="956"/>
      <c r="W450" s="67"/>
      <c r="X450" s="955"/>
      <c r="Y450" s="955"/>
      <c r="Z450" s="955"/>
      <c r="AA450" s="956"/>
      <c r="AB450" s="956"/>
      <c r="AC450" s="956"/>
      <c r="AD450" s="956"/>
      <c r="AE450" s="956"/>
      <c r="AF450" s="67"/>
      <c r="AG450" s="955"/>
      <c r="AH450" s="955"/>
      <c r="AI450" s="955"/>
      <c r="AJ450" s="956"/>
      <c r="AK450" s="956"/>
      <c r="AL450" s="956"/>
      <c r="AM450" s="956"/>
      <c r="AN450" s="956"/>
      <c r="AO450" s="67"/>
      <c r="AP450" s="955"/>
      <c r="AQ450" s="955"/>
      <c r="AR450" s="955"/>
      <c r="AS450" s="956"/>
      <c r="AT450" s="956"/>
      <c r="AU450" s="956"/>
      <c r="AV450" s="956"/>
      <c r="AW450" s="956"/>
      <c r="AX450" s="67"/>
      <c r="AY450" s="955"/>
      <c r="AZ450" s="955"/>
      <c r="BA450" s="955"/>
      <c r="BB450" s="956"/>
      <c r="BC450" s="956"/>
      <c r="BD450" s="956"/>
      <c r="BE450" s="956"/>
      <c r="BF450" s="956"/>
      <c r="BG450" s="67"/>
      <c r="BH450" s="955"/>
      <c r="BI450" s="955"/>
      <c r="BJ450" s="955"/>
      <c r="BK450" s="956"/>
      <c r="BL450" s="956"/>
      <c r="BM450" s="956"/>
      <c r="BN450" s="956"/>
      <c r="BO450" s="956"/>
      <c r="BP450" s="67"/>
      <c r="BQ450" s="955"/>
      <c r="BR450" s="955"/>
      <c r="BS450" s="955"/>
      <c r="BT450" s="956"/>
      <c r="BU450" s="956"/>
      <c r="BV450" s="956"/>
      <c r="BW450" s="956"/>
      <c r="BX450" s="956"/>
      <c r="BY450" s="67"/>
      <c r="BZ450" s="955"/>
      <c r="CA450" s="955"/>
      <c r="CB450" s="955"/>
      <c r="CC450" s="956"/>
      <c r="CD450" s="956"/>
      <c r="CE450" s="956"/>
      <c r="CF450" s="956"/>
      <c r="CG450" s="956"/>
      <c r="CH450" s="67"/>
      <c r="CI450" s="955"/>
      <c r="CJ450" s="955"/>
      <c r="CK450" s="955"/>
      <c r="CL450" s="956"/>
      <c r="CM450" s="956"/>
      <c r="CN450" s="956"/>
      <c r="CO450" s="956"/>
      <c r="CP450" s="956"/>
      <c r="CQ450" s="68"/>
    </row>
    <row r="451" spans="2:104" x14ac:dyDescent="0.25">
      <c r="B451" s="970"/>
      <c r="C451" s="971"/>
      <c r="D451" s="972"/>
      <c r="E451" s="67"/>
      <c r="F451" s="955"/>
      <c r="G451" s="955"/>
      <c r="H451" s="955"/>
      <c r="I451" s="956"/>
      <c r="J451" s="956"/>
      <c r="K451" s="956"/>
      <c r="L451" s="956"/>
      <c r="M451" s="956"/>
      <c r="N451" s="67"/>
      <c r="O451" s="955"/>
      <c r="P451" s="955"/>
      <c r="Q451" s="955"/>
      <c r="R451" s="956"/>
      <c r="S451" s="956"/>
      <c r="T451" s="956"/>
      <c r="U451" s="956"/>
      <c r="V451" s="956"/>
      <c r="W451" s="67"/>
      <c r="X451" s="955"/>
      <c r="Y451" s="955"/>
      <c r="Z451" s="955"/>
      <c r="AA451" s="956"/>
      <c r="AB451" s="956"/>
      <c r="AC451" s="956"/>
      <c r="AD451" s="956"/>
      <c r="AE451" s="956"/>
      <c r="AF451" s="67"/>
      <c r="AG451" s="955"/>
      <c r="AH451" s="955"/>
      <c r="AI451" s="955"/>
      <c r="AJ451" s="956"/>
      <c r="AK451" s="956"/>
      <c r="AL451" s="956"/>
      <c r="AM451" s="956"/>
      <c r="AN451" s="956"/>
      <c r="AO451" s="67"/>
      <c r="AP451" s="955"/>
      <c r="AQ451" s="955"/>
      <c r="AR451" s="955"/>
      <c r="AS451" s="956"/>
      <c r="AT451" s="956"/>
      <c r="AU451" s="956"/>
      <c r="AV451" s="956"/>
      <c r="AW451" s="956"/>
      <c r="AX451" s="67"/>
      <c r="AY451" s="955"/>
      <c r="AZ451" s="955"/>
      <c r="BA451" s="955"/>
      <c r="BB451" s="956"/>
      <c r="BC451" s="956"/>
      <c r="BD451" s="956"/>
      <c r="BE451" s="956"/>
      <c r="BF451" s="956"/>
      <c r="BG451" s="67"/>
      <c r="BH451" s="955"/>
      <c r="BI451" s="955"/>
      <c r="BJ451" s="955"/>
      <c r="BK451" s="956"/>
      <c r="BL451" s="956"/>
      <c r="BM451" s="956"/>
      <c r="BN451" s="956"/>
      <c r="BO451" s="956"/>
      <c r="BP451" s="67"/>
      <c r="BQ451" s="955"/>
      <c r="BR451" s="955"/>
      <c r="BS451" s="955"/>
      <c r="BT451" s="956"/>
      <c r="BU451" s="956"/>
      <c r="BV451" s="956"/>
      <c r="BW451" s="956"/>
      <c r="BX451" s="956"/>
      <c r="BY451" s="67"/>
      <c r="BZ451" s="955"/>
      <c r="CA451" s="955"/>
      <c r="CB451" s="955"/>
      <c r="CC451" s="956"/>
      <c r="CD451" s="956"/>
      <c r="CE451" s="956"/>
      <c r="CF451" s="956"/>
      <c r="CG451" s="956"/>
      <c r="CH451" s="67"/>
      <c r="CI451" s="955"/>
      <c r="CJ451" s="955"/>
      <c r="CK451" s="955"/>
      <c r="CL451" s="956"/>
      <c r="CM451" s="956"/>
      <c r="CN451" s="956"/>
      <c r="CO451" s="956"/>
      <c r="CP451" s="956"/>
      <c r="CQ451" s="68"/>
    </row>
    <row r="452" spans="2:104" x14ac:dyDescent="0.25">
      <c r="B452" s="970"/>
      <c r="C452" s="971"/>
      <c r="D452" s="972"/>
      <c r="E452" s="67"/>
      <c r="F452" s="69"/>
      <c r="G452" s="69"/>
      <c r="H452" s="69"/>
      <c r="I452" s="70"/>
      <c r="J452" s="70"/>
      <c r="K452" s="70"/>
      <c r="L452" s="70"/>
      <c r="M452" s="70"/>
      <c r="N452" s="67"/>
      <c r="O452" s="69"/>
      <c r="P452" s="69"/>
      <c r="Q452" s="69"/>
      <c r="R452" s="70"/>
      <c r="S452" s="70"/>
      <c r="T452" s="70"/>
      <c r="U452" s="70"/>
      <c r="V452" s="70"/>
      <c r="W452" s="67"/>
      <c r="X452" s="69"/>
      <c r="Y452" s="69"/>
      <c r="Z452" s="69"/>
      <c r="AA452" s="70"/>
      <c r="AB452" s="70"/>
      <c r="AC452" s="70"/>
      <c r="AD452" s="70"/>
      <c r="AE452" s="70"/>
      <c r="AF452" s="67"/>
      <c r="AG452" s="69"/>
      <c r="AH452" s="69"/>
      <c r="AI452" s="69"/>
      <c r="AJ452" s="70"/>
      <c r="AK452" s="70"/>
      <c r="AL452" s="70"/>
      <c r="AM452" s="70"/>
      <c r="AN452" s="70"/>
      <c r="AO452" s="67"/>
      <c r="AP452" s="69"/>
      <c r="AQ452" s="69"/>
      <c r="AR452" s="69"/>
      <c r="AS452" s="70"/>
      <c r="AT452" s="70"/>
      <c r="AU452" s="70"/>
      <c r="AV452" s="70"/>
      <c r="AW452" s="70"/>
      <c r="AX452" s="67"/>
      <c r="AY452" s="69"/>
      <c r="AZ452" s="69"/>
      <c r="BA452" s="69"/>
      <c r="BB452" s="70"/>
      <c r="BC452" s="70"/>
      <c r="BD452" s="70"/>
      <c r="BE452" s="70"/>
      <c r="BF452" s="70"/>
      <c r="BG452" s="67"/>
      <c r="BH452" s="69"/>
      <c r="BI452" s="69"/>
      <c r="BJ452" s="69"/>
      <c r="BK452" s="70"/>
      <c r="BL452" s="70"/>
      <c r="BM452" s="70"/>
      <c r="BN452" s="70"/>
      <c r="BO452" s="70"/>
      <c r="BP452" s="67"/>
      <c r="BQ452" s="69"/>
      <c r="BR452" s="69"/>
      <c r="BS452" s="69"/>
      <c r="BT452" s="70"/>
      <c r="BU452" s="70"/>
      <c r="BV452" s="70"/>
      <c r="BW452" s="70"/>
      <c r="BX452" s="70"/>
      <c r="BY452" s="67"/>
      <c r="BZ452" s="69"/>
      <c r="CA452" s="69"/>
      <c r="CB452" s="69"/>
      <c r="CC452" s="70"/>
      <c r="CD452" s="70"/>
      <c r="CE452" s="70"/>
      <c r="CF452" s="70"/>
      <c r="CG452" s="70"/>
      <c r="CH452" s="67"/>
      <c r="CI452" s="69"/>
      <c r="CJ452" s="69"/>
      <c r="CK452" s="69"/>
      <c r="CL452" s="70"/>
      <c r="CM452" s="70"/>
      <c r="CN452" s="70"/>
      <c r="CO452" s="70"/>
      <c r="CP452" s="70"/>
      <c r="CQ452" s="68"/>
    </row>
    <row r="453" spans="2:104" x14ac:dyDescent="0.25">
      <c r="B453" s="970"/>
      <c r="C453" s="971"/>
      <c r="D453" s="972"/>
      <c r="E453" s="67"/>
      <c r="F453" s="67"/>
      <c r="G453" s="67"/>
      <c r="H453" s="67"/>
      <c r="I453" s="67"/>
      <c r="J453" s="67"/>
      <c r="K453" s="67"/>
      <c r="L453" s="67"/>
      <c r="M453" s="67"/>
      <c r="N453" s="67"/>
      <c r="O453" s="67"/>
      <c r="P453" s="67"/>
      <c r="Q453" s="67"/>
      <c r="R453" s="67"/>
      <c r="S453" s="67"/>
      <c r="T453" s="67"/>
      <c r="U453" s="67"/>
      <c r="V453" s="67"/>
      <c r="W453" s="67"/>
      <c r="X453" s="67" t="s">
        <v>871</v>
      </c>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8"/>
    </row>
    <row r="454" spans="2:104" ht="16.5" thickBot="1" x14ac:dyDescent="0.3">
      <c r="B454" s="973"/>
      <c r="C454" s="974"/>
      <c r="D454" s="975"/>
      <c r="E454" s="71"/>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c r="AT454" s="71"/>
      <c r="AU454" s="71"/>
      <c r="AV454" s="71"/>
      <c r="AW454" s="71"/>
      <c r="AX454" s="71"/>
      <c r="AY454" s="71"/>
      <c r="AZ454" s="71"/>
      <c r="BA454" s="71"/>
      <c r="BB454" s="71"/>
      <c r="BC454" s="71"/>
      <c r="BD454" s="71"/>
      <c r="BE454" s="71"/>
      <c r="BF454" s="71"/>
      <c r="BG454" s="71"/>
      <c r="BH454" s="71"/>
      <c r="BI454" s="71"/>
      <c r="BJ454" s="71"/>
      <c r="BK454" s="71"/>
      <c r="BL454" s="71"/>
      <c r="BM454" s="71"/>
      <c r="BN454" s="71"/>
      <c r="BO454" s="71"/>
      <c r="BP454" s="71"/>
      <c r="BQ454" s="71"/>
      <c r="BR454" s="71"/>
      <c r="BS454" s="71"/>
      <c r="BT454" s="71"/>
      <c r="BU454" s="71"/>
      <c r="BV454" s="71"/>
      <c r="BW454" s="71"/>
      <c r="BX454" s="71"/>
      <c r="BY454" s="71"/>
      <c r="BZ454" s="71"/>
      <c r="CA454" s="71"/>
      <c r="CB454" s="71"/>
      <c r="CC454" s="71"/>
      <c r="CD454" s="71"/>
      <c r="CE454" s="71"/>
      <c r="CF454" s="71"/>
      <c r="CG454" s="71"/>
      <c r="CH454" s="71"/>
      <c r="CI454" s="71"/>
      <c r="CJ454" s="71"/>
      <c r="CK454" s="71"/>
      <c r="CL454" s="71"/>
      <c r="CM454" s="71"/>
      <c r="CN454" s="71"/>
      <c r="CO454" s="71"/>
      <c r="CP454" s="71"/>
      <c r="CQ454" s="72"/>
    </row>
    <row r="456" spans="2:104" ht="16.5" thickBot="1" x14ac:dyDescent="0.3"/>
    <row r="457" spans="2:104" ht="15.75" customHeight="1" x14ac:dyDescent="0.25">
      <c r="B457" s="976" t="s">
        <v>1252</v>
      </c>
      <c r="C457" s="977"/>
      <c r="D457" s="978"/>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c r="CC457" s="73"/>
      <c r="CD457" s="73"/>
      <c r="CE457" s="73"/>
      <c r="CF457" s="73"/>
      <c r="CG457" s="73"/>
      <c r="CH457" s="73"/>
      <c r="CI457" s="73"/>
      <c r="CJ457" s="73"/>
      <c r="CK457" s="73"/>
      <c r="CL457" s="73"/>
      <c r="CM457" s="73"/>
      <c r="CN457" s="73"/>
      <c r="CO457" s="73"/>
      <c r="CP457" s="73"/>
      <c r="CQ457" s="73"/>
      <c r="CR457" s="73"/>
      <c r="CS457" s="73"/>
      <c r="CT457" s="73"/>
      <c r="CU457" s="73"/>
      <c r="CV457" s="73"/>
      <c r="CW457" s="73"/>
      <c r="CX457" s="73"/>
      <c r="CY457" s="73"/>
      <c r="CZ457" s="74"/>
    </row>
    <row r="458" spans="2:104" x14ac:dyDescent="0.25">
      <c r="B458" s="979"/>
      <c r="C458" s="980"/>
      <c r="D458" s="981"/>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6"/>
    </row>
    <row r="459" spans="2:104" ht="15.75" customHeight="1" x14ac:dyDescent="0.25">
      <c r="B459" s="979"/>
      <c r="C459" s="980"/>
      <c r="D459" s="981"/>
      <c r="E459" s="75"/>
      <c r="F459" s="885" t="s">
        <v>8</v>
      </c>
      <c r="G459" s="885"/>
      <c r="H459" s="885"/>
      <c r="I459" s="885"/>
      <c r="J459" s="885"/>
      <c r="K459" s="885"/>
      <c r="L459" s="885"/>
      <c r="M459" s="885"/>
      <c r="N459" s="75"/>
      <c r="O459" s="885" t="s">
        <v>8</v>
      </c>
      <c r="P459" s="885"/>
      <c r="Q459" s="885"/>
      <c r="R459" s="885"/>
      <c r="S459" s="885"/>
      <c r="T459" s="885"/>
      <c r="U459" s="885"/>
      <c r="V459" s="885"/>
      <c r="W459" s="75"/>
      <c r="X459" s="885" t="s">
        <v>8</v>
      </c>
      <c r="Y459" s="885"/>
      <c r="Z459" s="885"/>
      <c r="AA459" s="885"/>
      <c r="AB459" s="885"/>
      <c r="AC459" s="885"/>
      <c r="AD459" s="885"/>
      <c r="AE459" s="885"/>
      <c r="AF459" s="75"/>
      <c r="AG459" s="885" t="s">
        <v>8</v>
      </c>
      <c r="AH459" s="885"/>
      <c r="AI459" s="885"/>
      <c r="AJ459" s="885"/>
      <c r="AK459" s="885"/>
      <c r="AL459" s="885"/>
      <c r="AM459" s="885"/>
      <c r="AN459" s="885"/>
      <c r="AO459" s="75"/>
      <c r="AP459" s="885" t="s">
        <v>8</v>
      </c>
      <c r="AQ459" s="885"/>
      <c r="AR459" s="885"/>
      <c r="AS459" s="885"/>
      <c r="AT459" s="885"/>
      <c r="AU459" s="885"/>
      <c r="AV459" s="885"/>
      <c r="AW459" s="885"/>
      <c r="AX459" s="75"/>
      <c r="AY459" s="885" t="s">
        <v>8</v>
      </c>
      <c r="AZ459" s="885"/>
      <c r="BA459" s="885"/>
      <c r="BB459" s="885"/>
      <c r="BC459" s="885"/>
      <c r="BD459" s="885"/>
      <c r="BE459" s="885"/>
      <c r="BF459" s="885"/>
      <c r="BG459" s="75"/>
      <c r="BH459" s="885" t="s">
        <v>8</v>
      </c>
      <c r="BI459" s="885"/>
      <c r="BJ459" s="885"/>
      <c r="BK459" s="885"/>
      <c r="BL459" s="885"/>
      <c r="BM459" s="885"/>
      <c r="BN459" s="885"/>
      <c r="BO459" s="885"/>
      <c r="BP459" s="75"/>
      <c r="BQ459" s="885" t="s">
        <v>8</v>
      </c>
      <c r="BR459" s="885"/>
      <c r="BS459" s="885"/>
      <c r="BT459" s="885"/>
      <c r="BU459" s="885"/>
      <c r="BV459" s="885"/>
      <c r="BW459" s="885"/>
      <c r="BX459" s="885"/>
      <c r="BY459" s="75"/>
      <c r="BZ459" s="885" t="s">
        <v>8</v>
      </c>
      <c r="CA459" s="885"/>
      <c r="CB459" s="885"/>
      <c r="CC459" s="885"/>
      <c r="CD459" s="885"/>
      <c r="CE459" s="885"/>
      <c r="CF459" s="885"/>
      <c r="CG459" s="885"/>
      <c r="CH459" s="75"/>
      <c r="CI459" s="885" t="s">
        <v>8</v>
      </c>
      <c r="CJ459" s="885"/>
      <c r="CK459" s="885"/>
      <c r="CL459" s="885"/>
      <c r="CM459" s="885"/>
      <c r="CN459" s="885"/>
      <c r="CO459" s="885"/>
      <c r="CP459" s="885"/>
      <c r="CQ459" s="75"/>
      <c r="CR459" s="885" t="s">
        <v>8</v>
      </c>
      <c r="CS459" s="885"/>
      <c r="CT459" s="885"/>
      <c r="CU459" s="885"/>
      <c r="CV459" s="885"/>
      <c r="CW459" s="885"/>
      <c r="CX459" s="885"/>
      <c r="CY459" s="885"/>
      <c r="CZ459" s="76"/>
    </row>
    <row r="460" spans="2:104" x14ac:dyDescent="0.25">
      <c r="B460" s="979"/>
      <c r="C460" s="980"/>
      <c r="D460" s="981"/>
      <c r="E460" s="75"/>
      <c r="F460" s="886" t="s">
        <v>0</v>
      </c>
      <c r="G460" s="886"/>
      <c r="H460" s="886"/>
      <c r="I460" s="886" t="s">
        <v>1</v>
      </c>
      <c r="J460" s="886"/>
      <c r="K460" s="886"/>
      <c r="L460" s="886"/>
      <c r="M460" s="886"/>
      <c r="N460" s="75"/>
      <c r="O460" s="886" t="s">
        <v>0</v>
      </c>
      <c r="P460" s="886"/>
      <c r="Q460" s="886"/>
      <c r="R460" s="886" t="s">
        <v>1</v>
      </c>
      <c r="S460" s="886"/>
      <c r="T460" s="886"/>
      <c r="U460" s="886"/>
      <c r="V460" s="886"/>
      <c r="W460" s="75"/>
      <c r="X460" s="886" t="s">
        <v>0</v>
      </c>
      <c r="Y460" s="886"/>
      <c r="Z460" s="886"/>
      <c r="AA460" s="886" t="s">
        <v>1</v>
      </c>
      <c r="AB460" s="886"/>
      <c r="AC460" s="886"/>
      <c r="AD460" s="886"/>
      <c r="AE460" s="886"/>
      <c r="AF460" s="75"/>
      <c r="AG460" s="886" t="s">
        <v>0</v>
      </c>
      <c r="AH460" s="886"/>
      <c r="AI460" s="886"/>
      <c r="AJ460" s="886" t="s">
        <v>1</v>
      </c>
      <c r="AK460" s="886"/>
      <c r="AL460" s="886"/>
      <c r="AM460" s="886"/>
      <c r="AN460" s="886"/>
      <c r="AO460" s="75"/>
      <c r="AP460" s="886" t="s">
        <v>0</v>
      </c>
      <c r="AQ460" s="886"/>
      <c r="AR460" s="886"/>
      <c r="AS460" s="886" t="s">
        <v>1</v>
      </c>
      <c r="AT460" s="886"/>
      <c r="AU460" s="886"/>
      <c r="AV460" s="886"/>
      <c r="AW460" s="886"/>
      <c r="AX460" s="75"/>
      <c r="AY460" s="886" t="s">
        <v>0</v>
      </c>
      <c r="AZ460" s="886"/>
      <c r="BA460" s="886"/>
      <c r="BB460" s="886" t="s">
        <v>1</v>
      </c>
      <c r="BC460" s="886"/>
      <c r="BD460" s="886"/>
      <c r="BE460" s="886"/>
      <c r="BF460" s="886"/>
      <c r="BG460" s="75"/>
      <c r="BH460" s="886" t="s">
        <v>0</v>
      </c>
      <c r="BI460" s="886"/>
      <c r="BJ460" s="886"/>
      <c r="BK460" s="886" t="s">
        <v>1</v>
      </c>
      <c r="BL460" s="886"/>
      <c r="BM460" s="886"/>
      <c r="BN460" s="886"/>
      <c r="BO460" s="886"/>
      <c r="BP460" s="75"/>
      <c r="BQ460" s="886" t="s">
        <v>0</v>
      </c>
      <c r="BR460" s="886"/>
      <c r="BS460" s="886"/>
      <c r="BT460" s="886" t="s">
        <v>1</v>
      </c>
      <c r="BU460" s="886"/>
      <c r="BV460" s="886"/>
      <c r="BW460" s="886"/>
      <c r="BX460" s="886"/>
      <c r="BY460" s="75"/>
      <c r="BZ460" s="886" t="s">
        <v>0</v>
      </c>
      <c r="CA460" s="886"/>
      <c r="CB460" s="886"/>
      <c r="CC460" s="886" t="s">
        <v>1</v>
      </c>
      <c r="CD460" s="886"/>
      <c r="CE460" s="886"/>
      <c r="CF460" s="886"/>
      <c r="CG460" s="886"/>
      <c r="CH460" s="75"/>
      <c r="CI460" s="886" t="s">
        <v>0</v>
      </c>
      <c r="CJ460" s="886"/>
      <c r="CK460" s="886"/>
      <c r="CL460" s="886" t="s">
        <v>1</v>
      </c>
      <c r="CM460" s="886"/>
      <c r="CN460" s="886"/>
      <c r="CO460" s="886"/>
      <c r="CP460" s="886"/>
      <c r="CQ460" s="75"/>
      <c r="CR460" s="886" t="s">
        <v>0</v>
      </c>
      <c r="CS460" s="886"/>
      <c r="CT460" s="886"/>
      <c r="CU460" s="886" t="s">
        <v>1</v>
      </c>
      <c r="CV460" s="886"/>
      <c r="CW460" s="886"/>
      <c r="CX460" s="886"/>
      <c r="CY460" s="886"/>
      <c r="CZ460" s="76"/>
    </row>
    <row r="461" spans="2:104" x14ac:dyDescent="0.25">
      <c r="B461" s="979"/>
      <c r="C461" s="980"/>
      <c r="D461" s="981"/>
      <c r="E461" s="75"/>
      <c r="F461" s="887" t="s">
        <v>2</v>
      </c>
      <c r="G461" s="887"/>
      <c r="H461" s="887"/>
      <c r="I461" s="888" t="s">
        <v>1259</v>
      </c>
      <c r="J461" s="888"/>
      <c r="K461" s="888"/>
      <c r="L461" s="888"/>
      <c r="M461" s="888"/>
      <c r="N461" s="75"/>
      <c r="O461" s="887" t="s">
        <v>2</v>
      </c>
      <c r="P461" s="887"/>
      <c r="Q461" s="887"/>
      <c r="R461" s="888" t="s">
        <v>1253</v>
      </c>
      <c r="S461" s="888"/>
      <c r="T461" s="888"/>
      <c r="U461" s="888"/>
      <c r="V461" s="888"/>
      <c r="W461" s="75"/>
      <c r="X461" s="887" t="s">
        <v>2</v>
      </c>
      <c r="Y461" s="887"/>
      <c r="Z461" s="887"/>
      <c r="AA461" s="888" t="s">
        <v>1254</v>
      </c>
      <c r="AB461" s="888"/>
      <c r="AC461" s="888"/>
      <c r="AD461" s="888"/>
      <c r="AE461" s="888"/>
      <c r="AF461" s="75"/>
      <c r="AG461" s="887" t="s">
        <v>2</v>
      </c>
      <c r="AH461" s="887"/>
      <c r="AI461" s="887"/>
      <c r="AJ461" s="888" t="s">
        <v>1255</v>
      </c>
      <c r="AK461" s="888"/>
      <c r="AL461" s="888"/>
      <c r="AM461" s="888"/>
      <c r="AN461" s="888"/>
      <c r="AO461" s="75"/>
      <c r="AP461" s="887" t="s">
        <v>2</v>
      </c>
      <c r="AQ461" s="887"/>
      <c r="AR461" s="887"/>
      <c r="AS461" s="888" t="s">
        <v>1256</v>
      </c>
      <c r="AT461" s="888"/>
      <c r="AU461" s="888"/>
      <c r="AV461" s="888"/>
      <c r="AW461" s="888"/>
      <c r="AX461" s="75"/>
      <c r="AY461" s="887" t="s">
        <v>2</v>
      </c>
      <c r="AZ461" s="887"/>
      <c r="BA461" s="887"/>
      <c r="BB461" s="888" t="s">
        <v>1257</v>
      </c>
      <c r="BC461" s="888"/>
      <c r="BD461" s="888"/>
      <c r="BE461" s="888"/>
      <c r="BF461" s="888"/>
      <c r="BG461" s="75"/>
      <c r="BH461" s="887" t="s">
        <v>2</v>
      </c>
      <c r="BI461" s="887"/>
      <c r="BJ461" s="887"/>
      <c r="BK461" s="888" t="s">
        <v>1258</v>
      </c>
      <c r="BL461" s="888"/>
      <c r="BM461" s="888"/>
      <c r="BN461" s="888"/>
      <c r="BO461" s="888"/>
      <c r="BP461" s="75"/>
      <c r="BQ461" s="887" t="s">
        <v>2</v>
      </c>
      <c r="BR461" s="887"/>
      <c r="BS461" s="887"/>
      <c r="BT461" s="888" t="s">
        <v>1279</v>
      </c>
      <c r="BU461" s="888"/>
      <c r="BV461" s="888"/>
      <c r="BW461" s="888"/>
      <c r="BX461" s="888"/>
      <c r="BY461" s="75"/>
      <c r="BZ461" s="887" t="s">
        <v>2</v>
      </c>
      <c r="CA461" s="887"/>
      <c r="CB461" s="887"/>
      <c r="CC461" s="888" t="s">
        <v>1284</v>
      </c>
      <c r="CD461" s="888"/>
      <c r="CE461" s="888"/>
      <c r="CF461" s="888"/>
      <c r="CG461" s="888"/>
      <c r="CH461" s="75"/>
      <c r="CI461" s="887" t="s">
        <v>2</v>
      </c>
      <c r="CJ461" s="887"/>
      <c r="CK461" s="887"/>
      <c r="CL461" s="888" t="s">
        <v>1289</v>
      </c>
      <c r="CM461" s="888"/>
      <c r="CN461" s="888"/>
      <c r="CO461" s="888"/>
      <c r="CP461" s="888"/>
      <c r="CQ461" s="75"/>
      <c r="CR461" s="887" t="s">
        <v>2</v>
      </c>
      <c r="CS461" s="887"/>
      <c r="CT461" s="887"/>
      <c r="CU461" s="888" t="s">
        <v>2249</v>
      </c>
      <c r="CV461" s="888"/>
      <c r="CW461" s="888"/>
      <c r="CX461" s="888"/>
      <c r="CY461" s="888"/>
      <c r="CZ461" s="76"/>
    </row>
    <row r="462" spans="2:104" x14ac:dyDescent="0.25">
      <c r="B462" s="979"/>
      <c r="C462" s="980"/>
      <c r="D462" s="981"/>
      <c r="E462" s="75"/>
      <c r="F462" s="887"/>
      <c r="G462" s="887"/>
      <c r="H462" s="887"/>
      <c r="I462" s="888"/>
      <c r="J462" s="888"/>
      <c r="K462" s="888"/>
      <c r="L462" s="888"/>
      <c r="M462" s="888"/>
      <c r="N462" s="75"/>
      <c r="O462" s="887"/>
      <c r="P462" s="887"/>
      <c r="Q462" s="887"/>
      <c r="R462" s="888"/>
      <c r="S462" s="888"/>
      <c r="T462" s="888"/>
      <c r="U462" s="888"/>
      <c r="V462" s="888"/>
      <c r="W462" s="75"/>
      <c r="X462" s="887"/>
      <c r="Y462" s="887"/>
      <c r="Z462" s="887"/>
      <c r="AA462" s="888"/>
      <c r="AB462" s="888"/>
      <c r="AC462" s="888"/>
      <c r="AD462" s="888"/>
      <c r="AE462" s="888"/>
      <c r="AF462" s="75"/>
      <c r="AG462" s="887"/>
      <c r="AH462" s="887"/>
      <c r="AI462" s="887"/>
      <c r="AJ462" s="888"/>
      <c r="AK462" s="888"/>
      <c r="AL462" s="888"/>
      <c r="AM462" s="888"/>
      <c r="AN462" s="888"/>
      <c r="AO462" s="75"/>
      <c r="AP462" s="887"/>
      <c r="AQ462" s="887"/>
      <c r="AR462" s="887"/>
      <c r="AS462" s="888"/>
      <c r="AT462" s="888"/>
      <c r="AU462" s="888"/>
      <c r="AV462" s="888"/>
      <c r="AW462" s="888"/>
      <c r="AX462" s="75"/>
      <c r="AY462" s="887"/>
      <c r="AZ462" s="887"/>
      <c r="BA462" s="887"/>
      <c r="BB462" s="888"/>
      <c r="BC462" s="888"/>
      <c r="BD462" s="888"/>
      <c r="BE462" s="888"/>
      <c r="BF462" s="888"/>
      <c r="BG462" s="75"/>
      <c r="BH462" s="887"/>
      <c r="BI462" s="887"/>
      <c r="BJ462" s="887"/>
      <c r="BK462" s="888"/>
      <c r="BL462" s="888"/>
      <c r="BM462" s="888"/>
      <c r="BN462" s="888"/>
      <c r="BO462" s="888"/>
      <c r="BP462" s="75"/>
      <c r="BQ462" s="887"/>
      <c r="BR462" s="887"/>
      <c r="BS462" s="887"/>
      <c r="BT462" s="888"/>
      <c r="BU462" s="888"/>
      <c r="BV462" s="888"/>
      <c r="BW462" s="888"/>
      <c r="BX462" s="888"/>
      <c r="BY462" s="75"/>
      <c r="BZ462" s="887"/>
      <c r="CA462" s="887"/>
      <c r="CB462" s="887"/>
      <c r="CC462" s="888"/>
      <c r="CD462" s="888"/>
      <c r="CE462" s="888"/>
      <c r="CF462" s="888"/>
      <c r="CG462" s="888"/>
      <c r="CH462" s="75"/>
      <c r="CI462" s="887"/>
      <c r="CJ462" s="887"/>
      <c r="CK462" s="887"/>
      <c r="CL462" s="888"/>
      <c r="CM462" s="888"/>
      <c r="CN462" s="888"/>
      <c r="CO462" s="888"/>
      <c r="CP462" s="888"/>
      <c r="CQ462" s="75"/>
      <c r="CR462" s="887"/>
      <c r="CS462" s="887"/>
      <c r="CT462" s="887"/>
      <c r="CU462" s="888"/>
      <c r="CV462" s="888"/>
      <c r="CW462" s="888"/>
      <c r="CX462" s="888"/>
      <c r="CY462" s="888"/>
      <c r="CZ462" s="76"/>
    </row>
    <row r="463" spans="2:104" x14ac:dyDescent="0.25">
      <c r="B463" s="979"/>
      <c r="C463" s="980"/>
      <c r="D463" s="981"/>
      <c r="E463" s="75"/>
      <c r="F463" s="887"/>
      <c r="G463" s="887"/>
      <c r="H463" s="887"/>
      <c r="I463" s="888"/>
      <c r="J463" s="888"/>
      <c r="K463" s="888"/>
      <c r="L463" s="888"/>
      <c r="M463" s="888"/>
      <c r="N463" s="75"/>
      <c r="O463" s="887"/>
      <c r="P463" s="887"/>
      <c r="Q463" s="887"/>
      <c r="R463" s="888"/>
      <c r="S463" s="888"/>
      <c r="T463" s="888"/>
      <c r="U463" s="888"/>
      <c r="V463" s="888"/>
      <c r="W463" s="75"/>
      <c r="X463" s="887"/>
      <c r="Y463" s="887"/>
      <c r="Z463" s="887"/>
      <c r="AA463" s="888"/>
      <c r="AB463" s="888"/>
      <c r="AC463" s="888"/>
      <c r="AD463" s="888"/>
      <c r="AE463" s="888"/>
      <c r="AF463" s="75"/>
      <c r="AG463" s="887"/>
      <c r="AH463" s="887"/>
      <c r="AI463" s="887"/>
      <c r="AJ463" s="888"/>
      <c r="AK463" s="888"/>
      <c r="AL463" s="888"/>
      <c r="AM463" s="888"/>
      <c r="AN463" s="888"/>
      <c r="AO463" s="75"/>
      <c r="AP463" s="887"/>
      <c r="AQ463" s="887"/>
      <c r="AR463" s="887"/>
      <c r="AS463" s="888"/>
      <c r="AT463" s="888"/>
      <c r="AU463" s="888"/>
      <c r="AV463" s="888"/>
      <c r="AW463" s="888"/>
      <c r="AX463" s="75"/>
      <c r="AY463" s="887"/>
      <c r="AZ463" s="887"/>
      <c r="BA463" s="887"/>
      <c r="BB463" s="888"/>
      <c r="BC463" s="888"/>
      <c r="BD463" s="888"/>
      <c r="BE463" s="888"/>
      <c r="BF463" s="888"/>
      <c r="BG463" s="75"/>
      <c r="BH463" s="887"/>
      <c r="BI463" s="887"/>
      <c r="BJ463" s="887"/>
      <c r="BK463" s="888"/>
      <c r="BL463" s="888"/>
      <c r="BM463" s="888"/>
      <c r="BN463" s="888"/>
      <c r="BO463" s="888"/>
      <c r="BP463" s="75"/>
      <c r="BQ463" s="887"/>
      <c r="BR463" s="887"/>
      <c r="BS463" s="887"/>
      <c r="BT463" s="888"/>
      <c r="BU463" s="888"/>
      <c r="BV463" s="888"/>
      <c r="BW463" s="888"/>
      <c r="BX463" s="888"/>
      <c r="BY463" s="75"/>
      <c r="BZ463" s="887"/>
      <c r="CA463" s="887"/>
      <c r="CB463" s="887"/>
      <c r="CC463" s="888"/>
      <c r="CD463" s="888"/>
      <c r="CE463" s="888"/>
      <c r="CF463" s="888"/>
      <c r="CG463" s="888"/>
      <c r="CH463" s="75"/>
      <c r="CI463" s="887"/>
      <c r="CJ463" s="887"/>
      <c r="CK463" s="887"/>
      <c r="CL463" s="888"/>
      <c r="CM463" s="888"/>
      <c r="CN463" s="888"/>
      <c r="CO463" s="888"/>
      <c r="CP463" s="888"/>
      <c r="CQ463" s="75"/>
      <c r="CR463" s="887"/>
      <c r="CS463" s="887"/>
      <c r="CT463" s="887"/>
      <c r="CU463" s="888"/>
      <c r="CV463" s="888"/>
      <c r="CW463" s="888"/>
      <c r="CX463" s="888"/>
      <c r="CY463" s="888"/>
      <c r="CZ463" s="76"/>
    </row>
    <row r="464" spans="2:104" x14ac:dyDescent="0.25">
      <c r="B464" s="979"/>
      <c r="C464" s="980"/>
      <c r="D464" s="981"/>
      <c r="E464" s="75"/>
      <c r="F464" s="886" t="s">
        <v>0</v>
      </c>
      <c r="G464" s="886"/>
      <c r="H464" s="886"/>
      <c r="I464" s="886" t="s">
        <v>1</v>
      </c>
      <c r="J464" s="886"/>
      <c r="K464" s="886"/>
      <c r="L464" s="886"/>
      <c r="M464" s="886"/>
      <c r="N464" s="75"/>
      <c r="O464" s="886" t="s">
        <v>0</v>
      </c>
      <c r="P464" s="886"/>
      <c r="Q464" s="886"/>
      <c r="R464" s="886" t="s">
        <v>1</v>
      </c>
      <c r="S464" s="886"/>
      <c r="T464" s="886"/>
      <c r="U464" s="886"/>
      <c r="V464" s="886"/>
      <c r="W464" s="75"/>
      <c r="X464" s="886" t="s">
        <v>0</v>
      </c>
      <c r="Y464" s="886"/>
      <c r="Z464" s="886"/>
      <c r="AA464" s="886" t="s">
        <v>1</v>
      </c>
      <c r="AB464" s="886"/>
      <c r="AC464" s="886"/>
      <c r="AD464" s="886"/>
      <c r="AE464" s="886"/>
      <c r="AF464" s="75"/>
      <c r="AG464" s="886" t="s">
        <v>0</v>
      </c>
      <c r="AH464" s="886"/>
      <c r="AI464" s="886"/>
      <c r="AJ464" s="886" t="s">
        <v>1</v>
      </c>
      <c r="AK464" s="886"/>
      <c r="AL464" s="886"/>
      <c r="AM464" s="886"/>
      <c r="AN464" s="886"/>
      <c r="AO464" s="75"/>
      <c r="AP464" s="886" t="s">
        <v>0</v>
      </c>
      <c r="AQ464" s="886"/>
      <c r="AR464" s="886"/>
      <c r="AS464" s="886" t="s">
        <v>1</v>
      </c>
      <c r="AT464" s="886"/>
      <c r="AU464" s="886"/>
      <c r="AV464" s="886"/>
      <c r="AW464" s="886"/>
      <c r="AX464" s="75"/>
      <c r="AY464" s="886" t="s">
        <v>0</v>
      </c>
      <c r="AZ464" s="886"/>
      <c r="BA464" s="886"/>
      <c r="BB464" s="886" t="s">
        <v>1</v>
      </c>
      <c r="BC464" s="886"/>
      <c r="BD464" s="886"/>
      <c r="BE464" s="886"/>
      <c r="BF464" s="886"/>
      <c r="BG464" s="75"/>
      <c r="BH464" s="886" t="s">
        <v>0</v>
      </c>
      <c r="BI464" s="886"/>
      <c r="BJ464" s="886"/>
      <c r="BK464" s="886" t="s">
        <v>1</v>
      </c>
      <c r="BL464" s="886"/>
      <c r="BM464" s="886"/>
      <c r="BN464" s="886"/>
      <c r="BO464" s="886"/>
      <c r="BP464" s="75"/>
      <c r="BQ464" s="886" t="s">
        <v>0</v>
      </c>
      <c r="BR464" s="886"/>
      <c r="BS464" s="886"/>
      <c r="BT464" s="886" t="s">
        <v>1</v>
      </c>
      <c r="BU464" s="886"/>
      <c r="BV464" s="886"/>
      <c r="BW464" s="886"/>
      <c r="BX464" s="886"/>
      <c r="BY464" s="75"/>
      <c r="BZ464" s="886" t="s">
        <v>0</v>
      </c>
      <c r="CA464" s="886"/>
      <c r="CB464" s="886"/>
      <c r="CC464" s="886" t="s">
        <v>1</v>
      </c>
      <c r="CD464" s="886"/>
      <c r="CE464" s="886"/>
      <c r="CF464" s="886"/>
      <c r="CG464" s="886"/>
      <c r="CH464" s="75"/>
      <c r="CI464" s="886" t="s">
        <v>0</v>
      </c>
      <c r="CJ464" s="886"/>
      <c r="CK464" s="886"/>
      <c r="CL464" s="886" t="s">
        <v>1</v>
      </c>
      <c r="CM464" s="886"/>
      <c r="CN464" s="886"/>
      <c r="CO464" s="886"/>
      <c r="CP464" s="886"/>
      <c r="CQ464" s="75"/>
      <c r="CR464" s="886" t="s">
        <v>0</v>
      </c>
      <c r="CS464" s="886"/>
      <c r="CT464" s="886"/>
      <c r="CU464" s="886" t="s">
        <v>1</v>
      </c>
      <c r="CV464" s="886"/>
      <c r="CW464" s="886"/>
      <c r="CX464" s="886"/>
      <c r="CY464" s="886"/>
      <c r="CZ464" s="76"/>
    </row>
    <row r="465" spans="2:104" ht="15.75" customHeight="1" x14ac:dyDescent="0.25">
      <c r="B465" s="979"/>
      <c r="C465" s="980"/>
      <c r="D465" s="981"/>
      <c r="E465" s="75"/>
      <c r="F465" s="887" t="s">
        <v>3</v>
      </c>
      <c r="G465" s="887"/>
      <c r="H465" s="887"/>
      <c r="I465" s="889" t="s">
        <v>1260</v>
      </c>
      <c r="J465" s="888"/>
      <c r="K465" s="888"/>
      <c r="L465" s="888"/>
      <c r="M465" s="888"/>
      <c r="N465" s="75"/>
      <c r="O465" s="887" t="s">
        <v>3</v>
      </c>
      <c r="P465" s="887"/>
      <c r="Q465" s="887"/>
      <c r="R465" s="889" t="s">
        <v>1263</v>
      </c>
      <c r="S465" s="888"/>
      <c r="T465" s="888"/>
      <c r="U465" s="888"/>
      <c r="V465" s="888"/>
      <c r="W465" s="75"/>
      <c r="X465" s="887" t="s">
        <v>3</v>
      </c>
      <c r="Y465" s="887"/>
      <c r="Z465" s="887"/>
      <c r="AA465" s="889" t="s">
        <v>1266</v>
      </c>
      <c r="AB465" s="888"/>
      <c r="AC465" s="888"/>
      <c r="AD465" s="888"/>
      <c r="AE465" s="888"/>
      <c r="AF465" s="75"/>
      <c r="AG465" s="887" t="s">
        <v>3</v>
      </c>
      <c r="AH465" s="887"/>
      <c r="AI465" s="887"/>
      <c r="AJ465" s="889" t="s">
        <v>1269</v>
      </c>
      <c r="AK465" s="888"/>
      <c r="AL465" s="888"/>
      <c r="AM465" s="888"/>
      <c r="AN465" s="888"/>
      <c r="AO465" s="75"/>
      <c r="AP465" s="887" t="s">
        <v>3</v>
      </c>
      <c r="AQ465" s="887"/>
      <c r="AR465" s="887"/>
      <c r="AS465" s="889" t="s">
        <v>1273</v>
      </c>
      <c r="AT465" s="888"/>
      <c r="AU465" s="888"/>
      <c r="AV465" s="888"/>
      <c r="AW465" s="888"/>
      <c r="AX465" s="75"/>
      <c r="AY465" s="887" t="s">
        <v>3</v>
      </c>
      <c r="AZ465" s="887"/>
      <c r="BA465" s="887"/>
      <c r="BB465" s="888" t="s">
        <v>1257</v>
      </c>
      <c r="BC465" s="888"/>
      <c r="BD465" s="888"/>
      <c r="BE465" s="888"/>
      <c r="BF465" s="888"/>
      <c r="BG465" s="75"/>
      <c r="BH465" s="887" t="s">
        <v>3</v>
      </c>
      <c r="BI465" s="887"/>
      <c r="BJ465" s="887"/>
      <c r="BK465" s="889" t="s">
        <v>861</v>
      </c>
      <c r="BL465" s="888"/>
      <c r="BM465" s="888"/>
      <c r="BN465" s="888"/>
      <c r="BO465" s="888"/>
      <c r="BP465" s="75"/>
      <c r="BQ465" s="887" t="s">
        <v>3</v>
      </c>
      <c r="BR465" s="887"/>
      <c r="BS465" s="887"/>
      <c r="BT465" s="889" t="s">
        <v>1282</v>
      </c>
      <c r="BU465" s="888"/>
      <c r="BV465" s="888"/>
      <c r="BW465" s="888"/>
      <c r="BX465" s="888"/>
      <c r="BY465" s="75"/>
      <c r="BZ465" s="887" t="s">
        <v>3</v>
      </c>
      <c r="CA465" s="887"/>
      <c r="CB465" s="887"/>
      <c r="CC465" s="889" t="s">
        <v>1285</v>
      </c>
      <c r="CD465" s="888"/>
      <c r="CE465" s="888"/>
      <c r="CF465" s="888"/>
      <c r="CG465" s="888"/>
      <c r="CH465" s="75"/>
      <c r="CI465" s="887" t="s">
        <v>3</v>
      </c>
      <c r="CJ465" s="887"/>
      <c r="CK465" s="887"/>
      <c r="CL465" s="889" t="s">
        <v>1290</v>
      </c>
      <c r="CM465" s="888"/>
      <c r="CN465" s="888"/>
      <c r="CO465" s="888"/>
      <c r="CP465" s="888"/>
      <c r="CQ465" s="75"/>
      <c r="CR465" s="887" t="s">
        <v>3</v>
      </c>
      <c r="CS465" s="887"/>
      <c r="CT465" s="887"/>
      <c r="CU465" s="889" t="s">
        <v>2250</v>
      </c>
      <c r="CV465" s="888"/>
      <c r="CW465" s="888"/>
      <c r="CX465" s="888"/>
      <c r="CY465" s="888"/>
      <c r="CZ465" s="76"/>
    </row>
    <row r="466" spans="2:104" x14ac:dyDescent="0.25">
      <c r="B466" s="979"/>
      <c r="C466" s="980"/>
      <c r="D466" s="981"/>
      <c r="E466" s="75"/>
      <c r="F466" s="887"/>
      <c r="G466" s="887"/>
      <c r="H466" s="887"/>
      <c r="I466" s="888"/>
      <c r="J466" s="888"/>
      <c r="K466" s="888"/>
      <c r="L466" s="888"/>
      <c r="M466" s="888"/>
      <c r="N466" s="75"/>
      <c r="O466" s="887"/>
      <c r="P466" s="887"/>
      <c r="Q466" s="887"/>
      <c r="R466" s="888"/>
      <c r="S466" s="888"/>
      <c r="T466" s="888"/>
      <c r="U466" s="888"/>
      <c r="V466" s="888"/>
      <c r="W466" s="75"/>
      <c r="X466" s="887"/>
      <c r="Y466" s="887"/>
      <c r="Z466" s="887"/>
      <c r="AA466" s="888"/>
      <c r="AB466" s="888"/>
      <c r="AC466" s="888"/>
      <c r="AD466" s="888"/>
      <c r="AE466" s="888"/>
      <c r="AF466" s="75"/>
      <c r="AG466" s="887"/>
      <c r="AH466" s="887"/>
      <c r="AI466" s="887"/>
      <c r="AJ466" s="888"/>
      <c r="AK466" s="888"/>
      <c r="AL466" s="888"/>
      <c r="AM466" s="888"/>
      <c r="AN466" s="888"/>
      <c r="AO466" s="75"/>
      <c r="AP466" s="887"/>
      <c r="AQ466" s="887"/>
      <c r="AR466" s="887"/>
      <c r="AS466" s="888"/>
      <c r="AT466" s="888"/>
      <c r="AU466" s="888"/>
      <c r="AV466" s="888"/>
      <c r="AW466" s="888"/>
      <c r="AX466" s="75"/>
      <c r="AY466" s="887"/>
      <c r="AZ466" s="887"/>
      <c r="BA466" s="887"/>
      <c r="BB466" s="888"/>
      <c r="BC466" s="888"/>
      <c r="BD466" s="888"/>
      <c r="BE466" s="888"/>
      <c r="BF466" s="888"/>
      <c r="BG466" s="75"/>
      <c r="BH466" s="887"/>
      <c r="BI466" s="887"/>
      <c r="BJ466" s="887"/>
      <c r="BK466" s="888"/>
      <c r="BL466" s="888"/>
      <c r="BM466" s="888"/>
      <c r="BN466" s="888"/>
      <c r="BO466" s="888"/>
      <c r="BP466" s="75"/>
      <c r="BQ466" s="887"/>
      <c r="BR466" s="887"/>
      <c r="BS466" s="887"/>
      <c r="BT466" s="888"/>
      <c r="BU466" s="888"/>
      <c r="BV466" s="888"/>
      <c r="BW466" s="888"/>
      <c r="BX466" s="888"/>
      <c r="BY466" s="75"/>
      <c r="BZ466" s="887"/>
      <c r="CA466" s="887"/>
      <c r="CB466" s="887"/>
      <c r="CC466" s="888"/>
      <c r="CD466" s="888"/>
      <c r="CE466" s="888"/>
      <c r="CF466" s="888"/>
      <c r="CG466" s="888"/>
      <c r="CH466" s="75"/>
      <c r="CI466" s="887"/>
      <c r="CJ466" s="887"/>
      <c r="CK466" s="887"/>
      <c r="CL466" s="888"/>
      <c r="CM466" s="888"/>
      <c r="CN466" s="888"/>
      <c r="CO466" s="888"/>
      <c r="CP466" s="888"/>
      <c r="CQ466" s="75"/>
      <c r="CR466" s="887"/>
      <c r="CS466" s="887"/>
      <c r="CT466" s="887"/>
      <c r="CU466" s="888"/>
      <c r="CV466" s="888"/>
      <c r="CW466" s="888"/>
      <c r="CX466" s="888"/>
      <c r="CY466" s="888"/>
      <c r="CZ466" s="76"/>
    </row>
    <row r="467" spans="2:104" x14ac:dyDescent="0.25">
      <c r="B467" s="979"/>
      <c r="C467" s="980"/>
      <c r="D467" s="981"/>
      <c r="E467" s="75"/>
      <c r="F467" s="887"/>
      <c r="G467" s="887"/>
      <c r="H467" s="887"/>
      <c r="I467" s="888"/>
      <c r="J467" s="888"/>
      <c r="K467" s="888"/>
      <c r="L467" s="888"/>
      <c r="M467" s="888"/>
      <c r="N467" s="75"/>
      <c r="O467" s="887"/>
      <c r="P467" s="887"/>
      <c r="Q467" s="887"/>
      <c r="R467" s="888"/>
      <c r="S467" s="888"/>
      <c r="T467" s="888"/>
      <c r="U467" s="888"/>
      <c r="V467" s="888"/>
      <c r="W467" s="75"/>
      <c r="X467" s="887"/>
      <c r="Y467" s="887"/>
      <c r="Z467" s="887"/>
      <c r="AA467" s="888"/>
      <c r="AB467" s="888"/>
      <c r="AC467" s="888"/>
      <c r="AD467" s="888"/>
      <c r="AE467" s="888"/>
      <c r="AF467" s="75"/>
      <c r="AG467" s="887"/>
      <c r="AH467" s="887"/>
      <c r="AI467" s="887"/>
      <c r="AJ467" s="888"/>
      <c r="AK467" s="888"/>
      <c r="AL467" s="888"/>
      <c r="AM467" s="888"/>
      <c r="AN467" s="888"/>
      <c r="AO467" s="75"/>
      <c r="AP467" s="887"/>
      <c r="AQ467" s="887"/>
      <c r="AR467" s="887"/>
      <c r="AS467" s="888"/>
      <c r="AT467" s="888"/>
      <c r="AU467" s="888"/>
      <c r="AV467" s="888"/>
      <c r="AW467" s="888"/>
      <c r="AX467" s="75"/>
      <c r="AY467" s="887"/>
      <c r="AZ467" s="887"/>
      <c r="BA467" s="887"/>
      <c r="BB467" s="888"/>
      <c r="BC467" s="888"/>
      <c r="BD467" s="888"/>
      <c r="BE467" s="888"/>
      <c r="BF467" s="888"/>
      <c r="BG467" s="75"/>
      <c r="BH467" s="887"/>
      <c r="BI467" s="887"/>
      <c r="BJ467" s="887"/>
      <c r="BK467" s="888"/>
      <c r="BL467" s="888"/>
      <c r="BM467" s="888"/>
      <c r="BN467" s="888"/>
      <c r="BO467" s="888"/>
      <c r="BP467" s="75"/>
      <c r="BQ467" s="887"/>
      <c r="BR467" s="887"/>
      <c r="BS467" s="887"/>
      <c r="BT467" s="888"/>
      <c r="BU467" s="888"/>
      <c r="BV467" s="888"/>
      <c r="BW467" s="888"/>
      <c r="BX467" s="888"/>
      <c r="BY467" s="75"/>
      <c r="BZ467" s="887"/>
      <c r="CA467" s="887"/>
      <c r="CB467" s="887"/>
      <c r="CC467" s="888"/>
      <c r="CD467" s="888"/>
      <c r="CE467" s="888"/>
      <c r="CF467" s="888"/>
      <c r="CG467" s="888"/>
      <c r="CH467" s="75"/>
      <c r="CI467" s="887"/>
      <c r="CJ467" s="887"/>
      <c r="CK467" s="887"/>
      <c r="CL467" s="888"/>
      <c r="CM467" s="888"/>
      <c r="CN467" s="888"/>
      <c r="CO467" s="888"/>
      <c r="CP467" s="888"/>
      <c r="CQ467" s="75"/>
      <c r="CR467" s="887"/>
      <c r="CS467" s="887"/>
      <c r="CT467" s="887"/>
      <c r="CU467" s="888"/>
      <c r="CV467" s="888"/>
      <c r="CW467" s="888"/>
      <c r="CX467" s="888"/>
      <c r="CY467" s="888"/>
      <c r="CZ467" s="76"/>
    </row>
    <row r="468" spans="2:104" x14ac:dyDescent="0.25">
      <c r="B468" s="979"/>
      <c r="C468" s="980"/>
      <c r="D468" s="981"/>
      <c r="E468" s="75"/>
      <c r="F468" s="887" t="s">
        <v>4</v>
      </c>
      <c r="G468" s="887"/>
      <c r="H468" s="887"/>
      <c r="I468" s="888" t="s">
        <v>825</v>
      </c>
      <c r="J468" s="888"/>
      <c r="K468" s="888"/>
      <c r="L468" s="888"/>
      <c r="M468" s="888"/>
      <c r="N468" s="75"/>
      <c r="O468" s="887" t="s">
        <v>4</v>
      </c>
      <c r="P468" s="887"/>
      <c r="Q468" s="887"/>
      <c r="R468" s="888" t="s">
        <v>825</v>
      </c>
      <c r="S468" s="888"/>
      <c r="T468" s="888"/>
      <c r="U468" s="888"/>
      <c r="V468" s="888"/>
      <c r="W468" s="75"/>
      <c r="X468" s="887" t="s">
        <v>4</v>
      </c>
      <c r="Y468" s="887"/>
      <c r="Z468" s="887"/>
      <c r="AA468" s="888" t="s">
        <v>825</v>
      </c>
      <c r="AB468" s="888"/>
      <c r="AC468" s="888"/>
      <c r="AD468" s="888"/>
      <c r="AE468" s="888"/>
      <c r="AF468" s="75"/>
      <c r="AG468" s="887" t="s">
        <v>4</v>
      </c>
      <c r="AH468" s="887"/>
      <c r="AI468" s="887"/>
      <c r="AJ468" s="888" t="s">
        <v>825</v>
      </c>
      <c r="AK468" s="888"/>
      <c r="AL468" s="888"/>
      <c r="AM468" s="888"/>
      <c r="AN468" s="888"/>
      <c r="AO468" s="75"/>
      <c r="AP468" s="887" t="s">
        <v>4</v>
      </c>
      <c r="AQ468" s="887"/>
      <c r="AR468" s="887"/>
      <c r="AS468" s="888" t="s">
        <v>825</v>
      </c>
      <c r="AT468" s="888"/>
      <c r="AU468" s="888"/>
      <c r="AV468" s="888"/>
      <c r="AW468" s="888"/>
      <c r="AX468" s="75"/>
      <c r="AY468" s="887" t="s">
        <v>4</v>
      </c>
      <c r="AZ468" s="887"/>
      <c r="BA468" s="887"/>
      <c r="BB468" s="888" t="s">
        <v>825</v>
      </c>
      <c r="BC468" s="888"/>
      <c r="BD468" s="888"/>
      <c r="BE468" s="888"/>
      <c r="BF468" s="888"/>
      <c r="BG468" s="75"/>
      <c r="BH468" s="887" t="s">
        <v>4</v>
      </c>
      <c r="BI468" s="887"/>
      <c r="BJ468" s="887"/>
      <c r="BK468" s="888" t="s">
        <v>825</v>
      </c>
      <c r="BL468" s="888"/>
      <c r="BM468" s="888"/>
      <c r="BN468" s="888"/>
      <c r="BO468" s="888"/>
      <c r="BP468" s="75"/>
      <c r="BQ468" s="887" t="s">
        <v>4</v>
      </c>
      <c r="BR468" s="887"/>
      <c r="BS468" s="887"/>
      <c r="BT468" s="888" t="s">
        <v>825</v>
      </c>
      <c r="BU468" s="888"/>
      <c r="BV468" s="888"/>
      <c r="BW468" s="888"/>
      <c r="BX468" s="888"/>
      <c r="BY468" s="75"/>
      <c r="BZ468" s="887" t="s">
        <v>4</v>
      </c>
      <c r="CA468" s="887"/>
      <c r="CB468" s="887"/>
      <c r="CC468" s="888" t="s">
        <v>825</v>
      </c>
      <c r="CD468" s="888"/>
      <c r="CE468" s="888"/>
      <c r="CF468" s="888"/>
      <c r="CG468" s="888"/>
      <c r="CH468" s="75"/>
      <c r="CI468" s="887" t="s">
        <v>4</v>
      </c>
      <c r="CJ468" s="887"/>
      <c r="CK468" s="887"/>
      <c r="CL468" s="888" t="s">
        <v>825</v>
      </c>
      <c r="CM468" s="888"/>
      <c r="CN468" s="888"/>
      <c r="CO468" s="888"/>
      <c r="CP468" s="888"/>
      <c r="CQ468" s="75"/>
      <c r="CR468" s="887" t="s">
        <v>4</v>
      </c>
      <c r="CS468" s="887"/>
      <c r="CT468" s="887"/>
      <c r="CU468" s="888" t="s">
        <v>825</v>
      </c>
      <c r="CV468" s="888"/>
      <c r="CW468" s="888"/>
      <c r="CX468" s="888"/>
      <c r="CY468" s="888"/>
      <c r="CZ468" s="76"/>
    </row>
    <row r="469" spans="2:104" x14ac:dyDescent="0.25">
      <c r="B469" s="979"/>
      <c r="C469" s="980"/>
      <c r="D469" s="981"/>
      <c r="E469" s="75"/>
      <c r="F469" s="887"/>
      <c r="G469" s="887"/>
      <c r="H469" s="887"/>
      <c r="I469" s="888"/>
      <c r="J469" s="888"/>
      <c r="K469" s="888"/>
      <c r="L469" s="888"/>
      <c r="M469" s="888"/>
      <c r="N469" s="75"/>
      <c r="O469" s="887"/>
      <c r="P469" s="887"/>
      <c r="Q469" s="887"/>
      <c r="R469" s="888"/>
      <c r="S469" s="888"/>
      <c r="T469" s="888"/>
      <c r="U469" s="888"/>
      <c r="V469" s="888"/>
      <c r="W469" s="75"/>
      <c r="X469" s="887"/>
      <c r="Y469" s="887"/>
      <c r="Z469" s="887"/>
      <c r="AA469" s="888"/>
      <c r="AB469" s="888"/>
      <c r="AC469" s="888"/>
      <c r="AD469" s="888"/>
      <c r="AE469" s="888"/>
      <c r="AF469" s="75"/>
      <c r="AG469" s="887"/>
      <c r="AH469" s="887"/>
      <c r="AI469" s="887"/>
      <c r="AJ469" s="888"/>
      <c r="AK469" s="888"/>
      <c r="AL469" s="888"/>
      <c r="AM469" s="888"/>
      <c r="AN469" s="888"/>
      <c r="AO469" s="75"/>
      <c r="AP469" s="887"/>
      <c r="AQ469" s="887"/>
      <c r="AR469" s="887"/>
      <c r="AS469" s="888"/>
      <c r="AT469" s="888"/>
      <c r="AU469" s="888"/>
      <c r="AV469" s="888"/>
      <c r="AW469" s="888"/>
      <c r="AX469" s="75"/>
      <c r="AY469" s="887"/>
      <c r="AZ469" s="887"/>
      <c r="BA469" s="887"/>
      <c r="BB469" s="888"/>
      <c r="BC469" s="888"/>
      <c r="BD469" s="888"/>
      <c r="BE469" s="888"/>
      <c r="BF469" s="888"/>
      <c r="BG469" s="75"/>
      <c r="BH469" s="887"/>
      <c r="BI469" s="887"/>
      <c r="BJ469" s="887"/>
      <c r="BK469" s="888"/>
      <c r="BL469" s="888"/>
      <c r="BM469" s="888"/>
      <c r="BN469" s="888"/>
      <c r="BO469" s="888"/>
      <c r="BP469" s="75"/>
      <c r="BQ469" s="887"/>
      <c r="BR469" s="887"/>
      <c r="BS469" s="887"/>
      <c r="BT469" s="888"/>
      <c r="BU469" s="888"/>
      <c r="BV469" s="888"/>
      <c r="BW469" s="888"/>
      <c r="BX469" s="888"/>
      <c r="BY469" s="75"/>
      <c r="BZ469" s="887"/>
      <c r="CA469" s="887"/>
      <c r="CB469" s="887"/>
      <c r="CC469" s="888"/>
      <c r="CD469" s="888"/>
      <c r="CE469" s="888"/>
      <c r="CF469" s="888"/>
      <c r="CG469" s="888"/>
      <c r="CH469" s="75"/>
      <c r="CI469" s="887"/>
      <c r="CJ469" s="887"/>
      <c r="CK469" s="887"/>
      <c r="CL469" s="888"/>
      <c r="CM469" s="888"/>
      <c r="CN469" s="888"/>
      <c r="CO469" s="888"/>
      <c r="CP469" s="888"/>
      <c r="CQ469" s="75"/>
      <c r="CR469" s="887"/>
      <c r="CS469" s="887"/>
      <c r="CT469" s="887"/>
      <c r="CU469" s="888"/>
      <c r="CV469" s="888"/>
      <c r="CW469" s="888"/>
      <c r="CX469" s="888"/>
      <c r="CY469" s="888"/>
      <c r="CZ469" s="76"/>
    </row>
    <row r="470" spans="2:104" x14ac:dyDescent="0.25">
      <c r="B470" s="979"/>
      <c r="C470" s="980"/>
      <c r="D470" s="981"/>
      <c r="E470" s="75"/>
      <c r="F470" s="887"/>
      <c r="G470" s="887"/>
      <c r="H470" s="887"/>
      <c r="I470" s="888"/>
      <c r="J470" s="888"/>
      <c r="K470" s="888"/>
      <c r="L470" s="888"/>
      <c r="M470" s="888"/>
      <c r="N470" s="75"/>
      <c r="O470" s="887"/>
      <c r="P470" s="887"/>
      <c r="Q470" s="887"/>
      <c r="R470" s="888"/>
      <c r="S470" s="888"/>
      <c r="T470" s="888"/>
      <c r="U470" s="888"/>
      <c r="V470" s="888"/>
      <c r="W470" s="75"/>
      <c r="X470" s="887"/>
      <c r="Y470" s="887"/>
      <c r="Z470" s="887"/>
      <c r="AA470" s="888"/>
      <c r="AB470" s="888"/>
      <c r="AC470" s="888"/>
      <c r="AD470" s="888"/>
      <c r="AE470" s="888"/>
      <c r="AF470" s="75"/>
      <c r="AG470" s="887"/>
      <c r="AH470" s="887"/>
      <c r="AI470" s="887"/>
      <c r="AJ470" s="888"/>
      <c r="AK470" s="888"/>
      <c r="AL470" s="888"/>
      <c r="AM470" s="888"/>
      <c r="AN470" s="888"/>
      <c r="AO470" s="75"/>
      <c r="AP470" s="887"/>
      <c r="AQ470" s="887"/>
      <c r="AR470" s="887"/>
      <c r="AS470" s="888"/>
      <c r="AT470" s="888"/>
      <c r="AU470" s="888"/>
      <c r="AV470" s="888"/>
      <c r="AW470" s="888"/>
      <c r="AX470" s="75"/>
      <c r="AY470" s="887"/>
      <c r="AZ470" s="887"/>
      <c r="BA470" s="887"/>
      <c r="BB470" s="888"/>
      <c r="BC470" s="888"/>
      <c r="BD470" s="888"/>
      <c r="BE470" s="888"/>
      <c r="BF470" s="888"/>
      <c r="BG470" s="75"/>
      <c r="BH470" s="887"/>
      <c r="BI470" s="887"/>
      <c r="BJ470" s="887"/>
      <c r="BK470" s="888"/>
      <c r="BL470" s="888"/>
      <c r="BM470" s="888"/>
      <c r="BN470" s="888"/>
      <c r="BO470" s="888"/>
      <c r="BP470" s="75"/>
      <c r="BQ470" s="887"/>
      <c r="BR470" s="887"/>
      <c r="BS470" s="887"/>
      <c r="BT470" s="888"/>
      <c r="BU470" s="888"/>
      <c r="BV470" s="888"/>
      <c r="BW470" s="888"/>
      <c r="BX470" s="888"/>
      <c r="BY470" s="75"/>
      <c r="BZ470" s="887"/>
      <c r="CA470" s="887"/>
      <c r="CB470" s="887"/>
      <c r="CC470" s="888"/>
      <c r="CD470" s="888"/>
      <c r="CE470" s="888"/>
      <c r="CF470" s="888"/>
      <c r="CG470" s="888"/>
      <c r="CH470" s="75"/>
      <c r="CI470" s="887"/>
      <c r="CJ470" s="887"/>
      <c r="CK470" s="887"/>
      <c r="CL470" s="888"/>
      <c r="CM470" s="888"/>
      <c r="CN470" s="888"/>
      <c r="CO470" s="888"/>
      <c r="CP470" s="888"/>
      <c r="CQ470" s="75"/>
      <c r="CR470" s="887"/>
      <c r="CS470" s="887"/>
      <c r="CT470" s="887"/>
      <c r="CU470" s="888"/>
      <c r="CV470" s="888"/>
      <c r="CW470" s="888"/>
      <c r="CX470" s="888"/>
      <c r="CY470" s="888"/>
      <c r="CZ470" s="76"/>
    </row>
    <row r="471" spans="2:104" x14ac:dyDescent="0.25">
      <c r="B471" s="979"/>
      <c r="C471" s="980"/>
      <c r="D471" s="981"/>
      <c r="E471" s="75"/>
      <c r="F471" s="887" t="s">
        <v>5</v>
      </c>
      <c r="G471" s="887"/>
      <c r="H471" s="887"/>
      <c r="I471" s="888" t="s">
        <v>1261</v>
      </c>
      <c r="J471" s="888"/>
      <c r="K471" s="888"/>
      <c r="L471" s="888"/>
      <c r="M471" s="888"/>
      <c r="N471" s="75"/>
      <c r="O471" s="887" t="s">
        <v>5</v>
      </c>
      <c r="P471" s="887"/>
      <c r="Q471" s="887"/>
      <c r="R471" s="888" t="s">
        <v>1264</v>
      </c>
      <c r="S471" s="888"/>
      <c r="T471" s="888"/>
      <c r="U471" s="888"/>
      <c r="V471" s="888"/>
      <c r="W471" s="75"/>
      <c r="X471" s="887" t="s">
        <v>5</v>
      </c>
      <c r="Y471" s="887"/>
      <c r="Z471" s="887"/>
      <c r="AA471" s="888" t="s">
        <v>1267</v>
      </c>
      <c r="AB471" s="888"/>
      <c r="AC471" s="888"/>
      <c r="AD471" s="888"/>
      <c r="AE471" s="888"/>
      <c r="AF471" s="75"/>
      <c r="AG471" s="887" t="s">
        <v>5</v>
      </c>
      <c r="AH471" s="887"/>
      <c r="AI471" s="887"/>
      <c r="AJ471" s="888" t="s">
        <v>1270</v>
      </c>
      <c r="AK471" s="888"/>
      <c r="AL471" s="888"/>
      <c r="AM471" s="888"/>
      <c r="AN471" s="888"/>
      <c r="AO471" s="75"/>
      <c r="AP471" s="887" t="s">
        <v>5</v>
      </c>
      <c r="AQ471" s="887"/>
      <c r="AR471" s="887"/>
      <c r="AS471" s="888" t="s">
        <v>1272</v>
      </c>
      <c r="AT471" s="888"/>
      <c r="AU471" s="888"/>
      <c r="AV471" s="888"/>
      <c r="AW471" s="888"/>
      <c r="AX471" s="75"/>
      <c r="AY471" s="887" t="s">
        <v>5</v>
      </c>
      <c r="AZ471" s="887"/>
      <c r="BA471" s="887"/>
      <c r="BB471" s="888" t="s">
        <v>1276</v>
      </c>
      <c r="BC471" s="888"/>
      <c r="BD471" s="888"/>
      <c r="BE471" s="888"/>
      <c r="BF471" s="888"/>
      <c r="BG471" s="75"/>
      <c r="BH471" s="887" t="s">
        <v>5</v>
      </c>
      <c r="BI471" s="887"/>
      <c r="BJ471" s="887"/>
      <c r="BK471" s="888" t="s">
        <v>863</v>
      </c>
      <c r="BL471" s="888"/>
      <c r="BM471" s="888"/>
      <c r="BN471" s="888"/>
      <c r="BO471" s="888"/>
      <c r="BP471" s="75"/>
      <c r="BQ471" s="887" t="s">
        <v>5</v>
      </c>
      <c r="BR471" s="887"/>
      <c r="BS471" s="887"/>
      <c r="BT471" s="888" t="s">
        <v>1280</v>
      </c>
      <c r="BU471" s="888"/>
      <c r="BV471" s="888"/>
      <c r="BW471" s="888"/>
      <c r="BX471" s="888"/>
      <c r="BY471" s="75"/>
      <c r="BZ471" s="887" t="s">
        <v>5</v>
      </c>
      <c r="CA471" s="887"/>
      <c r="CB471" s="887"/>
      <c r="CC471" s="888" t="s">
        <v>1286</v>
      </c>
      <c r="CD471" s="888"/>
      <c r="CE471" s="888"/>
      <c r="CF471" s="888"/>
      <c r="CG471" s="888"/>
      <c r="CH471" s="75"/>
      <c r="CI471" s="887" t="s">
        <v>5</v>
      </c>
      <c r="CJ471" s="887"/>
      <c r="CK471" s="887"/>
      <c r="CL471" s="888" t="s">
        <v>1291</v>
      </c>
      <c r="CM471" s="888"/>
      <c r="CN471" s="888"/>
      <c r="CO471" s="888"/>
      <c r="CP471" s="888"/>
      <c r="CQ471" s="75"/>
      <c r="CR471" s="887" t="s">
        <v>5</v>
      </c>
      <c r="CS471" s="887"/>
      <c r="CT471" s="887"/>
      <c r="CU471" s="888" t="s">
        <v>2246</v>
      </c>
      <c r="CV471" s="888"/>
      <c r="CW471" s="888"/>
      <c r="CX471" s="888"/>
      <c r="CY471" s="888"/>
      <c r="CZ471" s="76"/>
    </row>
    <row r="472" spans="2:104" x14ac:dyDescent="0.25">
      <c r="B472" s="979"/>
      <c r="C472" s="980"/>
      <c r="D472" s="981"/>
      <c r="E472" s="75"/>
      <c r="F472" s="887"/>
      <c r="G472" s="887"/>
      <c r="H472" s="887"/>
      <c r="I472" s="888"/>
      <c r="J472" s="888"/>
      <c r="K472" s="888"/>
      <c r="L472" s="888"/>
      <c r="M472" s="888"/>
      <c r="N472" s="75"/>
      <c r="O472" s="887"/>
      <c r="P472" s="887"/>
      <c r="Q472" s="887"/>
      <c r="R472" s="888"/>
      <c r="S472" s="888"/>
      <c r="T472" s="888"/>
      <c r="U472" s="888"/>
      <c r="V472" s="888"/>
      <c r="W472" s="75"/>
      <c r="X472" s="887"/>
      <c r="Y472" s="887"/>
      <c r="Z472" s="887"/>
      <c r="AA472" s="888"/>
      <c r="AB472" s="888"/>
      <c r="AC472" s="888"/>
      <c r="AD472" s="888"/>
      <c r="AE472" s="888"/>
      <c r="AF472" s="75"/>
      <c r="AG472" s="887"/>
      <c r="AH472" s="887"/>
      <c r="AI472" s="887"/>
      <c r="AJ472" s="888"/>
      <c r="AK472" s="888"/>
      <c r="AL472" s="888"/>
      <c r="AM472" s="888"/>
      <c r="AN472" s="888"/>
      <c r="AO472" s="75"/>
      <c r="AP472" s="887"/>
      <c r="AQ472" s="887"/>
      <c r="AR472" s="887"/>
      <c r="AS472" s="888"/>
      <c r="AT472" s="888"/>
      <c r="AU472" s="888"/>
      <c r="AV472" s="888"/>
      <c r="AW472" s="888"/>
      <c r="AX472" s="75"/>
      <c r="AY472" s="887"/>
      <c r="AZ472" s="887"/>
      <c r="BA472" s="887"/>
      <c r="BB472" s="888"/>
      <c r="BC472" s="888"/>
      <c r="BD472" s="888"/>
      <c r="BE472" s="888"/>
      <c r="BF472" s="888"/>
      <c r="BG472" s="75"/>
      <c r="BH472" s="887"/>
      <c r="BI472" s="887"/>
      <c r="BJ472" s="887"/>
      <c r="BK472" s="888"/>
      <c r="BL472" s="888"/>
      <c r="BM472" s="888"/>
      <c r="BN472" s="888"/>
      <c r="BO472" s="888"/>
      <c r="BP472" s="75"/>
      <c r="BQ472" s="887"/>
      <c r="BR472" s="887"/>
      <c r="BS472" s="887"/>
      <c r="BT472" s="888"/>
      <c r="BU472" s="888"/>
      <c r="BV472" s="888"/>
      <c r="BW472" s="888"/>
      <c r="BX472" s="888"/>
      <c r="BY472" s="75"/>
      <c r="BZ472" s="887"/>
      <c r="CA472" s="887"/>
      <c r="CB472" s="887"/>
      <c r="CC472" s="888"/>
      <c r="CD472" s="888"/>
      <c r="CE472" s="888"/>
      <c r="CF472" s="888"/>
      <c r="CG472" s="888"/>
      <c r="CH472" s="75"/>
      <c r="CI472" s="887"/>
      <c r="CJ472" s="887"/>
      <c r="CK472" s="887"/>
      <c r="CL472" s="888"/>
      <c r="CM472" s="888"/>
      <c r="CN472" s="888"/>
      <c r="CO472" s="888"/>
      <c r="CP472" s="888"/>
      <c r="CQ472" s="75"/>
      <c r="CR472" s="887"/>
      <c r="CS472" s="887"/>
      <c r="CT472" s="887"/>
      <c r="CU472" s="888"/>
      <c r="CV472" s="888"/>
      <c r="CW472" s="888"/>
      <c r="CX472" s="888"/>
      <c r="CY472" s="888"/>
      <c r="CZ472" s="76"/>
    </row>
    <row r="473" spans="2:104" x14ac:dyDescent="0.25">
      <c r="B473" s="979"/>
      <c r="C473" s="980"/>
      <c r="D473" s="981"/>
      <c r="E473" s="75"/>
      <c r="F473" s="887"/>
      <c r="G473" s="887"/>
      <c r="H473" s="887"/>
      <c r="I473" s="888"/>
      <c r="J473" s="888"/>
      <c r="K473" s="888"/>
      <c r="L473" s="888"/>
      <c r="M473" s="888"/>
      <c r="N473" s="75"/>
      <c r="O473" s="887"/>
      <c r="P473" s="887"/>
      <c r="Q473" s="887"/>
      <c r="R473" s="888"/>
      <c r="S473" s="888"/>
      <c r="T473" s="888"/>
      <c r="U473" s="888"/>
      <c r="V473" s="888"/>
      <c r="W473" s="75"/>
      <c r="X473" s="887"/>
      <c r="Y473" s="887"/>
      <c r="Z473" s="887"/>
      <c r="AA473" s="888"/>
      <c r="AB473" s="888"/>
      <c r="AC473" s="888"/>
      <c r="AD473" s="888"/>
      <c r="AE473" s="888"/>
      <c r="AF473" s="75"/>
      <c r="AG473" s="887"/>
      <c r="AH473" s="887"/>
      <c r="AI473" s="887"/>
      <c r="AJ473" s="888"/>
      <c r="AK473" s="888"/>
      <c r="AL473" s="888"/>
      <c r="AM473" s="888"/>
      <c r="AN473" s="888"/>
      <c r="AO473" s="75"/>
      <c r="AP473" s="887"/>
      <c r="AQ473" s="887"/>
      <c r="AR473" s="887"/>
      <c r="AS473" s="888"/>
      <c r="AT473" s="888"/>
      <c r="AU473" s="888"/>
      <c r="AV473" s="888"/>
      <c r="AW473" s="888"/>
      <c r="AX473" s="75"/>
      <c r="AY473" s="887"/>
      <c r="AZ473" s="887"/>
      <c r="BA473" s="887"/>
      <c r="BB473" s="888"/>
      <c r="BC473" s="888"/>
      <c r="BD473" s="888"/>
      <c r="BE473" s="888"/>
      <c r="BF473" s="888"/>
      <c r="BG473" s="75"/>
      <c r="BH473" s="887"/>
      <c r="BI473" s="887"/>
      <c r="BJ473" s="887"/>
      <c r="BK473" s="888"/>
      <c r="BL473" s="888"/>
      <c r="BM473" s="888"/>
      <c r="BN473" s="888"/>
      <c r="BO473" s="888"/>
      <c r="BP473" s="75"/>
      <c r="BQ473" s="887"/>
      <c r="BR473" s="887"/>
      <c r="BS473" s="887"/>
      <c r="BT473" s="888"/>
      <c r="BU473" s="888"/>
      <c r="BV473" s="888"/>
      <c r="BW473" s="888"/>
      <c r="BX473" s="888"/>
      <c r="BY473" s="75"/>
      <c r="BZ473" s="887"/>
      <c r="CA473" s="887"/>
      <c r="CB473" s="887"/>
      <c r="CC473" s="888"/>
      <c r="CD473" s="888"/>
      <c r="CE473" s="888"/>
      <c r="CF473" s="888"/>
      <c r="CG473" s="888"/>
      <c r="CH473" s="75"/>
      <c r="CI473" s="887"/>
      <c r="CJ473" s="887"/>
      <c r="CK473" s="887"/>
      <c r="CL473" s="888"/>
      <c r="CM473" s="888"/>
      <c r="CN473" s="888"/>
      <c r="CO473" s="888"/>
      <c r="CP473" s="888"/>
      <c r="CQ473" s="75"/>
      <c r="CR473" s="887"/>
      <c r="CS473" s="887"/>
      <c r="CT473" s="887"/>
      <c r="CU473" s="888"/>
      <c r="CV473" s="888"/>
      <c r="CW473" s="888"/>
      <c r="CX473" s="888"/>
      <c r="CY473" s="888"/>
      <c r="CZ473" s="76"/>
    </row>
    <row r="474" spans="2:104" x14ac:dyDescent="0.25">
      <c r="B474" s="979"/>
      <c r="C474" s="980"/>
      <c r="D474" s="981"/>
      <c r="E474" s="75"/>
      <c r="F474" s="887" t="s">
        <v>6</v>
      </c>
      <c r="G474" s="887"/>
      <c r="H474" s="887"/>
      <c r="I474" s="888" t="s">
        <v>9</v>
      </c>
      <c r="J474" s="888"/>
      <c r="K474" s="888"/>
      <c r="L474" s="888"/>
      <c r="M474" s="888"/>
      <c r="N474" s="75"/>
      <c r="O474" s="887" t="s">
        <v>6</v>
      </c>
      <c r="P474" s="887"/>
      <c r="Q474" s="887"/>
      <c r="R474" s="888" t="s">
        <v>9</v>
      </c>
      <c r="S474" s="888"/>
      <c r="T474" s="888"/>
      <c r="U474" s="888"/>
      <c r="V474" s="888"/>
      <c r="W474" s="75"/>
      <c r="X474" s="887" t="s">
        <v>6</v>
      </c>
      <c r="Y474" s="887"/>
      <c r="Z474" s="887"/>
      <c r="AA474" s="888" t="s">
        <v>9</v>
      </c>
      <c r="AB474" s="888"/>
      <c r="AC474" s="888"/>
      <c r="AD474" s="888"/>
      <c r="AE474" s="888"/>
      <c r="AF474" s="75"/>
      <c r="AG474" s="887" t="s">
        <v>6</v>
      </c>
      <c r="AH474" s="887"/>
      <c r="AI474" s="887"/>
      <c r="AJ474" s="888" t="s">
        <v>9</v>
      </c>
      <c r="AK474" s="888"/>
      <c r="AL474" s="888"/>
      <c r="AM474" s="888"/>
      <c r="AN474" s="888"/>
      <c r="AO474" s="75"/>
      <c r="AP474" s="887" t="s">
        <v>6</v>
      </c>
      <c r="AQ474" s="887"/>
      <c r="AR474" s="887"/>
      <c r="AS474" s="888" t="s">
        <v>9</v>
      </c>
      <c r="AT474" s="888"/>
      <c r="AU474" s="888"/>
      <c r="AV474" s="888"/>
      <c r="AW474" s="888"/>
      <c r="AX474" s="75"/>
      <c r="AY474" s="887" t="s">
        <v>6</v>
      </c>
      <c r="AZ474" s="887"/>
      <c r="BA474" s="887"/>
      <c r="BB474" s="888" t="s">
        <v>9</v>
      </c>
      <c r="BC474" s="888"/>
      <c r="BD474" s="888"/>
      <c r="BE474" s="888"/>
      <c r="BF474" s="888"/>
      <c r="BG474" s="75"/>
      <c r="BH474" s="887" t="s">
        <v>6</v>
      </c>
      <c r="BI474" s="887"/>
      <c r="BJ474" s="887"/>
      <c r="BK474" s="888" t="s">
        <v>9</v>
      </c>
      <c r="BL474" s="888"/>
      <c r="BM474" s="888"/>
      <c r="BN474" s="888"/>
      <c r="BO474" s="888"/>
      <c r="BP474" s="75"/>
      <c r="BQ474" s="887" t="s">
        <v>6</v>
      </c>
      <c r="BR474" s="887"/>
      <c r="BS474" s="887"/>
      <c r="BT474" s="888" t="s">
        <v>9</v>
      </c>
      <c r="BU474" s="888"/>
      <c r="BV474" s="888"/>
      <c r="BW474" s="888"/>
      <c r="BX474" s="888"/>
      <c r="BY474" s="75"/>
      <c r="BZ474" s="887" t="s">
        <v>6</v>
      </c>
      <c r="CA474" s="887"/>
      <c r="CB474" s="887"/>
      <c r="CC474" s="888" t="s">
        <v>9</v>
      </c>
      <c r="CD474" s="888"/>
      <c r="CE474" s="888"/>
      <c r="CF474" s="888"/>
      <c r="CG474" s="888"/>
      <c r="CH474" s="75"/>
      <c r="CI474" s="887" t="s">
        <v>6</v>
      </c>
      <c r="CJ474" s="887"/>
      <c r="CK474" s="887"/>
      <c r="CL474" s="888" t="s">
        <v>9</v>
      </c>
      <c r="CM474" s="888"/>
      <c r="CN474" s="888"/>
      <c r="CO474" s="888"/>
      <c r="CP474" s="888"/>
      <c r="CQ474" s="75"/>
      <c r="CR474" s="887" t="s">
        <v>6</v>
      </c>
      <c r="CS474" s="887"/>
      <c r="CT474" s="887"/>
      <c r="CU474" s="888" t="s">
        <v>9</v>
      </c>
      <c r="CV474" s="888"/>
      <c r="CW474" s="888"/>
      <c r="CX474" s="888"/>
      <c r="CY474" s="888"/>
      <c r="CZ474" s="76"/>
    </row>
    <row r="475" spans="2:104" x14ac:dyDescent="0.25">
      <c r="B475" s="979"/>
      <c r="C475" s="980"/>
      <c r="D475" s="981"/>
      <c r="E475" s="75"/>
      <c r="F475" s="887"/>
      <c r="G475" s="887"/>
      <c r="H475" s="887"/>
      <c r="I475" s="888"/>
      <c r="J475" s="888"/>
      <c r="K475" s="888"/>
      <c r="L475" s="888"/>
      <c r="M475" s="888"/>
      <c r="N475" s="75"/>
      <c r="O475" s="887"/>
      <c r="P475" s="887"/>
      <c r="Q475" s="887"/>
      <c r="R475" s="888"/>
      <c r="S475" s="888"/>
      <c r="T475" s="888"/>
      <c r="U475" s="888"/>
      <c r="V475" s="888"/>
      <c r="W475" s="75"/>
      <c r="X475" s="887"/>
      <c r="Y475" s="887"/>
      <c r="Z475" s="887"/>
      <c r="AA475" s="888"/>
      <c r="AB475" s="888"/>
      <c r="AC475" s="888"/>
      <c r="AD475" s="888"/>
      <c r="AE475" s="888"/>
      <c r="AF475" s="75"/>
      <c r="AG475" s="887"/>
      <c r="AH475" s="887"/>
      <c r="AI475" s="887"/>
      <c r="AJ475" s="888"/>
      <c r="AK475" s="888"/>
      <c r="AL475" s="888"/>
      <c r="AM475" s="888"/>
      <c r="AN475" s="888"/>
      <c r="AO475" s="75"/>
      <c r="AP475" s="887"/>
      <c r="AQ475" s="887"/>
      <c r="AR475" s="887"/>
      <c r="AS475" s="888"/>
      <c r="AT475" s="888"/>
      <c r="AU475" s="888"/>
      <c r="AV475" s="888"/>
      <c r="AW475" s="888"/>
      <c r="AX475" s="75"/>
      <c r="AY475" s="887"/>
      <c r="AZ475" s="887"/>
      <c r="BA475" s="887"/>
      <c r="BB475" s="888"/>
      <c r="BC475" s="888"/>
      <c r="BD475" s="888"/>
      <c r="BE475" s="888"/>
      <c r="BF475" s="888"/>
      <c r="BG475" s="75"/>
      <c r="BH475" s="887"/>
      <c r="BI475" s="887"/>
      <c r="BJ475" s="887"/>
      <c r="BK475" s="888"/>
      <c r="BL475" s="888"/>
      <c r="BM475" s="888"/>
      <c r="BN475" s="888"/>
      <c r="BO475" s="888"/>
      <c r="BP475" s="75"/>
      <c r="BQ475" s="887"/>
      <c r="BR475" s="887"/>
      <c r="BS475" s="887"/>
      <c r="BT475" s="888"/>
      <c r="BU475" s="888"/>
      <c r="BV475" s="888"/>
      <c r="BW475" s="888"/>
      <c r="BX475" s="888"/>
      <c r="BY475" s="75"/>
      <c r="BZ475" s="887"/>
      <c r="CA475" s="887"/>
      <c r="CB475" s="887"/>
      <c r="CC475" s="888"/>
      <c r="CD475" s="888"/>
      <c r="CE475" s="888"/>
      <c r="CF475" s="888"/>
      <c r="CG475" s="888"/>
      <c r="CH475" s="75"/>
      <c r="CI475" s="887"/>
      <c r="CJ475" s="887"/>
      <c r="CK475" s="887"/>
      <c r="CL475" s="888"/>
      <c r="CM475" s="888"/>
      <c r="CN475" s="888"/>
      <c r="CO475" s="888"/>
      <c r="CP475" s="888"/>
      <c r="CQ475" s="75"/>
      <c r="CR475" s="887"/>
      <c r="CS475" s="887"/>
      <c r="CT475" s="887"/>
      <c r="CU475" s="888"/>
      <c r="CV475" s="888"/>
      <c r="CW475" s="888"/>
      <c r="CX475" s="888"/>
      <c r="CY475" s="888"/>
      <c r="CZ475" s="76"/>
    </row>
    <row r="476" spans="2:104" x14ac:dyDescent="0.25">
      <c r="B476" s="979"/>
      <c r="C476" s="980"/>
      <c r="D476" s="981"/>
      <c r="E476" s="75"/>
      <c r="F476" s="887"/>
      <c r="G476" s="887"/>
      <c r="H476" s="887"/>
      <c r="I476" s="888"/>
      <c r="J476" s="888"/>
      <c r="K476" s="888"/>
      <c r="L476" s="888"/>
      <c r="M476" s="888"/>
      <c r="N476" s="75"/>
      <c r="O476" s="887"/>
      <c r="P476" s="887"/>
      <c r="Q476" s="887"/>
      <c r="R476" s="888"/>
      <c r="S476" s="888"/>
      <c r="T476" s="888"/>
      <c r="U476" s="888"/>
      <c r="V476" s="888"/>
      <c r="W476" s="75"/>
      <c r="X476" s="887"/>
      <c r="Y476" s="887"/>
      <c r="Z476" s="887"/>
      <c r="AA476" s="888"/>
      <c r="AB476" s="888"/>
      <c r="AC476" s="888"/>
      <c r="AD476" s="888"/>
      <c r="AE476" s="888"/>
      <c r="AF476" s="75"/>
      <c r="AG476" s="887"/>
      <c r="AH476" s="887"/>
      <c r="AI476" s="887"/>
      <c r="AJ476" s="888"/>
      <c r="AK476" s="888"/>
      <c r="AL476" s="888"/>
      <c r="AM476" s="888"/>
      <c r="AN476" s="888"/>
      <c r="AO476" s="75"/>
      <c r="AP476" s="887"/>
      <c r="AQ476" s="887"/>
      <c r="AR476" s="887"/>
      <c r="AS476" s="888"/>
      <c r="AT476" s="888"/>
      <c r="AU476" s="888"/>
      <c r="AV476" s="888"/>
      <c r="AW476" s="888"/>
      <c r="AX476" s="75"/>
      <c r="AY476" s="887"/>
      <c r="AZ476" s="887"/>
      <c r="BA476" s="887"/>
      <c r="BB476" s="888"/>
      <c r="BC476" s="888"/>
      <c r="BD476" s="888"/>
      <c r="BE476" s="888"/>
      <c r="BF476" s="888"/>
      <c r="BG476" s="75"/>
      <c r="BH476" s="887"/>
      <c r="BI476" s="887"/>
      <c r="BJ476" s="887"/>
      <c r="BK476" s="888"/>
      <c r="BL476" s="888"/>
      <c r="BM476" s="888"/>
      <c r="BN476" s="888"/>
      <c r="BO476" s="888"/>
      <c r="BP476" s="75"/>
      <c r="BQ476" s="887"/>
      <c r="BR476" s="887"/>
      <c r="BS476" s="887"/>
      <c r="BT476" s="888"/>
      <c r="BU476" s="888"/>
      <c r="BV476" s="888"/>
      <c r="BW476" s="888"/>
      <c r="BX476" s="888"/>
      <c r="BY476" s="75"/>
      <c r="BZ476" s="887"/>
      <c r="CA476" s="887"/>
      <c r="CB476" s="887"/>
      <c r="CC476" s="888"/>
      <c r="CD476" s="888"/>
      <c r="CE476" s="888"/>
      <c r="CF476" s="888"/>
      <c r="CG476" s="888"/>
      <c r="CH476" s="75"/>
      <c r="CI476" s="887"/>
      <c r="CJ476" s="887"/>
      <c r="CK476" s="887"/>
      <c r="CL476" s="888"/>
      <c r="CM476" s="888"/>
      <c r="CN476" s="888"/>
      <c r="CO476" s="888"/>
      <c r="CP476" s="888"/>
      <c r="CQ476" s="75"/>
      <c r="CR476" s="887"/>
      <c r="CS476" s="887"/>
      <c r="CT476" s="887"/>
      <c r="CU476" s="888"/>
      <c r="CV476" s="888"/>
      <c r="CW476" s="888"/>
      <c r="CX476" s="888"/>
      <c r="CY476" s="888"/>
      <c r="CZ476" s="76"/>
    </row>
    <row r="477" spans="2:104" ht="15.75" customHeight="1" x14ac:dyDescent="0.25">
      <c r="B477" s="979"/>
      <c r="C477" s="980"/>
      <c r="D477" s="981"/>
      <c r="E477" s="75"/>
      <c r="F477" s="887" t="s">
        <v>7</v>
      </c>
      <c r="G477" s="887"/>
      <c r="H477" s="887"/>
      <c r="I477" s="889" t="s">
        <v>1262</v>
      </c>
      <c r="J477" s="888"/>
      <c r="K477" s="888"/>
      <c r="L477" s="888"/>
      <c r="M477" s="888"/>
      <c r="N477" s="75"/>
      <c r="O477" s="887" t="s">
        <v>7</v>
      </c>
      <c r="P477" s="887"/>
      <c r="Q477" s="887"/>
      <c r="R477" s="889" t="s">
        <v>1265</v>
      </c>
      <c r="S477" s="888"/>
      <c r="T477" s="888"/>
      <c r="U477" s="888"/>
      <c r="V477" s="888"/>
      <c r="W477" s="75"/>
      <c r="X477" s="887" t="s">
        <v>7</v>
      </c>
      <c r="Y477" s="887"/>
      <c r="Z477" s="887"/>
      <c r="AA477" s="889" t="s">
        <v>1268</v>
      </c>
      <c r="AB477" s="888"/>
      <c r="AC477" s="888"/>
      <c r="AD477" s="888"/>
      <c r="AE477" s="888"/>
      <c r="AF477" s="75"/>
      <c r="AG477" s="887" t="s">
        <v>7</v>
      </c>
      <c r="AH477" s="887"/>
      <c r="AI477" s="887"/>
      <c r="AJ477" s="889" t="s">
        <v>1271</v>
      </c>
      <c r="AK477" s="888"/>
      <c r="AL477" s="888"/>
      <c r="AM477" s="888"/>
      <c r="AN477" s="888"/>
      <c r="AO477" s="75"/>
      <c r="AP477" s="887" t="s">
        <v>7</v>
      </c>
      <c r="AQ477" s="887"/>
      <c r="AR477" s="887"/>
      <c r="AS477" s="889" t="s">
        <v>1274</v>
      </c>
      <c r="AT477" s="888"/>
      <c r="AU477" s="888"/>
      <c r="AV477" s="888"/>
      <c r="AW477" s="888"/>
      <c r="AX477" s="75"/>
      <c r="AY477" s="887" t="s">
        <v>7</v>
      </c>
      <c r="AZ477" s="887"/>
      <c r="BA477" s="887"/>
      <c r="BB477" s="888" t="s">
        <v>1326</v>
      </c>
      <c r="BC477" s="888"/>
      <c r="BD477" s="888"/>
      <c r="BE477" s="888"/>
      <c r="BF477" s="888"/>
      <c r="BG477" s="75"/>
      <c r="BH477" s="887" t="s">
        <v>7</v>
      </c>
      <c r="BI477" s="887"/>
      <c r="BJ477" s="887"/>
      <c r="BK477" s="888" t="s">
        <v>1328</v>
      </c>
      <c r="BL477" s="888"/>
      <c r="BM477" s="888"/>
      <c r="BN477" s="888"/>
      <c r="BO477" s="888"/>
      <c r="BP477" s="75"/>
      <c r="BQ477" s="887" t="s">
        <v>7</v>
      </c>
      <c r="BR477" s="887"/>
      <c r="BS477" s="887"/>
      <c r="BT477" s="889" t="s">
        <v>1281</v>
      </c>
      <c r="BU477" s="888"/>
      <c r="BV477" s="888"/>
      <c r="BW477" s="888"/>
      <c r="BX477" s="888"/>
      <c r="BY477" s="75"/>
      <c r="BZ477" s="887" t="s">
        <v>7</v>
      </c>
      <c r="CA477" s="887"/>
      <c r="CB477" s="887"/>
      <c r="CC477" s="889" t="s">
        <v>1287</v>
      </c>
      <c r="CD477" s="888"/>
      <c r="CE477" s="888"/>
      <c r="CF477" s="888"/>
      <c r="CG477" s="888"/>
      <c r="CH477" s="75"/>
      <c r="CI477" s="887" t="s">
        <v>7</v>
      </c>
      <c r="CJ477" s="887"/>
      <c r="CK477" s="887"/>
      <c r="CL477" s="889" t="s">
        <v>2150</v>
      </c>
      <c r="CM477" s="888"/>
      <c r="CN477" s="888"/>
      <c r="CO477" s="888"/>
      <c r="CP477" s="888"/>
      <c r="CQ477" s="75"/>
      <c r="CR477" s="887" t="s">
        <v>7</v>
      </c>
      <c r="CS477" s="887"/>
      <c r="CT477" s="887"/>
      <c r="CU477" s="889" t="s">
        <v>2247</v>
      </c>
      <c r="CV477" s="888"/>
      <c r="CW477" s="888"/>
      <c r="CX477" s="888"/>
      <c r="CY477" s="888"/>
      <c r="CZ477" s="76"/>
    </row>
    <row r="478" spans="2:104" x14ac:dyDescent="0.25">
      <c r="B478" s="979"/>
      <c r="C478" s="980"/>
      <c r="D478" s="981"/>
      <c r="E478" s="75"/>
      <c r="F478" s="887"/>
      <c r="G478" s="887"/>
      <c r="H478" s="887"/>
      <c r="I478" s="888"/>
      <c r="J478" s="888"/>
      <c r="K478" s="888"/>
      <c r="L478" s="888"/>
      <c r="M478" s="888"/>
      <c r="N478" s="75"/>
      <c r="O478" s="887"/>
      <c r="P478" s="887"/>
      <c r="Q478" s="887"/>
      <c r="R478" s="888"/>
      <c r="S478" s="888"/>
      <c r="T478" s="888"/>
      <c r="U478" s="888"/>
      <c r="V478" s="888"/>
      <c r="W478" s="75"/>
      <c r="X478" s="887"/>
      <c r="Y478" s="887"/>
      <c r="Z478" s="887"/>
      <c r="AA478" s="888"/>
      <c r="AB478" s="888"/>
      <c r="AC478" s="888"/>
      <c r="AD478" s="888"/>
      <c r="AE478" s="888"/>
      <c r="AF478" s="75"/>
      <c r="AG478" s="887"/>
      <c r="AH478" s="887"/>
      <c r="AI478" s="887"/>
      <c r="AJ478" s="888"/>
      <c r="AK478" s="888"/>
      <c r="AL478" s="888"/>
      <c r="AM478" s="888"/>
      <c r="AN478" s="888"/>
      <c r="AO478" s="75"/>
      <c r="AP478" s="887"/>
      <c r="AQ478" s="887"/>
      <c r="AR478" s="887"/>
      <c r="AS478" s="888"/>
      <c r="AT478" s="888"/>
      <c r="AU478" s="888"/>
      <c r="AV478" s="888"/>
      <c r="AW478" s="888"/>
      <c r="AX478" s="75"/>
      <c r="AY478" s="887"/>
      <c r="AZ478" s="887"/>
      <c r="BA478" s="887"/>
      <c r="BB478" s="888"/>
      <c r="BC478" s="888"/>
      <c r="BD478" s="888"/>
      <c r="BE478" s="888"/>
      <c r="BF478" s="888"/>
      <c r="BG478" s="75"/>
      <c r="BH478" s="887"/>
      <c r="BI478" s="887"/>
      <c r="BJ478" s="887"/>
      <c r="BK478" s="888"/>
      <c r="BL478" s="888"/>
      <c r="BM478" s="888"/>
      <c r="BN478" s="888"/>
      <c r="BO478" s="888"/>
      <c r="BP478" s="75"/>
      <c r="BQ478" s="887"/>
      <c r="BR478" s="887"/>
      <c r="BS478" s="887"/>
      <c r="BT478" s="888"/>
      <c r="BU478" s="888"/>
      <c r="BV478" s="888"/>
      <c r="BW478" s="888"/>
      <c r="BX478" s="888"/>
      <c r="BY478" s="75"/>
      <c r="BZ478" s="887"/>
      <c r="CA478" s="887"/>
      <c r="CB478" s="887"/>
      <c r="CC478" s="888"/>
      <c r="CD478" s="888"/>
      <c r="CE478" s="888"/>
      <c r="CF478" s="888"/>
      <c r="CG478" s="888"/>
      <c r="CH478" s="75"/>
      <c r="CI478" s="887"/>
      <c r="CJ478" s="887"/>
      <c r="CK478" s="887"/>
      <c r="CL478" s="888"/>
      <c r="CM478" s="888"/>
      <c r="CN478" s="888"/>
      <c r="CO478" s="888"/>
      <c r="CP478" s="888"/>
      <c r="CQ478" s="75"/>
      <c r="CR478" s="887"/>
      <c r="CS478" s="887"/>
      <c r="CT478" s="887"/>
      <c r="CU478" s="888"/>
      <c r="CV478" s="888"/>
      <c r="CW478" s="888"/>
      <c r="CX478" s="888"/>
      <c r="CY478" s="888"/>
      <c r="CZ478" s="76"/>
    </row>
    <row r="479" spans="2:104" x14ac:dyDescent="0.25">
      <c r="B479" s="979"/>
      <c r="C479" s="980"/>
      <c r="D479" s="981"/>
      <c r="E479" s="75"/>
      <c r="F479" s="887"/>
      <c r="G479" s="887"/>
      <c r="H479" s="887"/>
      <c r="I479" s="888"/>
      <c r="J479" s="888"/>
      <c r="K479" s="888"/>
      <c r="L479" s="888"/>
      <c r="M479" s="888"/>
      <c r="N479" s="75"/>
      <c r="O479" s="887"/>
      <c r="P479" s="887"/>
      <c r="Q479" s="887"/>
      <c r="R479" s="888"/>
      <c r="S479" s="888"/>
      <c r="T479" s="888"/>
      <c r="U479" s="888"/>
      <c r="V479" s="888"/>
      <c r="W479" s="75"/>
      <c r="X479" s="887"/>
      <c r="Y479" s="887"/>
      <c r="Z479" s="887"/>
      <c r="AA479" s="888"/>
      <c r="AB479" s="888"/>
      <c r="AC479" s="888"/>
      <c r="AD479" s="888"/>
      <c r="AE479" s="888"/>
      <c r="AF479" s="75"/>
      <c r="AG479" s="887"/>
      <c r="AH479" s="887"/>
      <c r="AI479" s="887"/>
      <c r="AJ479" s="888"/>
      <c r="AK479" s="888"/>
      <c r="AL479" s="888"/>
      <c r="AM479" s="888"/>
      <c r="AN479" s="888"/>
      <c r="AO479" s="75"/>
      <c r="AP479" s="887"/>
      <c r="AQ479" s="887"/>
      <c r="AR479" s="887"/>
      <c r="AS479" s="888"/>
      <c r="AT479" s="888"/>
      <c r="AU479" s="888"/>
      <c r="AV479" s="888"/>
      <c r="AW479" s="888"/>
      <c r="AX479" s="75"/>
      <c r="AY479" s="887"/>
      <c r="AZ479" s="887"/>
      <c r="BA479" s="887"/>
      <c r="BB479" s="888"/>
      <c r="BC479" s="888"/>
      <c r="BD479" s="888"/>
      <c r="BE479" s="888"/>
      <c r="BF479" s="888"/>
      <c r="BG479" s="75"/>
      <c r="BH479" s="887"/>
      <c r="BI479" s="887"/>
      <c r="BJ479" s="887"/>
      <c r="BK479" s="888"/>
      <c r="BL479" s="888"/>
      <c r="BM479" s="888"/>
      <c r="BN479" s="888"/>
      <c r="BO479" s="888"/>
      <c r="BP479" s="75"/>
      <c r="BQ479" s="887"/>
      <c r="BR479" s="887"/>
      <c r="BS479" s="887"/>
      <c r="BT479" s="888"/>
      <c r="BU479" s="888"/>
      <c r="BV479" s="888"/>
      <c r="BW479" s="888"/>
      <c r="BX479" s="888"/>
      <c r="BY479" s="75"/>
      <c r="BZ479" s="887"/>
      <c r="CA479" s="887"/>
      <c r="CB479" s="887"/>
      <c r="CC479" s="888"/>
      <c r="CD479" s="888"/>
      <c r="CE479" s="888"/>
      <c r="CF479" s="888"/>
      <c r="CG479" s="888"/>
      <c r="CH479" s="75"/>
      <c r="CI479" s="887"/>
      <c r="CJ479" s="887"/>
      <c r="CK479" s="887"/>
      <c r="CL479" s="888"/>
      <c r="CM479" s="888"/>
      <c r="CN479" s="888"/>
      <c r="CO479" s="888"/>
      <c r="CP479" s="888"/>
      <c r="CQ479" s="75"/>
      <c r="CR479" s="887"/>
      <c r="CS479" s="887"/>
      <c r="CT479" s="887"/>
      <c r="CU479" s="888"/>
      <c r="CV479" s="888"/>
      <c r="CW479" s="888"/>
      <c r="CX479" s="888"/>
      <c r="CY479" s="888"/>
      <c r="CZ479" s="76"/>
    </row>
    <row r="480" spans="2:104" x14ac:dyDescent="0.25">
      <c r="B480" s="979"/>
      <c r="C480" s="980"/>
      <c r="D480" s="981"/>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t="s">
        <v>1275</v>
      </c>
      <c r="AQ480" s="75"/>
      <c r="AR480" s="75"/>
      <c r="AS480" s="75"/>
      <c r="AT480" s="75"/>
      <c r="AU480" s="75"/>
      <c r="AV480" s="75"/>
      <c r="AW480" s="75"/>
      <c r="AX480" s="75"/>
      <c r="AY480" s="75" t="s">
        <v>1277</v>
      </c>
      <c r="AZ480" s="75"/>
      <c r="BA480" s="75"/>
      <c r="BB480" s="75"/>
      <c r="BC480" s="75"/>
      <c r="BD480" s="75"/>
      <c r="BE480" s="75"/>
      <c r="BF480" s="75"/>
      <c r="BG480" s="75"/>
      <c r="BH480" s="75" t="s">
        <v>1278</v>
      </c>
      <c r="BI480" s="75"/>
      <c r="BJ480" s="75"/>
      <c r="BK480" s="75"/>
      <c r="BL480" s="75"/>
      <c r="BM480" s="75"/>
      <c r="BN480" s="75"/>
      <c r="BO480" s="75"/>
      <c r="BP480" s="75"/>
      <c r="BQ480" s="75" t="s">
        <v>1283</v>
      </c>
      <c r="BR480" s="75"/>
      <c r="BS480" s="75"/>
      <c r="BT480" s="75"/>
      <c r="BU480" s="75"/>
      <c r="BV480" s="75"/>
      <c r="BW480" s="75"/>
      <c r="BX480" s="75"/>
      <c r="BY480" s="75"/>
      <c r="BZ480" s="75" t="s">
        <v>1288</v>
      </c>
      <c r="CA480" s="75"/>
      <c r="CB480" s="75"/>
      <c r="CC480" s="75"/>
      <c r="CD480" s="75"/>
      <c r="CE480" s="75"/>
      <c r="CF480" s="75"/>
      <c r="CG480" s="75"/>
      <c r="CH480" s="75"/>
      <c r="CI480" s="75" t="s">
        <v>1292</v>
      </c>
      <c r="CJ480" s="75"/>
      <c r="CK480" s="75"/>
      <c r="CL480" s="75"/>
      <c r="CM480" s="75"/>
      <c r="CN480" s="75"/>
      <c r="CO480" s="75"/>
      <c r="CP480" s="75"/>
      <c r="CQ480" s="75"/>
      <c r="CR480" s="75"/>
      <c r="CS480" s="75"/>
      <c r="CT480" s="75"/>
      <c r="CU480" s="75"/>
      <c r="CV480" s="75"/>
      <c r="CW480" s="75"/>
      <c r="CX480" s="75"/>
      <c r="CY480" s="75"/>
      <c r="CZ480" s="76"/>
    </row>
    <row r="481" spans="2:104" ht="16.5" thickBot="1" x14ac:dyDescent="0.3">
      <c r="B481" s="982"/>
      <c r="C481" s="983"/>
      <c r="D481" s="984"/>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c r="AP481" s="77"/>
      <c r="AQ481" s="77"/>
      <c r="AR481" s="77"/>
      <c r="AS481" s="77"/>
      <c r="AT481" s="77"/>
      <c r="AU481" s="77"/>
      <c r="AV481" s="77"/>
      <c r="AW481" s="77"/>
      <c r="AX481" s="77"/>
      <c r="AY481" s="77"/>
      <c r="AZ481" s="77"/>
      <c r="BA481" s="77"/>
      <c r="BB481" s="77"/>
      <c r="BC481" s="77"/>
      <c r="BD481" s="77"/>
      <c r="BE481" s="77"/>
      <c r="BF481" s="77"/>
      <c r="BG481" s="77"/>
      <c r="BH481" s="77"/>
      <c r="BI481" s="77"/>
      <c r="BJ481" s="77"/>
      <c r="BK481" s="77"/>
      <c r="BL481" s="77"/>
      <c r="BM481" s="77"/>
      <c r="BN481" s="77"/>
      <c r="BO481" s="77"/>
      <c r="BP481" s="77"/>
      <c r="BQ481" s="77"/>
      <c r="BR481" s="77"/>
      <c r="BS481" s="77"/>
      <c r="BT481" s="77"/>
      <c r="BU481" s="77"/>
      <c r="BV481" s="77"/>
      <c r="BW481" s="77"/>
      <c r="BX481" s="77"/>
      <c r="BY481" s="77"/>
      <c r="BZ481" s="77"/>
      <c r="CA481" s="77"/>
      <c r="CB481" s="77"/>
      <c r="CC481" s="77"/>
      <c r="CD481" s="77"/>
      <c r="CE481" s="77"/>
      <c r="CF481" s="77"/>
      <c r="CG481" s="77"/>
      <c r="CH481" s="77"/>
      <c r="CI481" s="77"/>
      <c r="CJ481" s="77"/>
      <c r="CK481" s="77"/>
      <c r="CL481" s="77"/>
      <c r="CM481" s="77"/>
      <c r="CN481" s="77"/>
      <c r="CO481" s="77"/>
      <c r="CP481" s="77"/>
      <c r="CQ481" s="77"/>
      <c r="CR481" s="77"/>
      <c r="CS481" s="77"/>
      <c r="CT481" s="77"/>
      <c r="CU481" s="77"/>
      <c r="CV481" s="77"/>
      <c r="CW481" s="77"/>
      <c r="CX481" s="77"/>
      <c r="CY481" s="77"/>
      <c r="CZ481" s="78"/>
    </row>
    <row r="497" spans="42:49" x14ac:dyDescent="0.25">
      <c r="AP497" s="32"/>
      <c r="AQ497" s="32"/>
      <c r="AR497" s="32"/>
      <c r="AS497" s="32"/>
      <c r="AT497" s="32"/>
      <c r="AU497" s="32"/>
      <c r="AV497" s="32"/>
      <c r="AW497" s="32"/>
    </row>
    <row r="498" spans="42:49" x14ac:dyDescent="0.25">
      <c r="AP498" s="34"/>
      <c r="AQ498" s="34"/>
      <c r="AR498" s="34"/>
      <c r="AS498" s="34"/>
      <c r="AT498" s="34"/>
      <c r="AU498" s="34"/>
      <c r="AV498" s="34"/>
      <c r="AW498" s="34"/>
    </row>
    <row r="499" spans="42:49" x14ac:dyDescent="0.25">
      <c r="AP499" s="35"/>
      <c r="AQ499" s="35"/>
      <c r="AR499" s="35"/>
      <c r="AS499" s="28"/>
      <c r="AT499" s="28"/>
      <c r="AU499" s="28"/>
      <c r="AV499" s="28"/>
      <c r="AW499" s="28"/>
    </row>
    <row r="500" spans="42:49" x14ac:dyDescent="0.25">
      <c r="AP500" s="35"/>
      <c r="AQ500" s="35"/>
      <c r="AR500" s="35"/>
      <c r="AS500" s="28"/>
      <c r="AT500" s="28"/>
      <c r="AU500" s="28"/>
      <c r="AV500" s="28"/>
      <c r="AW500" s="28"/>
    </row>
    <row r="501" spans="42:49" x14ac:dyDescent="0.25">
      <c r="AP501" s="35"/>
      <c r="AQ501" s="35"/>
      <c r="AR501" s="35"/>
      <c r="AS501" s="28"/>
      <c r="AT501" s="28"/>
      <c r="AU501" s="28"/>
      <c r="AV501" s="28"/>
      <c r="AW501" s="28"/>
    </row>
    <row r="502" spans="42:49" x14ac:dyDescent="0.25">
      <c r="AP502" s="34"/>
      <c r="AQ502" s="34"/>
      <c r="AR502" s="34"/>
      <c r="AS502" s="34"/>
      <c r="AT502" s="34"/>
      <c r="AU502" s="34"/>
      <c r="AV502" s="34"/>
      <c r="AW502" s="34"/>
    </row>
    <row r="503" spans="42:49" x14ac:dyDescent="0.25">
      <c r="AP503" s="35"/>
      <c r="AQ503" s="35"/>
      <c r="AR503" s="35"/>
      <c r="AS503" s="36"/>
      <c r="AT503" s="28"/>
      <c r="AU503" s="28"/>
      <c r="AV503" s="28"/>
      <c r="AW503" s="28"/>
    </row>
    <row r="504" spans="42:49" x14ac:dyDescent="0.25">
      <c r="AP504" s="35"/>
      <c r="AQ504" s="35"/>
      <c r="AR504" s="35"/>
      <c r="AS504" s="28"/>
      <c r="AT504" s="28"/>
      <c r="AU504" s="28"/>
      <c r="AV504" s="28"/>
      <c r="AW504" s="28"/>
    </row>
    <row r="505" spans="42:49" x14ac:dyDescent="0.25">
      <c r="AP505" s="35"/>
      <c r="AQ505" s="35"/>
      <c r="AR505" s="35"/>
      <c r="AS505" s="28"/>
      <c r="AT505" s="28"/>
      <c r="AU505" s="28"/>
      <c r="AV505" s="28"/>
      <c r="AW505" s="28"/>
    </row>
    <row r="506" spans="42:49" x14ac:dyDescent="0.25">
      <c r="AP506" s="35"/>
      <c r="AQ506" s="35"/>
      <c r="AR506" s="35"/>
      <c r="AS506" s="28"/>
      <c r="AT506" s="28"/>
      <c r="AU506" s="28"/>
      <c r="AV506" s="28"/>
      <c r="AW506" s="28"/>
    </row>
    <row r="507" spans="42:49" x14ac:dyDescent="0.25">
      <c r="AP507" s="35"/>
      <c r="AQ507" s="35"/>
      <c r="AR507" s="35"/>
      <c r="AS507" s="28"/>
      <c r="AT507" s="28"/>
      <c r="AU507" s="28"/>
      <c r="AV507" s="28"/>
      <c r="AW507" s="28"/>
    </row>
    <row r="508" spans="42:49" x14ac:dyDescent="0.25">
      <c r="AP508" s="35"/>
      <c r="AQ508" s="35"/>
      <c r="AR508" s="35"/>
      <c r="AS508" s="28"/>
      <c r="AT508" s="28"/>
      <c r="AU508" s="28"/>
      <c r="AV508" s="28"/>
      <c r="AW508" s="28"/>
    </row>
    <row r="509" spans="42:49" x14ac:dyDescent="0.25">
      <c r="AP509" s="35"/>
      <c r="AQ509" s="35"/>
      <c r="AR509" s="35"/>
      <c r="AS509" s="28"/>
      <c r="AT509" s="28"/>
      <c r="AU509" s="28"/>
      <c r="AV509" s="28"/>
      <c r="AW509" s="28"/>
    </row>
    <row r="510" spans="42:49" x14ac:dyDescent="0.25">
      <c r="AP510" s="35"/>
      <c r="AQ510" s="35"/>
      <c r="AR510" s="35"/>
      <c r="AS510" s="28"/>
      <c r="AT510" s="28"/>
      <c r="AU510" s="28"/>
      <c r="AV510" s="28"/>
      <c r="AW510" s="28"/>
    </row>
    <row r="511" spans="42:49" x14ac:dyDescent="0.25">
      <c r="AP511" s="35"/>
      <c r="AQ511" s="35"/>
      <c r="AR511" s="35"/>
      <c r="AS511" s="28"/>
      <c r="AT511" s="28"/>
      <c r="AU511" s="28"/>
      <c r="AV511" s="28"/>
      <c r="AW511" s="28"/>
    </row>
    <row r="512" spans="42:49" x14ac:dyDescent="0.25">
      <c r="AP512" s="35"/>
      <c r="AQ512" s="35"/>
      <c r="AR512" s="35"/>
      <c r="AS512" s="28"/>
      <c r="AT512" s="28"/>
      <c r="AU512" s="28"/>
      <c r="AV512" s="28"/>
      <c r="AW512" s="28"/>
    </row>
    <row r="513" spans="42:49" x14ac:dyDescent="0.25">
      <c r="AP513" s="35"/>
      <c r="AQ513" s="35"/>
      <c r="AR513" s="35"/>
      <c r="AS513" s="28"/>
      <c r="AT513" s="28"/>
      <c r="AU513" s="28"/>
      <c r="AV513" s="28"/>
      <c r="AW513" s="28"/>
    </row>
    <row r="514" spans="42:49" x14ac:dyDescent="0.25">
      <c r="AP514" s="35"/>
      <c r="AQ514" s="35"/>
      <c r="AR514" s="35"/>
      <c r="AS514" s="28"/>
      <c r="AT514" s="28"/>
      <c r="AU514" s="28"/>
      <c r="AV514" s="28"/>
      <c r="AW514" s="28"/>
    </row>
    <row r="515" spans="42:49" x14ac:dyDescent="0.25">
      <c r="AP515" s="35"/>
      <c r="AQ515" s="35"/>
      <c r="AR515" s="35"/>
      <c r="AS515" s="28"/>
      <c r="AT515" s="28"/>
      <c r="AU515" s="28"/>
      <c r="AV515" s="28"/>
      <c r="AW515" s="28"/>
    </row>
    <row r="516" spans="42:49" x14ac:dyDescent="0.25">
      <c r="AP516" s="35"/>
      <c r="AQ516" s="35"/>
      <c r="AR516" s="35"/>
      <c r="AS516" s="28"/>
      <c r="AT516" s="28"/>
      <c r="AU516" s="28"/>
      <c r="AV516" s="28"/>
      <c r="AW516" s="28"/>
    </row>
    <row r="517" spans="42:49" x14ac:dyDescent="0.25">
      <c r="AP517" s="35"/>
      <c r="AQ517" s="35"/>
      <c r="AR517" s="35"/>
      <c r="AS517" s="28"/>
      <c r="AT517" s="28"/>
      <c r="AU517" s="28"/>
      <c r="AV517" s="28"/>
      <c r="AW517" s="28"/>
    </row>
  </sheetData>
  <mergeCells count="2162">
    <mergeCell ref="B4:B192"/>
    <mergeCell ref="B196:B365"/>
    <mergeCell ref="B374:D398"/>
    <mergeCell ref="B402:D454"/>
    <mergeCell ref="B457:D481"/>
    <mergeCell ref="AY376:BF376"/>
    <mergeCell ref="AY377:BA377"/>
    <mergeCell ref="BB377:BF377"/>
    <mergeCell ref="AY378:BA380"/>
    <mergeCell ref="BB378:BF380"/>
    <mergeCell ref="AY381:BA381"/>
    <mergeCell ref="BB381:BF381"/>
    <mergeCell ref="AY382:BA384"/>
    <mergeCell ref="BB382:BF384"/>
    <mergeCell ref="AY385:BA387"/>
    <mergeCell ref="BB385:BF387"/>
    <mergeCell ref="AY388:BA390"/>
    <mergeCell ref="BB388:BF390"/>
    <mergeCell ref="AY391:BA393"/>
    <mergeCell ref="BB391:BF393"/>
    <mergeCell ref="AY394:BA396"/>
    <mergeCell ref="BB394:BF396"/>
    <mergeCell ref="AY433:BA435"/>
    <mergeCell ref="BB433:BF435"/>
    <mergeCell ref="AY436:BA436"/>
    <mergeCell ref="BB436:BF436"/>
    <mergeCell ref="AY437:BA439"/>
    <mergeCell ref="BB437:BF439"/>
    <mergeCell ref="AY440:BA442"/>
    <mergeCell ref="BB440:BF442"/>
    <mergeCell ref="AY443:BA445"/>
    <mergeCell ref="BB443:BF445"/>
    <mergeCell ref="HO6:HV6"/>
    <mergeCell ref="HO7:HQ7"/>
    <mergeCell ref="HR7:HV7"/>
    <mergeCell ref="HO8:HQ10"/>
    <mergeCell ref="HR8:HV10"/>
    <mergeCell ref="HO11:HQ11"/>
    <mergeCell ref="HR11:HV11"/>
    <mergeCell ref="HO12:HQ14"/>
    <mergeCell ref="HR12:HV14"/>
    <mergeCell ref="HO15:HQ17"/>
    <mergeCell ref="HR15:HV17"/>
    <mergeCell ref="HO18:HQ20"/>
    <mergeCell ref="HR18:HV20"/>
    <mergeCell ref="HO21:HQ23"/>
    <mergeCell ref="HR21:HV23"/>
    <mergeCell ref="HO24:HQ26"/>
    <mergeCell ref="HR24:HV26"/>
    <mergeCell ref="F431:M431"/>
    <mergeCell ref="O431:V431"/>
    <mergeCell ref="X431:AE431"/>
    <mergeCell ref="BZ433:CB435"/>
    <mergeCell ref="CC433:CG435"/>
    <mergeCell ref="BZ436:CB436"/>
    <mergeCell ref="CC436:CG436"/>
    <mergeCell ref="BZ437:CB439"/>
    <mergeCell ref="CC437:CG439"/>
    <mergeCell ref="BZ440:CB442"/>
    <mergeCell ref="CC440:CG442"/>
    <mergeCell ref="BZ443:CB445"/>
    <mergeCell ref="CC443:CG445"/>
    <mergeCell ref="BZ446:CB448"/>
    <mergeCell ref="CC446:CG448"/>
    <mergeCell ref="BZ449:CB451"/>
    <mergeCell ref="CC449:CG451"/>
    <mergeCell ref="BQ433:BS435"/>
    <mergeCell ref="BT433:BX435"/>
    <mergeCell ref="BQ436:BS436"/>
    <mergeCell ref="BT436:BX436"/>
    <mergeCell ref="BQ437:BS439"/>
    <mergeCell ref="BT437:BX439"/>
    <mergeCell ref="BQ440:BS442"/>
    <mergeCell ref="BT440:BX442"/>
    <mergeCell ref="BQ443:BS445"/>
    <mergeCell ref="BT443:BX445"/>
    <mergeCell ref="BQ446:BS448"/>
    <mergeCell ref="BZ431:CG431"/>
    <mergeCell ref="BZ432:CB432"/>
    <mergeCell ref="CC432:CG432"/>
    <mergeCell ref="BH433:BJ435"/>
    <mergeCell ref="CI433:CK435"/>
    <mergeCell ref="CL433:CP435"/>
    <mergeCell ref="CI436:CK436"/>
    <mergeCell ref="CL436:CP436"/>
    <mergeCell ref="CI437:CK439"/>
    <mergeCell ref="CL437:CP439"/>
    <mergeCell ref="CI440:CK442"/>
    <mergeCell ref="CL440:CP442"/>
    <mergeCell ref="CI443:CK445"/>
    <mergeCell ref="CL443:CP445"/>
    <mergeCell ref="CI446:CK448"/>
    <mergeCell ref="CL446:CP448"/>
    <mergeCell ref="CI449:CK451"/>
    <mergeCell ref="CL449:CP451"/>
    <mergeCell ref="CI431:CP431"/>
    <mergeCell ref="CI432:CK432"/>
    <mergeCell ref="CL432:CP432"/>
    <mergeCell ref="BK433:BO435"/>
    <mergeCell ref="BH436:BJ436"/>
    <mergeCell ref="BK436:BO436"/>
    <mergeCell ref="BH437:BJ439"/>
    <mergeCell ref="BK437:BO439"/>
    <mergeCell ref="BH440:BJ442"/>
    <mergeCell ref="BK440:BO442"/>
    <mergeCell ref="BH443:BJ445"/>
    <mergeCell ref="BK443:BO445"/>
    <mergeCell ref="BH446:BJ448"/>
    <mergeCell ref="BK446:BO448"/>
    <mergeCell ref="BH449:BJ451"/>
    <mergeCell ref="BK449:BO451"/>
    <mergeCell ref="BQ431:BX431"/>
    <mergeCell ref="BQ432:BS432"/>
    <mergeCell ref="BT432:BX432"/>
    <mergeCell ref="BT446:BX448"/>
    <mergeCell ref="BQ449:BS451"/>
    <mergeCell ref="BT449:BX451"/>
    <mergeCell ref="AY446:BA448"/>
    <mergeCell ref="BB446:BF448"/>
    <mergeCell ref="AY449:BA451"/>
    <mergeCell ref="BB449:BF451"/>
    <mergeCell ref="BH431:BO431"/>
    <mergeCell ref="BH432:BJ432"/>
    <mergeCell ref="BK432:BO432"/>
    <mergeCell ref="AG433:AI435"/>
    <mergeCell ref="AJ433:AN435"/>
    <mergeCell ref="AG436:AI436"/>
    <mergeCell ref="AJ436:AN436"/>
    <mergeCell ref="AG437:AI439"/>
    <mergeCell ref="AJ437:AN439"/>
    <mergeCell ref="AG440:AI442"/>
    <mergeCell ref="AJ440:AN442"/>
    <mergeCell ref="AG443:AI445"/>
    <mergeCell ref="AJ443:AN445"/>
    <mergeCell ref="AG446:AI448"/>
    <mergeCell ref="AJ446:AN448"/>
    <mergeCell ref="AG449:AI451"/>
    <mergeCell ref="AJ449:AN451"/>
    <mergeCell ref="AP431:AW431"/>
    <mergeCell ref="AP432:AR432"/>
    <mergeCell ref="AS432:AW432"/>
    <mergeCell ref="AP433:AR435"/>
    <mergeCell ref="AS433:AW435"/>
    <mergeCell ref="AP436:AR436"/>
    <mergeCell ref="AS436:AW436"/>
    <mergeCell ref="AP437:AR439"/>
    <mergeCell ref="AS437:AW439"/>
    <mergeCell ref="AP440:AR442"/>
    <mergeCell ref="AS440:AW442"/>
    <mergeCell ref="AP443:AR445"/>
    <mergeCell ref="AS443:AW445"/>
    <mergeCell ref="AP446:AR448"/>
    <mergeCell ref="AS446:AW448"/>
    <mergeCell ref="AP449:AR451"/>
    <mergeCell ref="AS449:AW451"/>
    <mergeCell ref="R433:V435"/>
    <mergeCell ref="O436:Q436"/>
    <mergeCell ref="R436:V436"/>
    <mergeCell ref="O437:Q439"/>
    <mergeCell ref="R437:V439"/>
    <mergeCell ref="O440:Q442"/>
    <mergeCell ref="R440:V442"/>
    <mergeCell ref="O443:Q445"/>
    <mergeCell ref="R443:V445"/>
    <mergeCell ref="O446:Q448"/>
    <mergeCell ref="R446:V448"/>
    <mergeCell ref="O449:Q451"/>
    <mergeCell ref="R449:V451"/>
    <mergeCell ref="X432:Z432"/>
    <mergeCell ref="X433:Z435"/>
    <mergeCell ref="AA433:AE435"/>
    <mergeCell ref="X436:Z436"/>
    <mergeCell ref="AA436:AE436"/>
    <mergeCell ref="X437:Z439"/>
    <mergeCell ref="AA437:AE439"/>
    <mergeCell ref="X440:Z442"/>
    <mergeCell ref="AA440:AE442"/>
    <mergeCell ref="X443:Z445"/>
    <mergeCell ref="AA443:AE445"/>
    <mergeCell ref="X446:Z448"/>
    <mergeCell ref="AA446:AE448"/>
    <mergeCell ref="X449:Z451"/>
    <mergeCell ref="AA449:AE451"/>
    <mergeCell ref="AA432:AE432"/>
    <mergeCell ref="F433:H435"/>
    <mergeCell ref="I433:M435"/>
    <mergeCell ref="F436:H436"/>
    <mergeCell ref="I436:M436"/>
    <mergeCell ref="F437:H439"/>
    <mergeCell ref="I437:M439"/>
    <mergeCell ref="F440:H442"/>
    <mergeCell ref="I440:M442"/>
    <mergeCell ref="F443:H445"/>
    <mergeCell ref="I443:M445"/>
    <mergeCell ref="F446:H448"/>
    <mergeCell ref="I446:M448"/>
    <mergeCell ref="F449:H451"/>
    <mergeCell ref="I449:M451"/>
    <mergeCell ref="F423:H425"/>
    <mergeCell ref="I423:M425"/>
    <mergeCell ref="O432:Q432"/>
    <mergeCell ref="O433:Q435"/>
    <mergeCell ref="O423:Q425"/>
    <mergeCell ref="CL406:CP406"/>
    <mergeCell ref="CI407:CK409"/>
    <mergeCell ref="CL407:CP409"/>
    <mergeCell ref="CI410:CK410"/>
    <mergeCell ref="CL410:CP410"/>
    <mergeCell ref="CI411:CK413"/>
    <mergeCell ref="CL411:CP413"/>
    <mergeCell ref="CI414:CK416"/>
    <mergeCell ref="CL414:CP416"/>
    <mergeCell ref="CI417:CK419"/>
    <mergeCell ref="CL417:CP419"/>
    <mergeCell ref="CI420:CK422"/>
    <mergeCell ref="CL420:CP422"/>
    <mergeCell ref="CI423:CK425"/>
    <mergeCell ref="CL423:CP425"/>
    <mergeCell ref="F432:H432"/>
    <mergeCell ref="I432:M432"/>
    <mergeCell ref="R432:V432"/>
    <mergeCell ref="AG431:AN431"/>
    <mergeCell ref="AG432:AI432"/>
    <mergeCell ref="AJ432:AN432"/>
    <mergeCell ref="AY431:BF431"/>
    <mergeCell ref="AY432:BA432"/>
    <mergeCell ref="BB432:BF432"/>
    <mergeCell ref="BZ406:CB406"/>
    <mergeCell ref="CC406:CG406"/>
    <mergeCell ref="BZ407:CB409"/>
    <mergeCell ref="CC407:CG409"/>
    <mergeCell ref="BZ410:CB410"/>
    <mergeCell ref="CC410:CG410"/>
    <mergeCell ref="BZ411:CB413"/>
    <mergeCell ref="CC411:CG413"/>
    <mergeCell ref="BZ414:CB416"/>
    <mergeCell ref="CC414:CG416"/>
    <mergeCell ref="BZ417:CB419"/>
    <mergeCell ref="CC417:CG419"/>
    <mergeCell ref="BZ420:CB422"/>
    <mergeCell ref="CC420:CG422"/>
    <mergeCell ref="BZ423:CB425"/>
    <mergeCell ref="CC423:CG425"/>
    <mergeCell ref="CI406:CK406"/>
    <mergeCell ref="BK406:BO406"/>
    <mergeCell ref="BH407:BJ409"/>
    <mergeCell ref="BK407:BO409"/>
    <mergeCell ref="BH410:BJ410"/>
    <mergeCell ref="BK410:BO410"/>
    <mergeCell ref="BH411:BJ413"/>
    <mergeCell ref="BK411:BO413"/>
    <mergeCell ref="BH414:BJ416"/>
    <mergeCell ref="BK414:BO416"/>
    <mergeCell ref="BH417:BJ419"/>
    <mergeCell ref="BK417:BO419"/>
    <mergeCell ref="BH420:BJ422"/>
    <mergeCell ref="BK420:BO422"/>
    <mergeCell ref="BH423:BJ425"/>
    <mergeCell ref="BK423:BO425"/>
    <mergeCell ref="BQ406:BS406"/>
    <mergeCell ref="BT406:BX406"/>
    <mergeCell ref="BQ407:BS409"/>
    <mergeCell ref="BT407:BX409"/>
    <mergeCell ref="BQ410:BS410"/>
    <mergeCell ref="BT410:BX410"/>
    <mergeCell ref="BQ411:BS413"/>
    <mergeCell ref="BT411:BX413"/>
    <mergeCell ref="BQ414:BS416"/>
    <mergeCell ref="BT414:BX416"/>
    <mergeCell ref="BQ417:BS419"/>
    <mergeCell ref="BT417:BX419"/>
    <mergeCell ref="BQ420:BS422"/>
    <mergeCell ref="BT420:BX422"/>
    <mergeCell ref="BQ423:BS425"/>
    <mergeCell ref="BT423:BX425"/>
    <mergeCell ref="AY406:BA406"/>
    <mergeCell ref="BB406:BF406"/>
    <mergeCell ref="AY407:BA409"/>
    <mergeCell ref="BB407:BF409"/>
    <mergeCell ref="AY410:BA410"/>
    <mergeCell ref="BB410:BF410"/>
    <mergeCell ref="AY411:BA413"/>
    <mergeCell ref="BB411:BF413"/>
    <mergeCell ref="AY414:BA416"/>
    <mergeCell ref="BB414:BF416"/>
    <mergeCell ref="AY417:BA419"/>
    <mergeCell ref="BB417:BF419"/>
    <mergeCell ref="AY420:BA422"/>
    <mergeCell ref="BB420:BF422"/>
    <mergeCell ref="AY423:BA425"/>
    <mergeCell ref="BB423:BF425"/>
    <mergeCell ref="BH406:BJ406"/>
    <mergeCell ref="AP406:AR406"/>
    <mergeCell ref="AS406:AW406"/>
    <mergeCell ref="AP407:AR409"/>
    <mergeCell ref="AS407:AW409"/>
    <mergeCell ref="AJ406:AN406"/>
    <mergeCell ref="AP410:AR410"/>
    <mergeCell ref="AS410:AW410"/>
    <mergeCell ref="AP411:AR413"/>
    <mergeCell ref="AS411:AW413"/>
    <mergeCell ref="AP414:AR416"/>
    <mergeCell ref="AS414:AW416"/>
    <mergeCell ref="AP417:AR419"/>
    <mergeCell ref="AS417:AW419"/>
    <mergeCell ref="AP420:AR422"/>
    <mergeCell ref="AS420:AW422"/>
    <mergeCell ref="AP423:AR425"/>
    <mergeCell ref="AS423:AW425"/>
    <mergeCell ref="X423:Z425"/>
    <mergeCell ref="AA423:AE425"/>
    <mergeCell ref="AG406:AI406"/>
    <mergeCell ref="AG407:AI409"/>
    <mergeCell ref="AJ407:AN409"/>
    <mergeCell ref="AG410:AI410"/>
    <mergeCell ref="AJ410:AN410"/>
    <mergeCell ref="AG411:AI413"/>
    <mergeCell ref="AJ411:AN413"/>
    <mergeCell ref="AG414:AI416"/>
    <mergeCell ref="AJ414:AN416"/>
    <mergeCell ref="AG417:AI419"/>
    <mergeCell ref="AJ417:AN419"/>
    <mergeCell ref="AG420:AI422"/>
    <mergeCell ref="AJ420:AN422"/>
    <mergeCell ref="AG423:AI425"/>
    <mergeCell ref="AJ423:AN425"/>
    <mergeCell ref="R423:V425"/>
    <mergeCell ref="CL214:CP216"/>
    <mergeCell ref="CI217:CK219"/>
    <mergeCell ref="CL217:CP219"/>
    <mergeCell ref="AG405:AN405"/>
    <mergeCell ref="AP405:AW405"/>
    <mergeCell ref="AY405:BF405"/>
    <mergeCell ref="BH405:BO405"/>
    <mergeCell ref="BQ405:BX405"/>
    <mergeCell ref="BZ405:CG405"/>
    <mergeCell ref="CI405:CP405"/>
    <mergeCell ref="X298:Z300"/>
    <mergeCell ref="AA298:AE300"/>
    <mergeCell ref="X301:Z301"/>
    <mergeCell ref="AA301:AE301"/>
    <mergeCell ref="X302:Z304"/>
    <mergeCell ref="AA302:AE304"/>
    <mergeCell ref="X406:Z406"/>
    <mergeCell ref="AA406:AE406"/>
    <mergeCell ref="X407:Z409"/>
    <mergeCell ref="AA407:AE409"/>
    <mergeCell ref="X410:Z410"/>
    <mergeCell ref="AA410:AE410"/>
    <mergeCell ref="X411:Z413"/>
    <mergeCell ref="AA411:AE413"/>
    <mergeCell ref="X414:Z416"/>
    <mergeCell ref="AA414:AE416"/>
    <mergeCell ref="X417:Z419"/>
    <mergeCell ref="AA417:AE419"/>
    <mergeCell ref="X420:Z422"/>
    <mergeCell ref="AA420:AE422"/>
    <mergeCell ref="X305:Z307"/>
    <mergeCell ref="F405:M405"/>
    <mergeCell ref="F406:H406"/>
    <mergeCell ref="I406:M406"/>
    <mergeCell ref="F407:H409"/>
    <mergeCell ref="I407:M409"/>
    <mergeCell ref="F410:H410"/>
    <mergeCell ref="I410:M410"/>
    <mergeCell ref="F411:H413"/>
    <mergeCell ref="I411:M413"/>
    <mergeCell ref="F414:H416"/>
    <mergeCell ref="I414:M416"/>
    <mergeCell ref="F417:H419"/>
    <mergeCell ref="I417:M419"/>
    <mergeCell ref="F420:H422"/>
    <mergeCell ref="I420:M422"/>
    <mergeCell ref="O405:V405"/>
    <mergeCell ref="X405:AE405"/>
    <mergeCell ref="O406:Q406"/>
    <mergeCell ref="R406:V406"/>
    <mergeCell ref="O407:Q409"/>
    <mergeCell ref="R407:V409"/>
    <mergeCell ref="O410:Q410"/>
    <mergeCell ref="R410:V410"/>
    <mergeCell ref="O411:Q413"/>
    <mergeCell ref="R411:V413"/>
    <mergeCell ref="O414:Q416"/>
    <mergeCell ref="R414:V416"/>
    <mergeCell ref="O417:Q419"/>
    <mergeCell ref="R417:V419"/>
    <mergeCell ref="O420:Q422"/>
    <mergeCell ref="R420:V422"/>
    <mergeCell ref="AA305:AE307"/>
    <mergeCell ref="X308:Z310"/>
    <mergeCell ref="AA308:AE310"/>
    <mergeCell ref="X311:Z313"/>
    <mergeCell ref="AA311:AE313"/>
    <mergeCell ref="X314:Z316"/>
    <mergeCell ref="AA314:AE316"/>
    <mergeCell ref="BZ199:CG199"/>
    <mergeCell ref="BZ200:CB200"/>
    <mergeCell ref="CC200:CG200"/>
    <mergeCell ref="BZ201:CB203"/>
    <mergeCell ref="CC201:CG203"/>
    <mergeCell ref="BZ204:CB204"/>
    <mergeCell ref="CC204:CG204"/>
    <mergeCell ref="BZ205:CB207"/>
    <mergeCell ref="CC205:CG207"/>
    <mergeCell ref="BZ208:CB210"/>
    <mergeCell ref="CC208:CG210"/>
    <mergeCell ref="BZ211:CB213"/>
    <mergeCell ref="CC211:CG213"/>
    <mergeCell ref="BZ214:CB216"/>
    <mergeCell ref="CC214:CG216"/>
    <mergeCell ref="BZ217:CB219"/>
    <mergeCell ref="CC217:CG219"/>
    <mergeCell ref="AP224:AR226"/>
    <mergeCell ref="AS224:AW226"/>
    <mergeCell ref="AP227:AR227"/>
    <mergeCell ref="AS227:AW227"/>
    <mergeCell ref="AP228:AR230"/>
    <mergeCell ref="AS228:AW230"/>
    <mergeCell ref="AP231:AR233"/>
    <mergeCell ref="AS231:AW233"/>
    <mergeCell ref="AP234:AR236"/>
    <mergeCell ref="AS234:AW236"/>
    <mergeCell ref="AP237:AR239"/>
    <mergeCell ref="AS237:AW239"/>
    <mergeCell ref="AP240:AR242"/>
    <mergeCell ref="AS240:AW242"/>
    <mergeCell ref="X296:AE296"/>
    <mergeCell ref="X297:Z297"/>
    <mergeCell ref="AA297:AE297"/>
    <mergeCell ref="O249:Q249"/>
    <mergeCell ref="R249:V249"/>
    <mergeCell ref="O250:Q252"/>
    <mergeCell ref="R250:V252"/>
    <mergeCell ref="O253:Q253"/>
    <mergeCell ref="R253:V253"/>
    <mergeCell ref="O254:Q256"/>
    <mergeCell ref="R254:V256"/>
    <mergeCell ref="O257:Q259"/>
    <mergeCell ref="R257:V259"/>
    <mergeCell ref="O260:Q262"/>
    <mergeCell ref="R260:V262"/>
    <mergeCell ref="O263:Q265"/>
    <mergeCell ref="R263:V265"/>
    <mergeCell ref="O266:Q268"/>
    <mergeCell ref="R266:V268"/>
    <mergeCell ref="O248:V248"/>
    <mergeCell ref="O237:Q239"/>
    <mergeCell ref="R237:V239"/>
    <mergeCell ref="X253:Z253"/>
    <mergeCell ref="AA253:AE253"/>
    <mergeCell ref="X254:Z256"/>
    <mergeCell ref="AA254:AE256"/>
    <mergeCell ref="X227:Z227"/>
    <mergeCell ref="AA227:AE227"/>
    <mergeCell ref="X228:Z230"/>
    <mergeCell ref="AA228:AE230"/>
    <mergeCell ref="X231:Z233"/>
    <mergeCell ref="AA231:AE233"/>
    <mergeCell ref="X234:Z236"/>
    <mergeCell ref="AA234:AE236"/>
    <mergeCell ref="X237:Z239"/>
    <mergeCell ref="AA237:AE239"/>
    <mergeCell ref="X240:Z242"/>
    <mergeCell ref="AA240:AE242"/>
    <mergeCell ref="AG222:AN222"/>
    <mergeCell ref="AG223:AI223"/>
    <mergeCell ref="AJ223:AN223"/>
    <mergeCell ref="AG224:AI226"/>
    <mergeCell ref="AJ224:AN226"/>
    <mergeCell ref="AG227:AI227"/>
    <mergeCell ref="AJ227:AN227"/>
    <mergeCell ref="AG228:AI230"/>
    <mergeCell ref="AJ228:AN230"/>
    <mergeCell ref="AG231:AI233"/>
    <mergeCell ref="AJ231:AN233"/>
    <mergeCell ref="AG234:AI236"/>
    <mergeCell ref="AJ234:AN236"/>
    <mergeCell ref="AG237:AI239"/>
    <mergeCell ref="AJ237:AN239"/>
    <mergeCell ref="AG240:AI242"/>
    <mergeCell ref="AJ240:AN242"/>
    <mergeCell ref="GW15:GY17"/>
    <mergeCell ref="GZ15:HD17"/>
    <mergeCell ref="HF15:HH17"/>
    <mergeCell ref="HI15:HM17"/>
    <mergeCell ref="GW18:GY20"/>
    <mergeCell ref="GZ18:HD20"/>
    <mergeCell ref="HF18:HH20"/>
    <mergeCell ref="HI18:HM20"/>
    <mergeCell ref="GW21:GY23"/>
    <mergeCell ref="GZ21:HD23"/>
    <mergeCell ref="HF21:HH23"/>
    <mergeCell ref="HI21:HM23"/>
    <mergeCell ref="GW24:GY26"/>
    <mergeCell ref="GZ24:HD26"/>
    <mergeCell ref="HF24:HH26"/>
    <mergeCell ref="HI24:HM26"/>
    <mergeCell ref="X222:AE222"/>
    <mergeCell ref="AP222:AW222"/>
    <mergeCell ref="CI199:CP199"/>
    <mergeCell ref="CI200:CK200"/>
    <mergeCell ref="CL200:CP200"/>
    <mergeCell ref="CI201:CK203"/>
    <mergeCell ref="CL201:CP203"/>
    <mergeCell ref="CI204:CK204"/>
    <mergeCell ref="CL204:CP204"/>
    <mergeCell ref="CI205:CK207"/>
    <mergeCell ref="CL205:CP207"/>
    <mergeCell ref="CI208:CK210"/>
    <mergeCell ref="CL208:CP210"/>
    <mergeCell ref="CI211:CK213"/>
    <mergeCell ref="CL211:CP213"/>
    <mergeCell ref="CI214:CK216"/>
    <mergeCell ref="GW6:HD6"/>
    <mergeCell ref="HF6:HM6"/>
    <mergeCell ref="GW7:GY7"/>
    <mergeCell ref="GZ7:HD7"/>
    <mergeCell ref="HF7:HH7"/>
    <mergeCell ref="HI7:HM7"/>
    <mergeCell ref="GW8:GY10"/>
    <mergeCell ref="GZ8:HD10"/>
    <mergeCell ref="HF8:HH10"/>
    <mergeCell ref="HI8:HM10"/>
    <mergeCell ref="GW11:GY11"/>
    <mergeCell ref="GZ11:HD11"/>
    <mergeCell ref="HF11:HH11"/>
    <mergeCell ref="HI11:HM11"/>
    <mergeCell ref="GW12:GY14"/>
    <mergeCell ref="GZ12:HD14"/>
    <mergeCell ref="HF12:HH14"/>
    <mergeCell ref="HI12:HM14"/>
    <mergeCell ref="CI29:CP29"/>
    <mergeCell ref="CI30:CK30"/>
    <mergeCell ref="CL30:CP30"/>
    <mergeCell ref="CI31:CK33"/>
    <mergeCell ref="CL31:CP33"/>
    <mergeCell ref="CI34:CK34"/>
    <mergeCell ref="CL34:CP34"/>
    <mergeCell ref="CI35:CK37"/>
    <mergeCell ref="CL35:CP37"/>
    <mergeCell ref="CI38:CK40"/>
    <mergeCell ref="CL38:CP40"/>
    <mergeCell ref="CI41:CK43"/>
    <mergeCell ref="CL41:CP43"/>
    <mergeCell ref="CI44:CK46"/>
    <mergeCell ref="CL44:CP46"/>
    <mergeCell ref="CI47:CK49"/>
    <mergeCell ref="CL47:CP49"/>
    <mergeCell ref="FM24:FO26"/>
    <mergeCell ref="FP24:FT26"/>
    <mergeCell ref="FV24:FX26"/>
    <mergeCell ref="FY24:GC26"/>
    <mergeCell ref="GE24:GG26"/>
    <mergeCell ref="GH24:GL26"/>
    <mergeCell ref="GN24:GP26"/>
    <mergeCell ref="GQ24:GU26"/>
    <mergeCell ref="FP15:FT17"/>
    <mergeCell ref="FV15:FX17"/>
    <mergeCell ref="FY15:GC17"/>
    <mergeCell ref="GE15:GG17"/>
    <mergeCell ref="GH15:GL17"/>
    <mergeCell ref="GN15:GP17"/>
    <mergeCell ref="GQ15:GU17"/>
    <mergeCell ref="FM18:FO20"/>
    <mergeCell ref="FP18:FT20"/>
    <mergeCell ref="FV18:FX20"/>
    <mergeCell ref="FY18:GC20"/>
    <mergeCell ref="GE18:GG20"/>
    <mergeCell ref="GH18:GL20"/>
    <mergeCell ref="GN18:GP20"/>
    <mergeCell ref="GQ18:GU20"/>
    <mergeCell ref="FM21:FO23"/>
    <mergeCell ref="FP21:FT23"/>
    <mergeCell ref="FV21:FX23"/>
    <mergeCell ref="FY21:GC23"/>
    <mergeCell ref="GE21:GG23"/>
    <mergeCell ref="GH21:GL23"/>
    <mergeCell ref="GN21:GP23"/>
    <mergeCell ref="GQ21:GU23"/>
    <mergeCell ref="FM15:FO17"/>
    <mergeCell ref="FY8:GC10"/>
    <mergeCell ref="GE8:GG10"/>
    <mergeCell ref="GH8:GL10"/>
    <mergeCell ref="GN8:GP10"/>
    <mergeCell ref="GQ8:GU10"/>
    <mergeCell ref="FM11:FO11"/>
    <mergeCell ref="FP11:FT11"/>
    <mergeCell ref="FV11:FX11"/>
    <mergeCell ref="FY11:GC11"/>
    <mergeCell ref="GE11:GG11"/>
    <mergeCell ref="GH11:GL11"/>
    <mergeCell ref="GN11:GP11"/>
    <mergeCell ref="GQ11:GU11"/>
    <mergeCell ref="FM12:FO14"/>
    <mergeCell ref="FP12:FT14"/>
    <mergeCell ref="FV12:FX14"/>
    <mergeCell ref="FY12:GC14"/>
    <mergeCell ref="GE12:GG14"/>
    <mergeCell ref="GH12:GL14"/>
    <mergeCell ref="GN12:GP14"/>
    <mergeCell ref="GQ12:GU14"/>
    <mergeCell ref="ET24:EV26"/>
    <mergeCell ref="EW24:FA26"/>
    <mergeCell ref="X21:Z23"/>
    <mergeCell ref="AA21:AE23"/>
    <mergeCell ref="ET6:FA6"/>
    <mergeCell ref="ET7:EV7"/>
    <mergeCell ref="EW7:FA7"/>
    <mergeCell ref="ET8:EV10"/>
    <mergeCell ref="EW8:FA10"/>
    <mergeCell ref="ET11:EV11"/>
    <mergeCell ref="EW11:FA11"/>
    <mergeCell ref="ET12:EV14"/>
    <mergeCell ref="EW12:FA14"/>
    <mergeCell ref="ET15:EV17"/>
    <mergeCell ref="EW15:FA17"/>
    <mergeCell ref="ET18:EV20"/>
    <mergeCell ref="EW18:FA20"/>
    <mergeCell ref="ET21:EV23"/>
    <mergeCell ref="EW21:FA23"/>
    <mergeCell ref="AG6:AN6"/>
    <mergeCell ref="AG7:AI7"/>
    <mergeCell ref="AJ7:AN7"/>
    <mergeCell ref="AG8:AI10"/>
    <mergeCell ref="AJ8:AN10"/>
    <mergeCell ref="AG11:AI11"/>
    <mergeCell ref="AJ11:AN11"/>
    <mergeCell ref="AG12:AI14"/>
    <mergeCell ref="AS12:AW14"/>
    <mergeCell ref="AP15:AR17"/>
    <mergeCell ref="AS15:AW17"/>
    <mergeCell ref="AP18:AR20"/>
    <mergeCell ref="AS18:AW20"/>
    <mergeCell ref="F21:H23"/>
    <mergeCell ref="I21:M23"/>
    <mergeCell ref="F24:H26"/>
    <mergeCell ref="I24:M26"/>
    <mergeCell ref="I7:M7"/>
    <mergeCell ref="F6:M6"/>
    <mergeCell ref="F12:H14"/>
    <mergeCell ref="I12:M14"/>
    <mergeCell ref="F15:H17"/>
    <mergeCell ref="I15:M17"/>
    <mergeCell ref="F18:H20"/>
    <mergeCell ref="I18:M20"/>
    <mergeCell ref="F7:H7"/>
    <mergeCell ref="F8:H10"/>
    <mergeCell ref="I8:M10"/>
    <mergeCell ref="F11:H11"/>
    <mergeCell ref="I11:M11"/>
    <mergeCell ref="O24:Q26"/>
    <mergeCell ref="R24:V26"/>
    <mergeCell ref="X6:AE6"/>
    <mergeCell ref="X7:Z7"/>
    <mergeCell ref="AA7:AE7"/>
    <mergeCell ref="X8:Z10"/>
    <mergeCell ref="AA8:AE10"/>
    <mergeCell ref="X11:Z11"/>
    <mergeCell ref="AA11:AE11"/>
    <mergeCell ref="X12:Z14"/>
    <mergeCell ref="R12:V14"/>
    <mergeCell ref="O15:Q17"/>
    <mergeCell ref="R15:V17"/>
    <mergeCell ref="O18:Q20"/>
    <mergeCell ref="R18:V20"/>
    <mergeCell ref="O21:Q23"/>
    <mergeCell ref="R21:V23"/>
    <mergeCell ref="O6:V6"/>
    <mergeCell ref="O7:Q7"/>
    <mergeCell ref="R7:V7"/>
    <mergeCell ref="O8:Q10"/>
    <mergeCell ref="R8:V10"/>
    <mergeCell ref="O11:Q11"/>
    <mergeCell ref="R11:V11"/>
    <mergeCell ref="O12:Q14"/>
    <mergeCell ref="X24:Z26"/>
    <mergeCell ref="AA24:AE26"/>
    <mergeCell ref="AA12:AE14"/>
    <mergeCell ref="X15:Z17"/>
    <mergeCell ref="AA15:AE17"/>
    <mergeCell ref="X18:Z20"/>
    <mergeCell ref="AA18:AE20"/>
    <mergeCell ref="AG24:AI26"/>
    <mergeCell ref="AJ24:AN26"/>
    <mergeCell ref="AJ12:AN14"/>
    <mergeCell ref="AG15:AI17"/>
    <mergeCell ref="AJ15:AN17"/>
    <mergeCell ref="AG18:AI20"/>
    <mergeCell ref="AJ18:AN20"/>
    <mergeCell ref="AG21:AI23"/>
    <mergeCell ref="AJ21:AN23"/>
    <mergeCell ref="AP6:AW6"/>
    <mergeCell ref="AP7:AR7"/>
    <mergeCell ref="AS7:AW7"/>
    <mergeCell ref="AP8:AR10"/>
    <mergeCell ref="AS8:AW10"/>
    <mergeCell ref="AP11:AR11"/>
    <mergeCell ref="AS11:AW11"/>
    <mergeCell ref="AP12:AR14"/>
    <mergeCell ref="AP24:AR26"/>
    <mergeCell ref="AS24:AW26"/>
    <mergeCell ref="AY6:BF6"/>
    <mergeCell ref="AY7:BA7"/>
    <mergeCell ref="BB7:BF7"/>
    <mergeCell ref="AY8:BA10"/>
    <mergeCell ref="BB8:BF10"/>
    <mergeCell ref="AY11:BA11"/>
    <mergeCell ref="BB11:BF11"/>
    <mergeCell ref="AY12:BA14"/>
    <mergeCell ref="AP21:AR23"/>
    <mergeCell ref="AS21:AW23"/>
    <mergeCell ref="AY24:BA26"/>
    <mergeCell ref="BB24:BF26"/>
    <mergeCell ref="BH24:BJ26"/>
    <mergeCell ref="BK24:BO26"/>
    <mergeCell ref="BQ6:BX6"/>
    <mergeCell ref="BQ7:BS7"/>
    <mergeCell ref="BT7:BX7"/>
    <mergeCell ref="BQ8:BS10"/>
    <mergeCell ref="BT8:BX10"/>
    <mergeCell ref="BQ11:BS11"/>
    <mergeCell ref="BK12:BO14"/>
    <mergeCell ref="BH15:BJ17"/>
    <mergeCell ref="BK15:BO17"/>
    <mergeCell ref="BH18:BJ20"/>
    <mergeCell ref="BK18:BO20"/>
    <mergeCell ref="BH21:BJ23"/>
    <mergeCell ref="BK21:BO23"/>
    <mergeCell ref="BH6:BO6"/>
    <mergeCell ref="BH7:BJ7"/>
    <mergeCell ref="BK7:BO7"/>
    <mergeCell ref="BH8:BJ10"/>
    <mergeCell ref="BK8:BO10"/>
    <mergeCell ref="BH11:BJ11"/>
    <mergeCell ref="BK11:BO11"/>
    <mergeCell ref="BH12:BJ14"/>
    <mergeCell ref="BB12:BF14"/>
    <mergeCell ref="AY15:BA17"/>
    <mergeCell ref="BB15:BF17"/>
    <mergeCell ref="AY18:BA20"/>
    <mergeCell ref="BB18:BF20"/>
    <mergeCell ref="AY21:BA23"/>
    <mergeCell ref="BB21:BF23"/>
    <mergeCell ref="CC21:CG23"/>
    <mergeCell ref="BQ24:BS26"/>
    <mergeCell ref="BT24:BX26"/>
    <mergeCell ref="CI24:CK26"/>
    <mergeCell ref="CL24:CP26"/>
    <mergeCell ref="BZ6:CG6"/>
    <mergeCell ref="BZ7:CB7"/>
    <mergeCell ref="CC7:CG7"/>
    <mergeCell ref="BZ8:CB10"/>
    <mergeCell ref="CC8:CG10"/>
    <mergeCell ref="BZ11:CB11"/>
    <mergeCell ref="CC11:CG11"/>
    <mergeCell ref="BZ12:CB14"/>
    <mergeCell ref="CL12:CP14"/>
    <mergeCell ref="CI15:CK17"/>
    <mergeCell ref="CL15:CP17"/>
    <mergeCell ref="CI18:CK20"/>
    <mergeCell ref="CL18:CP20"/>
    <mergeCell ref="CI21:CK23"/>
    <mergeCell ref="CL21:CP23"/>
    <mergeCell ref="BZ24:CB26"/>
    <mergeCell ref="CC24:CG26"/>
    <mergeCell ref="BT12:BX14"/>
    <mergeCell ref="BQ15:BS17"/>
    <mergeCell ref="BT15:BX17"/>
    <mergeCell ref="BQ18:BS20"/>
    <mergeCell ref="BT11:BX11"/>
    <mergeCell ref="BQ12:BS14"/>
    <mergeCell ref="BT18:BX20"/>
    <mergeCell ref="BQ21:BS23"/>
    <mergeCell ref="BT21:BX23"/>
    <mergeCell ref="CI6:CP6"/>
    <mergeCell ref="CI7:CK7"/>
    <mergeCell ref="CL7:CP7"/>
    <mergeCell ref="CI8:CK10"/>
    <mergeCell ref="CL8:CP10"/>
    <mergeCell ref="CI11:CK11"/>
    <mergeCell ref="CL11:CP11"/>
    <mergeCell ref="CI12:CK14"/>
    <mergeCell ref="DA21:DC23"/>
    <mergeCell ref="DD21:DH23"/>
    <mergeCell ref="DJ24:DL26"/>
    <mergeCell ref="DM24:DQ26"/>
    <mergeCell ref="DA6:DH6"/>
    <mergeCell ref="DA7:DC7"/>
    <mergeCell ref="DD7:DH7"/>
    <mergeCell ref="DA8:DC10"/>
    <mergeCell ref="DD8:DH10"/>
    <mergeCell ref="DA11:DC11"/>
    <mergeCell ref="DD11:DH11"/>
    <mergeCell ref="DA12:DC14"/>
    <mergeCell ref="CU12:CY14"/>
    <mergeCell ref="CR15:CT17"/>
    <mergeCell ref="CU15:CY17"/>
    <mergeCell ref="CR18:CT20"/>
    <mergeCell ref="CU18:CY20"/>
    <mergeCell ref="CR21:CT23"/>
    <mergeCell ref="CU21:CY23"/>
    <mergeCell ref="DA24:DC26"/>
    <mergeCell ref="DD24:DH26"/>
    <mergeCell ref="CR6:CY6"/>
    <mergeCell ref="CR7:CT7"/>
    <mergeCell ref="CU7:CY7"/>
    <mergeCell ref="CR8:CT10"/>
    <mergeCell ref="CU8:CY10"/>
    <mergeCell ref="CR11:CT11"/>
    <mergeCell ref="CU11:CY11"/>
    <mergeCell ref="CR12:CT14"/>
    <mergeCell ref="DS6:DZ6"/>
    <mergeCell ref="DS7:DU7"/>
    <mergeCell ref="DV7:DZ7"/>
    <mergeCell ref="DS8:DU10"/>
    <mergeCell ref="DV8:DZ10"/>
    <mergeCell ref="DS11:DU11"/>
    <mergeCell ref="DV11:DZ11"/>
    <mergeCell ref="DS12:DU14"/>
    <mergeCell ref="DM12:DQ14"/>
    <mergeCell ref="DJ15:DL17"/>
    <mergeCell ref="DM15:DQ17"/>
    <mergeCell ref="DD12:DH14"/>
    <mergeCell ref="DA15:DC17"/>
    <mergeCell ref="DD15:DH17"/>
    <mergeCell ref="DJ6:DQ6"/>
    <mergeCell ref="DJ7:DL7"/>
    <mergeCell ref="DM7:DQ7"/>
    <mergeCell ref="DJ8:DL10"/>
    <mergeCell ref="DM8:DQ10"/>
    <mergeCell ref="DJ11:DL11"/>
    <mergeCell ref="DM11:DQ11"/>
    <mergeCell ref="DJ12:DL14"/>
    <mergeCell ref="EB6:EI6"/>
    <mergeCell ref="EB7:ED7"/>
    <mergeCell ref="EE7:EI7"/>
    <mergeCell ref="EB8:ED10"/>
    <mergeCell ref="EE8:EI10"/>
    <mergeCell ref="EB11:ED11"/>
    <mergeCell ref="EE11:EI11"/>
    <mergeCell ref="EB12:ED14"/>
    <mergeCell ref="DV12:DZ14"/>
    <mergeCell ref="F29:M29"/>
    <mergeCell ref="O29:V29"/>
    <mergeCell ref="X29:AE29"/>
    <mergeCell ref="AG29:AN29"/>
    <mergeCell ref="AP29:AW29"/>
    <mergeCell ref="AY29:BF29"/>
    <mergeCell ref="EK18:EM20"/>
    <mergeCell ref="EN18:ER20"/>
    <mergeCell ref="EK21:EM23"/>
    <mergeCell ref="EN21:ER23"/>
    <mergeCell ref="EB24:ED26"/>
    <mergeCell ref="EE24:EI26"/>
    <mergeCell ref="EK6:ER6"/>
    <mergeCell ref="EK7:EM7"/>
    <mergeCell ref="EN7:ER7"/>
    <mergeCell ref="EK8:EM10"/>
    <mergeCell ref="EN8:ER10"/>
    <mergeCell ref="EK11:EM11"/>
    <mergeCell ref="EN11:ER11"/>
    <mergeCell ref="EK12:EM14"/>
    <mergeCell ref="EE12:EI14"/>
    <mergeCell ref="EB15:ED17"/>
    <mergeCell ref="EE15:EI17"/>
    <mergeCell ref="EB18:ED20"/>
    <mergeCell ref="EE18:EI20"/>
    <mergeCell ref="EB21:ED23"/>
    <mergeCell ref="EE21:EI23"/>
    <mergeCell ref="DJ18:DL20"/>
    <mergeCell ref="DM18:DQ20"/>
    <mergeCell ref="DJ21:DL23"/>
    <mergeCell ref="DM21:DQ23"/>
    <mergeCell ref="DS24:DU26"/>
    <mergeCell ref="AG31:AI33"/>
    <mergeCell ref="AJ31:AN33"/>
    <mergeCell ref="AP31:AR33"/>
    <mergeCell ref="AS31:AW33"/>
    <mergeCell ref="AY31:BA33"/>
    <mergeCell ref="BB31:BF33"/>
    <mergeCell ref="F31:H33"/>
    <mergeCell ref="I31:M33"/>
    <mergeCell ref="O31:Q33"/>
    <mergeCell ref="R31:V33"/>
    <mergeCell ref="X31:Z33"/>
    <mergeCell ref="AA31:AE33"/>
    <mergeCell ref="AG30:AI30"/>
    <mergeCell ref="AJ30:AN30"/>
    <mergeCell ref="AP30:AR30"/>
    <mergeCell ref="AS30:AW30"/>
    <mergeCell ref="AY30:BA30"/>
    <mergeCell ref="BB30:BF30"/>
    <mergeCell ref="F30:H30"/>
    <mergeCell ref="I30:M30"/>
    <mergeCell ref="O30:Q30"/>
    <mergeCell ref="R30:V30"/>
    <mergeCell ref="X30:Z30"/>
    <mergeCell ref="AA30:AE30"/>
    <mergeCell ref="AG35:AI37"/>
    <mergeCell ref="AJ35:AN37"/>
    <mergeCell ref="AP35:AR37"/>
    <mergeCell ref="AS35:AW37"/>
    <mergeCell ref="AY35:BA37"/>
    <mergeCell ref="BB35:BF37"/>
    <mergeCell ref="F35:H37"/>
    <mergeCell ref="I35:M37"/>
    <mergeCell ref="O35:Q37"/>
    <mergeCell ref="R35:V37"/>
    <mergeCell ref="X35:Z37"/>
    <mergeCell ref="AA35:AE37"/>
    <mergeCell ref="AG34:AI34"/>
    <mergeCell ref="AJ34:AN34"/>
    <mergeCell ref="AP34:AR34"/>
    <mergeCell ref="AS34:AW34"/>
    <mergeCell ref="AY34:BA34"/>
    <mergeCell ref="BB34:BF34"/>
    <mergeCell ref="F34:H34"/>
    <mergeCell ref="I34:M34"/>
    <mergeCell ref="O34:Q34"/>
    <mergeCell ref="R34:V34"/>
    <mergeCell ref="X34:Z34"/>
    <mergeCell ref="AA34:AE34"/>
    <mergeCell ref="F41:H43"/>
    <mergeCell ref="I41:M43"/>
    <mergeCell ref="O41:Q43"/>
    <mergeCell ref="R41:V43"/>
    <mergeCell ref="X41:Z43"/>
    <mergeCell ref="AA41:AE43"/>
    <mergeCell ref="AG38:AI40"/>
    <mergeCell ref="AJ38:AN40"/>
    <mergeCell ref="AP38:AR40"/>
    <mergeCell ref="AS38:AW40"/>
    <mergeCell ref="AY38:BA40"/>
    <mergeCell ref="BB38:BF40"/>
    <mergeCell ref="F38:H40"/>
    <mergeCell ref="I38:M40"/>
    <mergeCell ref="O38:Q40"/>
    <mergeCell ref="R38:V40"/>
    <mergeCell ref="X38:Z40"/>
    <mergeCell ref="AA38:AE40"/>
    <mergeCell ref="D6:D26"/>
    <mergeCell ref="D29:D49"/>
    <mergeCell ref="AG47:AI49"/>
    <mergeCell ref="AJ47:AN49"/>
    <mergeCell ref="AP47:AR49"/>
    <mergeCell ref="AS47:AW49"/>
    <mergeCell ref="AY47:BA49"/>
    <mergeCell ref="BB47:BF49"/>
    <mergeCell ref="F47:H49"/>
    <mergeCell ref="I47:M49"/>
    <mergeCell ref="O47:Q49"/>
    <mergeCell ref="R47:V49"/>
    <mergeCell ref="X47:Z49"/>
    <mergeCell ref="AA47:AE49"/>
    <mergeCell ref="AG44:AI46"/>
    <mergeCell ref="AJ44:AN46"/>
    <mergeCell ref="AP44:AR46"/>
    <mergeCell ref="AS44:AW46"/>
    <mergeCell ref="AY44:BA46"/>
    <mergeCell ref="BB44:BF46"/>
    <mergeCell ref="F44:H46"/>
    <mergeCell ref="I44:M46"/>
    <mergeCell ref="O44:Q46"/>
    <mergeCell ref="R44:V46"/>
    <mergeCell ref="X44:Z46"/>
    <mergeCell ref="AA44:AE46"/>
    <mergeCell ref="AG41:AI43"/>
    <mergeCell ref="AJ41:AN43"/>
    <mergeCell ref="AP41:AR43"/>
    <mergeCell ref="AS41:AW43"/>
    <mergeCell ref="AY41:BA43"/>
    <mergeCell ref="BB41:BF43"/>
    <mergeCell ref="AY52:BF52"/>
    <mergeCell ref="F53:H53"/>
    <mergeCell ref="I53:M53"/>
    <mergeCell ref="O53:Q53"/>
    <mergeCell ref="R53:V53"/>
    <mergeCell ref="X53:Z53"/>
    <mergeCell ref="AA53:AE53"/>
    <mergeCell ref="AG53:AI53"/>
    <mergeCell ref="D52:D72"/>
    <mergeCell ref="F52:M52"/>
    <mergeCell ref="O52:V52"/>
    <mergeCell ref="X52:AE52"/>
    <mergeCell ref="AG52:AN52"/>
    <mergeCell ref="AP52:AW52"/>
    <mergeCell ref="F57:H57"/>
    <mergeCell ref="I57:M57"/>
    <mergeCell ref="O57:Q57"/>
    <mergeCell ref="AJ54:AN56"/>
    <mergeCell ref="AP54:AR56"/>
    <mergeCell ref="AS54:AW56"/>
    <mergeCell ref="AY54:BA56"/>
    <mergeCell ref="BB54:BF56"/>
    <mergeCell ref="F54:H56"/>
    <mergeCell ref="I54:M56"/>
    <mergeCell ref="O54:Q56"/>
    <mergeCell ref="R54:V56"/>
    <mergeCell ref="X54:Z56"/>
    <mergeCell ref="AA54:AE56"/>
    <mergeCell ref="AG54:AI56"/>
    <mergeCell ref="AJ53:AN53"/>
    <mergeCell ref="AP53:AR53"/>
    <mergeCell ref="AS53:AW53"/>
    <mergeCell ref="AY53:BA53"/>
    <mergeCell ref="BB53:BF53"/>
    <mergeCell ref="AJ58:AN60"/>
    <mergeCell ref="AP58:AR60"/>
    <mergeCell ref="AS58:AW60"/>
    <mergeCell ref="AY58:BA60"/>
    <mergeCell ref="BB58:BF60"/>
    <mergeCell ref="F58:H60"/>
    <mergeCell ref="I58:M60"/>
    <mergeCell ref="O58:Q60"/>
    <mergeCell ref="R58:V60"/>
    <mergeCell ref="X58:Z60"/>
    <mergeCell ref="AA58:AE60"/>
    <mergeCell ref="AG58:AI60"/>
    <mergeCell ref="AJ57:AN57"/>
    <mergeCell ref="AP57:AR57"/>
    <mergeCell ref="AS57:AW57"/>
    <mergeCell ref="AY57:BA57"/>
    <mergeCell ref="BB57:BF57"/>
    <mergeCell ref="R57:V57"/>
    <mergeCell ref="X57:Z57"/>
    <mergeCell ref="AA57:AE57"/>
    <mergeCell ref="AG57:AI57"/>
    <mergeCell ref="AJ64:AN66"/>
    <mergeCell ref="AP64:AR66"/>
    <mergeCell ref="AS64:AW66"/>
    <mergeCell ref="AY64:BA66"/>
    <mergeCell ref="BB64:BF66"/>
    <mergeCell ref="F64:H66"/>
    <mergeCell ref="I64:M66"/>
    <mergeCell ref="O64:Q66"/>
    <mergeCell ref="R64:V66"/>
    <mergeCell ref="X64:Z66"/>
    <mergeCell ref="AA64:AE66"/>
    <mergeCell ref="AG64:AI66"/>
    <mergeCell ref="AJ61:AN63"/>
    <mergeCell ref="AP61:AR63"/>
    <mergeCell ref="AS61:AW63"/>
    <mergeCell ref="AY61:BA63"/>
    <mergeCell ref="BB61:BF63"/>
    <mergeCell ref="F61:H63"/>
    <mergeCell ref="I61:M63"/>
    <mergeCell ref="O61:Q63"/>
    <mergeCell ref="R61:V63"/>
    <mergeCell ref="X61:Z63"/>
    <mergeCell ref="AA61:AE63"/>
    <mergeCell ref="AG61:AI63"/>
    <mergeCell ref="AP70:AR72"/>
    <mergeCell ref="AS70:AW72"/>
    <mergeCell ref="AY70:BA72"/>
    <mergeCell ref="BB70:BF72"/>
    <mergeCell ref="F70:H72"/>
    <mergeCell ref="I70:M72"/>
    <mergeCell ref="O70:Q72"/>
    <mergeCell ref="R70:V72"/>
    <mergeCell ref="X70:Z72"/>
    <mergeCell ref="AA70:AE72"/>
    <mergeCell ref="AG70:AI72"/>
    <mergeCell ref="AJ67:AN69"/>
    <mergeCell ref="AP67:AR69"/>
    <mergeCell ref="AS67:AW69"/>
    <mergeCell ref="AY67:BA69"/>
    <mergeCell ref="BB67:BF69"/>
    <mergeCell ref="F67:H69"/>
    <mergeCell ref="I67:M69"/>
    <mergeCell ref="O67:Q69"/>
    <mergeCell ref="R67:V69"/>
    <mergeCell ref="X67:Z69"/>
    <mergeCell ref="AA67:AE69"/>
    <mergeCell ref="AG67:AI69"/>
    <mergeCell ref="AJ70:AN72"/>
    <mergeCell ref="F90:H92"/>
    <mergeCell ref="I90:M92"/>
    <mergeCell ref="F87:H89"/>
    <mergeCell ref="I87:M89"/>
    <mergeCell ref="F84:H86"/>
    <mergeCell ref="I84:M86"/>
    <mergeCell ref="F81:H83"/>
    <mergeCell ref="I81:M83"/>
    <mergeCell ref="F80:H80"/>
    <mergeCell ref="I80:M80"/>
    <mergeCell ref="F77:H79"/>
    <mergeCell ref="I77:M79"/>
    <mergeCell ref="F76:H76"/>
    <mergeCell ref="I76:M76"/>
    <mergeCell ref="D75:D95"/>
    <mergeCell ref="F75:M75"/>
    <mergeCell ref="R103:V103"/>
    <mergeCell ref="F100:H102"/>
    <mergeCell ref="I100:M102"/>
    <mergeCell ref="O100:Q102"/>
    <mergeCell ref="R100:V102"/>
    <mergeCell ref="F99:H99"/>
    <mergeCell ref="I99:M99"/>
    <mergeCell ref="O99:Q99"/>
    <mergeCell ref="R99:V99"/>
    <mergeCell ref="D98:D118"/>
    <mergeCell ref="F98:M98"/>
    <mergeCell ref="O98:V98"/>
    <mergeCell ref="F103:H103"/>
    <mergeCell ref="I103:M103"/>
    <mergeCell ref="O103:Q103"/>
    <mergeCell ref="F93:H95"/>
    <mergeCell ref="I93:M95"/>
    <mergeCell ref="F116:H118"/>
    <mergeCell ref="I116:M118"/>
    <mergeCell ref="O116:Q118"/>
    <mergeCell ref="R116:V118"/>
    <mergeCell ref="F113:H115"/>
    <mergeCell ref="I113:M115"/>
    <mergeCell ref="O113:Q115"/>
    <mergeCell ref="R113:V115"/>
    <mergeCell ref="F110:H112"/>
    <mergeCell ref="I110:M112"/>
    <mergeCell ref="O110:Q112"/>
    <mergeCell ref="R110:V112"/>
    <mergeCell ref="F107:H109"/>
    <mergeCell ref="I107:M109"/>
    <mergeCell ref="O107:Q109"/>
    <mergeCell ref="R107:V109"/>
    <mergeCell ref="F104:H106"/>
    <mergeCell ref="I104:M106"/>
    <mergeCell ref="O104:Q106"/>
    <mergeCell ref="R104:V106"/>
    <mergeCell ref="BQ122:BS122"/>
    <mergeCell ref="BT122:BX122"/>
    <mergeCell ref="F123:H125"/>
    <mergeCell ref="I123:M125"/>
    <mergeCell ref="O123:Q125"/>
    <mergeCell ref="R123:V125"/>
    <mergeCell ref="X123:Z125"/>
    <mergeCell ref="AA123:AE125"/>
    <mergeCell ref="AG123:AI125"/>
    <mergeCell ref="AJ123:AN125"/>
    <mergeCell ref="AP122:AR122"/>
    <mergeCell ref="AS122:AW122"/>
    <mergeCell ref="AY122:BA122"/>
    <mergeCell ref="BB122:BF122"/>
    <mergeCell ref="BH122:BJ122"/>
    <mergeCell ref="BK122:BO122"/>
    <mergeCell ref="BH121:BO121"/>
    <mergeCell ref="BQ121:BX121"/>
    <mergeCell ref="F122:H122"/>
    <mergeCell ref="I122:M122"/>
    <mergeCell ref="O122:Q122"/>
    <mergeCell ref="R122:V122"/>
    <mergeCell ref="X122:Z122"/>
    <mergeCell ref="AA122:AE122"/>
    <mergeCell ref="AG122:AI122"/>
    <mergeCell ref="AJ122:AN122"/>
    <mergeCell ref="F121:M121"/>
    <mergeCell ref="O121:V121"/>
    <mergeCell ref="X121:AE121"/>
    <mergeCell ref="AG121:AN121"/>
    <mergeCell ref="AP121:AW121"/>
    <mergeCell ref="AY121:BF121"/>
    <mergeCell ref="BQ126:BS126"/>
    <mergeCell ref="BT126:BX126"/>
    <mergeCell ref="F127:H129"/>
    <mergeCell ref="I127:M129"/>
    <mergeCell ref="O127:Q129"/>
    <mergeCell ref="R127:V129"/>
    <mergeCell ref="X127:Z129"/>
    <mergeCell ref="AA127:AE129"/>
    <mergeCell ref="AG127:AI129"/>
    <mergeCell ref="AJ127:AN129"/>
    <mergeCell ref="AP126:AR126"/>
    <mergeCell ref="AS126:AW126"/>
    <mergeCell ref="AY126:BA126"/>
    <mergeCell ref="BB126:BF126"/>
    <mergeCell ref="BH126:BJ126"/>
    <mergeCell ref="BK126:BO126"/>
    <mergeCell ref="BQ123:BS125"/>
    <mergeCell ref="BT123:BX125"/>
    <mergeCell ref="F126:H126"/>
    <mergeCell ref="I126:M126"/>
    <mergeCell ref="O126:Q126"/>
    <mergeCell ref="R126:V126"/>
    <mergeCell ref="X126:Z126"/>
    <mergeCell ref="AA126:AE126"/>
    <mergeCell ref="AG126:AI126"/>
    <mergeCell ref="AJ126:AN126"/>
    <mergeCell ref="AP123:AR125"/>
    <mergeCell ref="AS123:AW125"/>
    <mergeCell ref="AY123:BA125"/>
    <mergeCell ref="BB123:BF125"/>
    <mergeCell ref="BH123:BJ125"/>
    <mergeCell ref="BK123:BO125"/>
    <mergeCell ref="BQ130:BS132"/>
    <mergeCell ref="BT130:BX132"/>
    <mergeCell ref="F133:H135"/>
    <mergeCell ref="I133:M135"/>
    <mergeCell ref="O133:Q135"/>
    <mergeCell ref="R133:V135"/>
    <mergeCell ref="X133:Z135"/>
    <mergeCell ref="AA133:AE135"/>
    <mergeCell ref="AG133:AI135"/>
    <mergeCell ref="AJ133:AN135"/>
    <mergeCell ref="AP130:AR132"/>
    <mergeCell ref="AS130:AW132"/>
    <mergeCell ref="AY130:BA132"/>
    <mergeCell ref="BB130:BF132"/>
    <mergeCell ref="BH130:BJ132"/>
    <mergeCell ref="BK130:BO132"/>
    <mergeCell ref="BQ127:BS129"/>
    <mergeCell ref="BT127:BX129"/>
    <mergeCell ref="F130:H132"/>
    <mergeCell ref="I130:M132"/>
    <mergeCell ref="O130:Q132"/>
    <mergeCell ref="R130:V132"/>
    <mergeCell ref="X130:Z132"/>
    <mergeCell ref="AA130:AE132"/>
    <mergeCell ref="AG130:AI132"/>
    <mergeCell ref="AJ130:AN132"/>
    <mergeCell ref="AP127:AR129"/>
    <mergeCell ref="AS127:AW129"/>
    <mergeCell ref="AY127:BA129"/>
    <mergeCell ref="BB127:BF129"/>
    <mergeCell ref="BH127:BJ129"/>
    <mergeCell ref="BK127:BO129"/>
    <mergeCell ref="R139:V141"/>
    <mergeCell ref="X139:Z141"/>
    <mergeCell ref="AA139:AE141"/>
    <mergeCell ref="AG139:AI141"/>
    <mergeCell ref="AJ139:AN141"/>
    <mergeCell ref="AP136:AR138"/>
    <mergeCell ref="AS136:AW138"/>
    <mergeCell ref="AY136:BA138"/>
    <mergeCell ref="BB136:BF138"/>
    <mergeCell ref="BH136:BJ138"/>
    <mergeCell ref="BK136:BO138"/>
    <mergeCell ref="BQ133:BS135"/>
    <mergeCell ref="BT133:BX135"/>
    <mergeCell ref="F136:H138"/>
    <mergeCell ref="I136:M138"/>
    <mergeCell ref="O136:Q138"/>
    <mergeCell ref="R136:V138"/>
    <mergeCell ref="X136:Z138"/>
    <mergeCell ref="AA136:AE138"/>
    <mergeCell ref="AG136:AI138"/>
    <mergeCell ref="AJ136:AN138"/>
    <mergeCell ref="AP133:AR135"/>
    <mergeCell ref="AS133:AW135"/>
    <mergeCell ref="AY133:BA135"/>
    <mergeCell ref="BB133:BF135"/>
    <mergeCell ref="BH133:BJ135"/>
    <mergeCell ref="BK133:BO135"/>
    <mergeCell ref="F162:H164"/>
    <mergeCell ref="I162:M164"/>
    <mergeCell ref="F159:H161"/>
    <mergeCell ref="I159:M161"/>
    <mergeCell ref="F156:H158"/>
    <mergeCell ref="I156:M158"/>
    <mergeCell ref="F153:H155"/>
    <mergeCell ref="I153:M155"/>
    <mergeCell ref="F150:H152"/>
    <mergeCell ref="I150:M152"/>
    <mergeCell ref="F146:H148"/>
    <mergeCell ref="I146:M148"/>
    <mergeCell ref="F145:H145"/>
    <mergeCell ref="I145:M145"/>
    <mergeCell ref="BQ139:BS141"/>
    <mergeCell ref="BT139:BX141"/>
    <mergeCell ref="D144:D164"/>
    <mergeCell ref="F144:M144"/>
    <mergeCell ref="AP139:AR141"/>
    <mergeCell ref="AS139:AW141"/>
    <mergeCell ref="AY139:BA141"/>
    <mergeCell ref="BB139:BF141"/>
    <mergeCell ref="BH139:BJ141"/>
    <mergeCell ref="BK139:BO141"/>
    <mergeCell ref="F149:H149"/>
    <mergeCell ref="I149:M149"/>
    <mergeCell ref="D121:D141"/>
    <mergeCell ref="BQ136:BS138"/>
    <mergeCell ref="BT136:BX138"/>
    <mergeCell ref="F139:H141"/>
    <mergeCell ref="I139:M141"/>
    <mergeCell ref="O139:Q141"/>
    <mergeCell ref="AY200:BA200"/>
    <mergeCell ref="BB200:BF200"/>
    <mergeCell ref="BH200:BJ200"/>
    <mergeCell ref="O224:Q226"/>
    <mergeCell ref="R224:V226"/>
    <mergeCell ref="BQ217:BS219"/>
    <mergeCell ref="BT217:BX219"/>
    <mergeCell ref="AP217:AR219"/>
    <mergeCell ref="AS217:AW219"/>
    <mergeCell ref="AY217:BA219"/>
    <mergeCell ref="BB217:BF219"/>
    <mergeCell ref="BH217:BJ219"/>
    <mergeCell ref="BK217:BO219"/>
    <mergeCell ref="BQ201:BS203"/>
    <mergeCell ref="BT201:BX203"/>
    <mergeCell ref="BQ208:BS210"/>
    <mergeCell ref="BT208:BX210"/>
    <mergeCell ref="BH211:BJ213"/>
    <mergeCell ref="BK211:BO213"/>
    <mergeCell ref="BQ211:BS213"/>
    <mergeCell ref="BT211:BX213"/>
    <mergeCell ref="O222:V222"/>
    <mergeCell ref="X224:Z226"/>
    <mergeCell ref="AA224:AE226"/>
    <mergeCell ref="BT200:BX200"/>
    <mergeCell ref="BQ205:BS207"/>
    <mergeCell ref="BT205:BX207"/>
    <mergeCell ref="AP200:AR200"/>
    <mergeCell ref="AS200:AW200"/>
    <mergeCell ref="AA204:AE204"/>
    <mergeCell ref="AG204:AI204"/>
    <mergeCell ref="AJ204:AN204"/>
    <mergeCell ref="F208:H210"/>
    <mergeCell ref="O240:Q242"/>
    <mergeCell ref="R240:V242"/>
    <mergeCell ref="AP205:AR207"/>
    <mergeCell ref="AS205:AW207"/>
    <mergeCell ref="AY205:BA207"/>
    <mergeCell ref="BB205:BF207"/>
    <mergeCell ref="BH205:BJ207"/>
    <mergeCell ref="BK205:BO207"/>
    <mergeCell ref="BB201:BF203"/>
    <mergeCell ref="BH201:BJ203"/>
    <mergeCell ref="BK201:BO203"/>
    <mergeCell ref="AA208:AE210"/>
    <mergeCell ref="AG208:AI210"/>
    <mergeCell ref="AJ208:AN210"/>
    <mergeCell ref="AP208:AR210"/>
    <mergeCell ref="AS208:AW210"/>
    <mergeCell ref="AY208:BA210"/>
    <mergeCell ref="BB208:BF210"/>
    <mergeCell ref="BH208:BJ210"/>
    <mergeCell ref="BK208:BO210"/>
    <mergeCell ref="O217:Q219"/>
    <mergeCell ref="R217:V219"/>
    <mergeCell ref="X217:Z219"/>
    <mergeCell ref="AA217:AE219"/>
    <mergeCell ref="AG217:AI219"/>
    <mergeCell ref="AJ217:AN219"/>
    <mergeCell ref="F204:H204"/>
    <mergeCell ref="I204:M204"/>
    <mergeCell ref="O204:Q204"/>
    <mergeCell ref="R204:V204"/>
    <mergeCell ref="X204:Z204"/>
    <mergeCell ref="I171:M173"/>
    <mergeCell ref="FF11:FJ11"/>
    <mergeCell ref="FC12:FE14"/>
    <mergeCell ref="FF12:FJ14"/>
    <mergeCell ref="FC18:FE20"/>
    <mergeCell ref="FF18:FJ20"/>
    <mergeCell ref="FC15:FE17"/>
    <mergeCell ref="FF15:FJ17"/>
    <mergeCell ref="BZ41:CB43"/>
    <mergeCell ref="CC41:CG43"/>
    <mergeCell ref="F170:H170"/>
    <mergeCell ref="I170:M170"/>
    <mergeCell ref="D169:D189"/>
    <mergeCell ref="F169:M169"/>
    <mergeCell ref="F174:H174"/>
    <mergeCell ref="I174:M174"/>
    <mergeCell ref="F201:H203"/>
    <mergeCell ref="I201:M203"/>
    <mergeCell ref="O201:Q203"/>
    <mergeCell ref="R201:V203"/>
    <mergeCell ref="X201:Z203"/>
    <mergeCell ref="AA201:AE203"/>
    <mergeCell ref="AG201:AI203"/>
    <mergeCell ref="AJ201:AN203"/>
    <mergeCell ref="AP201:AR203"/>
    <mergeCell ref="AS201:AW203"/>
    <mergeCell ref="AY201:BA203"/>
    <mergeCell ref="F200:H200"/>
    <mergeCell ref="I200:M200"/>
    <mergeCell ref="O200:Q200"/>
    <mergeCell ref="R200:V200"/>
    <mergeCell ref="X200:Z200"/>
    <mergeCell ref="BQ31:BS33"/>
    <mergeCell ref="BT31:BX33"/>
    <mergeCell ref="BQ34:BS34"/>
    <mergeCell ref="BT34:BX34"/>
    <mergeCell ref="BZ31:CB33"/>
    <mergeCell ref="EK24:EM26"/>
    <mergeCell ref="EN24:ER26"/>
    <mergeCell ref="EN12:ER14"/>
    <mergeCell ref="EK15:EM17"/>
    <mergeCell ref="EN15:ER17"/>
    <mergeCell ref="FC6:FJ6"/>
    <mergeCell ref="FC7:FE7"/>
    <mergeCell ref="FF7:FJ7"/>
    <mergeCell ref="F187:H189"/>
    <mergeCell ref="I187:M189"/>
    <mergeCell ref="F205:H207"/>
    <mergeCell ref="I205:M207"/>
    <mergeCell ref="O205:Q207"/>
    <mergeCell ref="R205:V207"/>
    <mergeCell ref="X205:Z207"/>
    <mergeCell ref="AA205:AE207"/>
    <mergeCell ref="AG205:AI207"/>
    <mergeCell ref="AJ205:AN207"/>
    <mergeCell ref="F184:H186"/>
    <mergeCell ref="I184:M186"/>
    <mergeCell ref="F181:H183"/>
    <mergeCell ref="I181:M183"/>
    <mergeCell ref="F178:H180"/>
    <mergeCell ref="I178:M180"/>
    <mergeCell ref="F175:H177"/>
    <mergeCell ref="I175:M177"/>
    <mergeCell ref="F171:H173"/>
    <mergeCell ref="FC21:FE23"/>
    <mergeCell ref="FF21:FJ23"/>
    <mergeCell ref="FC24:FE26"/>
    <mergeCell ref="FF24:FJ26"/>
    <mergeCell ref="FC8:FE10"/>
    <mergeCell ref="FF8:FJ10"/>
    <mergeCell ref="FC11:FE11"/>
    <mergeCell ref="CC31:CG33"/>
    <mergeCell ref="BZ34:CB34"/>
    <mergeCell ref="CC34:CG34"/>
    <mergeCell ref="BZ35:CB37"/>
    <mergeCell ref="CC35:CG37"/>
    <mergeCell ref="BZ38:CB40"/>
    <mergeCell ref="CC38:CG40"/>
    <mergeCell ref="DA18:DC20"/>
    <mergeCell ref="DD18:DH20"/>
    <mergeCell ref="BT30:BX30"/>
    <mergeCell ref="DV24:DZ26"/>
    <mergeCell ref="DS15:DU17"/>
    <mergeCell ref="DV15:DZ17"/>
    <mergeCell ref="DS18:DU20"/>
    <mergeCell ref="DV18:DZ20"/>
    <mergeCell ref="DS21:DU23"/>
    <mergeCell ref="DV21:DZ23"/>
    <mergeCell ref="CR24:CT26"/>
    <mergeCell ref="CU24:CY26"/>
    <mergeCell ref="CC12:CG14"/>
    <mergeCell ref="BZ15:CB17"/>
    <mergeCell ref="CC15:CG17"/>
    <mergeCell ref="BZ18:CB20"/>
    <mergeCell ref="CC18:CG20"/>
    <mergeCell ref="BZ21:CB23"/>
    <mergeCell ref="BZ44:CB46"/>
    <mergeCell ref="CC44:CG46"/>
    <mergeCell ref="BZ47:CB49"/>
    <mergeCell ref="CC47:CG49"/>
    <mergeCell ref="BH29:BO29"/>
    <mergeCell ref="BH30:BJ30"/>
    <mergeCell ref="BK30:BO30"/>
    <mergeCell ref="BH31:BJ33"/>
    <mergeCell ref="BK31:BO33"/>
    <mergeCell ref="BH34:BJ34"/>
    <mergeCell ref="BK34:BO34"/>
    <mergeCell ref="BH35:BJ37"/>
    <mergeCell ref="BK35:BO37"/>
    <mergeCell ref="BH38:BJ40"/>
    <mergeCell ref="BK38:BO40"/>
    <mergeCell ref="BH41:BJ43"/>
    <mergeCell ref="BK41:BO43"/>
    <mergeCell ref="BH44:BJ46"/>
    <mergeCell ref="BK44:BO46"/>
    <mergeCell ref="BH47:BJ49"/>
    <mergeCell ref="BK47:BO49"/>
    <mergeCell ref="BQ29:BX29"/>
    <mergeCell ref="BQ30:BS30"/>
    <mergeCell ref="BQ47:BS49"/>
    <mergeCell ref="BT47:BX49"/>
    <mergeCell ref="BZ29:CG29"/>
    <mergeCell ref="BZ30:CB30"/>
    <mergeCell ref="CC30:CG30"/>
    <mergeCell ref="BQ35:BS37"/>
    <mergeCell ref="BT35:BX37"/>
    <mergeCell ref="BQ38:BS40"/>
    <mergeCell ref="BT38:BX40"/>
    <mergeCell ref="FM6:FT6"/>
    <mergeCell ref="FV6:GC6"/>
    <mergeCell ref="GE6:GL6"/>
    <mergeCell ref="GN6:GU6"/>
    <mergeCell ref="FM7:FO7"/>
    <mergeCell ref="FP7:FT7"/>
    <mergeCell ref="FV7:FX7"/>
    <mergeCell ref="FY7:GC7"/>
    <mergeCell ref="GE7:GG7"/>
    <mergeCell ref="GH7:GL7"/>
    <mergeCell ref="GN7:GP7"/>
    <mergeCell ref="GQ7:GU7"/>
    <mergeCell ref="FM8:FO10"/>
    <mergeCell ref="FP8:FT10"/>
    <mergeCell ref="FV8:FX10"/>
    <mergeCell ref="D199:D219"/>
    <mergeCell ref="F199:M199"/>
    <mergeCell ref="O199:V199"/>
    <mergeCell ref="X199:AE199"/>
    <mergeCell ref="AG199:AN199"/>
    <mergeCell ref="AP199:AW199"/>
    <mergeCell ref="AY199:BF199"/>
    <mergeCell ref="BH199:BO199"/>
    <mergeCell ref="BQ199:BX199"/>
    <mergeCell ref="BQ41:BS43"/>
    <mergeCell ref="BT41:BX43"/>
    <mergeCell ref="BQ44:BS46"/>
    <mergeCell ref="BT44:BX46"/>
    <mergeCell ref="I208:M210"/>
    <mergeCell ref="O208:Q210"/>
    <mergeCell ref="R208:V210"/>
    <mergeCell ref="X208:Z210"/>
    <mergeCell ref="AP204:AR204"/>
    <mergeCell ref="AS204:AW204"/>
    <mergeCell ref="AY204:BA204"/>
    <mergeCell ref="BB204:BF204"/>
    <mergeCell ref="BH204:BJ204"/>
    <mergeCell ref="BK204:BO204"/>
    <mergeCell ref="BQ204:BS204"/>
    <mergeCell ref="BT204:BX204"/>
    <mergeCell ref="BH214:BJ216"/>
    <mergeCell ref="BK214:BO216"/>
    <mergeCell ref="BQ214:BS216"/>
    <mergeCell ref="BT214:BX216"/>
    <mergeCell ref="F211:H213"/>
    <mergeCell ref="I211:M213"/>
    <mergeCell ref="O211:Q213"/>
    <mergeCell ref="R211:V213"/>
    <mergeCell ref="X211:Z213"/>
    <mergeCell ref="AA211:AE213"/>
    <mergeCell ref="AG211:AI213"/>
    <mergeCell ref="AJ211:AN213"/>
    <mergeCell ref="AP211:AR213"/>
    <mergeCell ref="AS211:AW213"/>
    <mergeCell ref="AY211:BA213"/>
    <mergeCell ref="BB211:BF213"/>
    <mergeCell ref="F214:H216"/>
    <mergeCell ref="I214:M216"/>
    <mergeCell ref="O214:Q216"/>
    <mergeCell ref="R214:V216"/>
    <mergeCell ref="X214:Z216"/>
    <mergeCell ref="AA214:AE216"/>
    <mergeCell ref="AG214:AI216"/>
    <mergeCell ref="AJ214:AN216"/>
    <mergeCell ref="AP214:AR216"/>
    <mergeCell ref="AS214:AW216"/>
    <mergeCell ref="AY214:BA216"/>
    <mergeCell ref="BB214:BF216"/>
    <mergeCell ref="F217:H219"/>
    <mergeCell ref="I217:M219"/>
    <mergeCell ref="X223:Z223"/>
    <mergeCell ref="AA223:AE223"/>
    <mergeCell ref="AP223:AR223"/>
    <mergeCell ref="AS223:AW223"/>
    <mergeCell ref="F240:H242"/>
    <mergeCell ref="I240:M242"/>
    <mergeCell ref="D222:D242"/>
    <mergeCell ref="F222:M222"/>
    <mergeCell ref="F237:H239"/>
    <mergeCell ref="I237:M239"/>
    <mergeCell ref="F224:H226"/>
    <mergeCell ref="I224:M226"/>
    <mergeCell ref="F234:H236"/>
    <mergeCell ref="I234:M236"/>
    <mergeCell ref="O234:Q236"/>
    <mergeCell ref="R234:V236"/>
    <mergeCell ref="F231:H233"/>
    <mergeCell ref="I231:M233"/>
    <mergeCell ref="O231:Q233"/>
    <mergeCell ref="R231:V233"/>
    <mergeCell ref="F228:H230"/>
    <mergeCell ref="I228:M230"/>
    <mergeCell ref="O228:Q230"/>
    <mergeCell ref="R228:V230"/>
    <mergeCell ref="F227:H227"/>
    <mergeCell ref="I227:M227"/>
    <mergeCell ref="O227:Q227"/>
    <mergeCell ref="R227:V227"/>
    <mergeCell ref="F223:H223"/>
    <mergeCell ref="I223:M223"/>
    <mergeCell ref="O223:Q223"/>
    <mergeCell ref="R223:V223"/>
    <mergeCell ref="F263:H265"/>
    <mergeCell ref="I263:M265"/>
    <mergeCell ref="F266:H268"/>
    <mergeCell ref="I266:M268"/>
    <mergeCell ref="F257:H259"/>
    <mergeCell ref="I257:M259"/>
    <mergeCell ref="F260:H262"/>
    <mergeCell ref="I260:M262"/>
    <mergeCell ref="I253:M253"/>
    <mergeCell ref="F254:H256"/>
    <mergeCell ref="I254:M256"/>
    <mergeCell ref="D248:D268"/>
    <mergeCell ref="F248:M248"/>
    <mergeCell ref="F249:H249"/>
    <mergeCell ref="I249:M249"/>
    <mergeCell ref="F250:H252"/>
    <mergeCell ref="I250:M252"/>
    <mergeCell ref="F253:H253"/>
    <mergeCell ref="R302:V304"/>
    <mergeCell ref="F305:H307"/>
    <mergeCell ref="I305:M307"/>
    <mergeCell ref="O305:Q307"/>
    <mergeCell ref="R305:V307"/>
    <mergeCell ref="F308:H310"/>
    <mergeCell ref="I308:M310"/>
    <mergeCell ref="O308:Q310"/>
    <mergeCell ref="R308:V310"/>
    <mergeCell ref="F311:H313"/>
    <mergeCell ref="I311:M313"/>
    <mergeCell ref="O311:Q313"/>
    <mergeCell ref="R311:V313"/>
    <mergeCell ref="F314:H316"/>
    <mergeCell ref="D273:D293"/>
    <mergeCell ref="F273:M273"/>
    <mergeCell ref="F274:H274"/>
    <mergeCell ref="I274:M274"/>
    <mergeCell ref="F275:H277"/>
    <mergeCell ref="I275:M277"/>
    <mergeCell ref="F278:H278"/>
    <mergeCell ref="I278:M278"/>
    <mergeCell ref="F279:H281"/>
    <mergeCell ref="I279:M281"/>
    <mergeCell ref="F282:H284"/>
    <mergeCell ref="I282:M284"/>
    <mergeCell ref="F285:H287"/>
    <mergeCell ref="I285:M287"/>
    <mergeCell ref="F288:H290"/>
    <mergeCell ref="I288:M290"/>
    <mergeCell ref="F291:H293"/>
    <mergeCell ref="I291:M293"/>
    <mergeCell ref="I314:M316"/>
    <mergeCell ref="O314:Q316"/>
    <mergeCell ref="R314:V316"/>
    <mergeCell ref="D319:D339"/>
    <mergeCell ref="F319:M319"/>
    <mergeCell ref="O319:V319"/>
    <mergeCell ref="F320:H320"/>
    <mergeCell ref="I320:M320"/>
    <mergeCell ref="O320:Q320"/>
    <mergeCell ref="R320:V320"/>
    <mergeCell ref="F321:H323"/>
    <mergeCell ref="I321:M323"/>
    <mergeCell ref="O321:Q323"/>
    <mergeCell ref="R321:V323"/>
    <mergeCell ref="D296:D316"/>
    <mergeCell ref="F296:M296"/>
    <mergeCell ref="O296:V296"/>
    <mergeCell ref="F297:H297"/>
    <mergeCell ref="I297:M297"/>
    <mergeCell ref="O297:Q297"/>
    <mergeCell ref="R297:V297"/>
    <mergeCell ref="F298:H300"/>
    <mergeCell ref="I298:M300"/>
    <mergeCell ref="O298:Q300"/>
    <mergeCell ref="R298:V300"/>
    <mergeCell ref="F301:H301"/>
    <mergeCell ref="I301:M301"/>
    <mergeCell ref="O301:Q301"/>
    <mergeCell ref="R301:V301"/>
    <mergeCell ref="F302:H304"/>
    <mergeCell ref="I302:M304"/>
    <mergeCell ref="O302:Q304"/>
    <mergeCell ref="F331:H333"/>
    <mergeCell ref="I331:M333"/>
    <mergeCell ref="O331:Q333"/>
    <mergeCell ref="R331:V333"/>
    <mergeCell ref="F334:H336"/>
    <mergeCell ref="I334:M336"/>
    <mergeCell ref="O334:Q336"/>
    <mergeCell ref="R334:V336"/>
    <mergeCell ref="F325:H327"/>
    <mergeCell ref="I325:M327"/>
    <mergeCell ref="O325:Q327"/>
    <mergeCell ref="R325:V327"/>
    <mergeCell ref="F328:H330"/>
    <mergeCell ref="I328:M330"/>
    <mergeCell ref="O328:Q330"/>
    <mergeCell ref="R328:V330"/>
    <mergeCell ref="F324:H324"/>
    <mergeCell ref="I324:M324"/>
    <mergeCell ref="O324:Q324"/>
    <mergeCell ref="R324:V324"/>
    <mergeCell ref="F337:H339"/>
    <mergeCell ref="I337:M339"/>
    <mergeCell ref="O337:Q339"/>
    <mergeCell ref="R337:V339"/>
    <mergeCell ref="D342:D362"/>
    <mergeCell ref="F342:M342"/>
    <mergeCell ref="F343:H343"/>
    <mergeCell ref="I343:M343"/>
    <mergeCell ref="F344:H346"/>
    <mergeCell ref="I344:M346"/>
    <mergeCell ref="F347:H347"/>
    <mergeCell ref="I347:M347"/>
    <mergeCell ref="F348:H350"/>
    <mergeCell ref="I348:M350"/>
    <mergeCell ref="F351:H353"/>
    <mergeCell ref="I351:M353"/>
    <mergeCell ref="F354:H356"/>
    <mergeCell ref="I354:M356"/>
    <mergeCell ref="F357:H359"/>
    <mergeCell ref="I357:M359"/>
    <mergeCell ref="F360:H362"/>
    <mergeCell ref="I360:M362"/>
    <mergeCell ref="F376:M376"/>
    <mergeCell ref="F377:H377"/>
    <mergeCell ref="I377:M377"/>
    <mergeCell ref="F378:H380"/>
    <mergeCell ref="I378:M380"/>
    <mergeCell ref="F381:H381"/>
    <mergeCell ref="I381:M381"/>
    <mergeCell ref="F382:H384"/>
    <mergeCell ref="I382:M384"/>
    <mergeCell ref="F385:H387"/>
    <mergeCell ref="I385:M387"/>
    <mergeCell ref="F388:H390"/>
    <mergeCell ref="I388:M390"/>
    <mergeCell ref="F391:H393"/>
    <mergeCell ref="I391:M393"/>
    <mergeCell ref="F394:H396"/>
    <mergeCell ref="I394:M396"/>
    <mergeCell ref="O376:V376"/>
    <mergeCell ref="O377:Q377"/>
    <mergeCell ref="R377:V377"/>
    <mergeCell ref="O378:Q380"/>
    <mergeCell ref="R378:V380"/>
    <mergeCell ref="O381:Q381"/>
    <mergeCell ref="R381:V381"/>
    <mergeCell ref="O382:Q384"/>
    <mergeCell ref="R382:V384"/>
    <mergeCell ref="O385:Q387"/>
    <mergeCell ref="R385:V387"/>
    <mergeCell ref="O388:Q390"/>
    <mergeCell ref="R388:V390"/>
    <mergeCell ref="O391:Q393"/>
    <mergeCell ref="R391:V393"/>
    <mergeCell ref="O394:Q396"/>
    <mergeCell ref="R394:V396"/>
    <mergeCell ref="X376:AE376"/>
    <mergeCell ref="X377:Z377"/>
    <mergeCell ref="AA377:AE377"/>
    <mergeCell ref="X378:Z380"/>
    <mergeCell ref="AA378:AE380"/>
    <mergeCell ref="X381:Z381"/>
    <mergeCell ref="AA381:AE381"/>
    <mergeCell ref="X382:Z384"/>
    <mergeCell ref="AA382:AE384"/>
    <mergeCell ref="X385:Z387"/>
    <mergeCell ref="AA385:AE387"/>
    <mergeCell ref="X388:Z390"/>
    <mergeCell ref="AA388:AE390"/>
    <mergeCell ref="X391:Z393"/>
    <mergeCell ref="AA391:AE393"/>
    <mergeCell ref="X394:Z396"/>
    <mergeCell ref="AA394:AE396"/>
    <mergeCell ref="AG376:AN376"/>
    <mergeCell ref="AG377:AI377"/>
    <mergeCell ref="AJ377:AN377"/>
    <mergeCell ref="AG378:AI380"/>
    <mergeCell ref="AJ378:AN380"/>
    <mergeCell ref="AG381:AI381"/>
    <mergeCell ref="AJ381:AN381"/>
    <mergeCell ref="AG382:AI384"/>
    <mergeCell ref="AJ382:AN384"/>
    <mergeCell ref="AG385:AI387"/>
    <mergeCell ref="AJ385:AN387"/>
    <mergeCell ref="AG388:AI390"/>
    <mergeCell ref="AJ388:AN390"/>
    <mergeCell ref="AG391:AI393"/>
    <mergeCell ref="AJ391:AN393"/>
    <mergeCell ref="AG394:AI396"/>
    <mergeCell ref="AJ394:AN396"/>
    <mergeCell ref="BH52:BO52"/>
    <mergeCell ref="BQ52:BX52"/>
    <mergeCell ref="BZ52:CG52"/>
    <mergeCell ref="CI52:CP52"/>
    <mergeCell ref="CR52:CY52"/>
    <mergeCell ref="DA52:DH52"/>
    <mergeCell ref="BH53:BJ53"/>
    <mergeCell ref="BK53:BO53"/>
    <mergeCell ref="BQ53:BS53"/>
    <mergeCell ref="BT53:BX53"/>
    <mergeCell ref="BZ53:CB53"/>
    <mergeCell ref="CC53:CG53"/>
    <mergeCell ref="CI53:CK53"/>
    <mergeCell ref="CL53:CP53"/>
    <mergeCell ref="CR53:CT53"/>
    <mergeCell ref="CU53:CY53"/>
    <mergeCell ref="DA53:DC53"/>
    <mergeCell ref="DD53:DH53"/>
    <mergeCell ref="BH54:BJ56"/>
    <mergeCell ref="BK54:BO56"/>
    <mergeCell ref="BQ54:BS56"/>
    <mergeCell ref="BT54:BX56"/>
    <mergeCell ref="BZ54:CB56"/>
    <mergeCell ref="CC54:CG56"/>
    <mergeCell ref="CI54:CK56"/>
    <mergeCell ref="CL54:CP56"/>
    <mergeCell ref="CR54:CT56"/>
    <mergeCell ref="CU54:CY56"/>
    <mergeCell ref="DA54:DC56"/>
    <mergeCell ref="DD54:DH56"/>
    <mergeCell ref="BH57:BJ57"/>
    <mergeCell ref="BK57:BO57"/>
    <mergeCell ref="BQ57:BS57"/>
    <mergeCell ref="BT57:BX57"/>
    <mergeCell ref="BZ57:CB57"/>
    <mergeCell ref="CC57:CG57"/>
    <mergeCell ref="CI57:CK57"/>
    <mergeCell ref="CL57:CP57"/>
    <mergeCell ref="CR57:CT57"/>
    <mergeCell ref="CU57:CY57"/>
    <mergeCell ref="DA57:DC57"/>
    <mergeCell ref="DD57:DH57"/>
    <mergeCell ref="BH58:BJ60"/>
    <mergeCell ref="BK58:BO60"/>
    <mergeCell ref="BQ58:BS60"/>
    <mergeCell ref="BT58:BX60"/>
    <mergeCell ref="BZ58:CB60"/>
    <mergeCell ref="CC58:CG60"/>
    <mergeCell ref="CI58:CK60"/>
    <mergeCell ref="CL58:CP60"/>
    <mergeCell ref="CR58:CT60"/>
    <mergeCell ref="CU58:CY60"/>
    <mergeCell ref="DA58:DC60"/>
    <mergeCell ref="DD58:DH60"/>
    <mergeCell ref="BH61:BJ63"/>
    <mergeCell ref="BK61:BO63"/>
    <mergeCell ref="BQ61:BS63"/>
    <mergeCell ref="BT61:BX63"/>
    <mergeCell ref="BZ61:CB63"/>
    <mergeCell ref="CC61:CG63"/>
    <mergeCell ref="CI61:CK63"/>
    <mergeCell ref="CL61:CP63"/>
    <mergeCell ref="CR61:CT63"/>
    <mergeCell ref="CU61:CY63"/>
    <mergeCell ref="DA61:DC63"/>
    <mergeCell ref="DD61:DH63"/>
    <mergeCell ref="BH64:BJ66"/>
    <mergeCell ref="BK64:BO66"/>
    <mergeCell ref="BQ64:BS66"/>
    <mergeCell ref="BT64:BX66"/>
    <mergeCell ref="BZ64:CB66"/>
    <mergeCell ref="CC64:CG66"/>
    <mergeCell ref="CI64:CK66"/>
    <mergeCell ref="CL64:CP66"/>
    <mergeCell ref="CR64:CT66"/>
    <mergeCell ref="CU64:CY66"/>
    <mergeCell ref="DA64:DC66"/>
    <mergeCell ref="DD64:DH66"/>
    <mergeCell ref="BH67:BJ69"/>
    <mergeCell ref="BK67:BO69"/>
    <mergeCell ref="BQ67:BS69"/>
    <mergeCell ref="BT67:BX69"/>
    <mergeCell ref="BZ67:CB69"/>
    <mergeCell ref="CC67:CG69"/>
    <mergeCell ref="CI67:CK69"/>
    <mergeCell ref="CL67:CP69"/>
    <mergeCell ref="CR67:CT69"/>
    <mergeCell ref="CU67:CY69"/>
    <mergeCell ref="DA67:DC69"/>
    <mergeCell ref="DD67:DH69"/>
    <mergeCell ref="BH70:BJ72"/>
    <mergeCell ref="BK70:BO72"/>
    <mergeCell ref="BQ70:BS72"/>
    <mergeCell ref="BT70:BX72"/>
    <mergeCell ref="BZ70:CB72"/>
    <mergeCell ref="CC70:CG72"/>
    <mergeCell ref="CI70:CK72"/>
    <mergeCell ref="CL70:CP72"/>
    <mergeCell ref="CR70:CT72"/>
    <mergeCell ref="CU70:CY72"/>
    <mergeCell ref="DA70:DC72"/>
    <mergeCell ref="DD70:DH72"/>
    <mergeCell ref="X248:AE248"/>
    <mergeCell ref="X249:Z249"/>
    <mergeCell ref="AA249:AE249"/>
    <mergeCell ref="X250:Z252"/>
    <mergeCell ref="AA250:AE252"/>
    <mergeCell ref="AP248:AW248"/>
    <mergeCell ref="AP249:AR249"/>
    <mergeCell ref="AS249:AW249"/>
    <mergeCell ref="AP250:AR252"/>
    <mergeCell ref="AS250:AW252"/>
    <mergeCell ref="BH248:BO248"/>
    <mergeCell ref="BH249:BJ249"/>
    <mergeCell ref="BK249:BO249"/>
    <mergeCell ref="BH250:BJ252"/>
    <mergeCell ref="BK250:BO252"/>
    <mergeCell ref="AA200:AE200"/>
    <mergeCell ref="AG200:AI200"/>
    <mergeCell ref="AJ200:AN200"/>
    <mergeCell ref="BK200:BO200"/>
    <mergeCell ref="BQ200:BS200"/>
    <mergeCell ref="X257:Z259"/>
    <mergeCell ref="AA257:AE259"/>
    <mergeCell ref="X260:Z262"/>
    <mergeCell ref="AA260:AE262"/>
    <mergeCell ref="X263:Z265"/>
    <mergeCell ref="AA263:AE265"/>
    <mergeCell ref="X266:Z268"/>
    <mergeCell ref="AA266:AE268"/>
    <mergeCell ref="AG248:AN248"/>
    <mergeCell ref="AG249:AI249"/>
    <mergeCell ref="AJ249:AN249"/>
    <mergeCell ref="AG250:AI252"/>
    <mergeCell ref="AJ250:AN252"/>
    <mergeCell ref="AG253:AI253"/>
    <mergeCell ref="AJ253:AN253"/>
    <mergeCell ref="AG254:AI256"/>
    <mergeCell ref="AJ254:AN256"/>
    <mergeCell ref="AG257:AI259"/>
    <mergeCell ref="AJ257:AN259"/>
    <mergeCell ref="AG260:AI262"/>
    <mergeCell ref="AJ260:AN262"/>
    <mergeCell ref="AG263:AI265"/>
    <mergeCell ref="AJ263:AN265"/>
    <mergeCell ref="AG266:AI268"/>
    <mergeCell ref="AJ266:AN268"/>
    <mergeCell ref="AY248:BF248"/>
    <mergeCell ref="AY249:BA249"/>
    <mergeCell ref="BB249:BF249"/>
    <mergeCell ref="AY250:BA252"/>
    <mergeCell ref="BB250:BF252"/>
    <mergeCell ref="AY253:BA253"/>
    <mergeCell ref="BB253:BF253"/>
    <mergeCell ref="AY254:BA256"/>
    <mergeCell ref="BB254:BF256"/>
    <mergeCell ref="AY257:BA259"/>
    <mergeCell ref="BB257:BF259"/>
    <mergeCell ref="AY260:BA262"/>
    <mergeCell ref="BB260:BF262"/>
    <mergeCell ref="AY263:BA265"/>
    <mergeCell ref="BB263:BF265"/>
    <mergeCell ref="AY266:BA268"/>
    <mergeCell ref="BB266:BF268"/>
    <mergeCell ref="BH253:BJ253"/>
    <mergeCell ref="BK253:BO253"/>
    <mergeCell ref="BH254:BJ256"/>
    <mergeCell ref="BK254:BO256"/>
    <mergeCell ref="BH257:BJ259"/>
    <mergeCell ref="BK257:BO259"/>
    <mergeCell ref="BH260:BJ262"/>
    <mergeCell ref="BK260:BO262"/>
    <mergeCell ref="BH263:BJ265"/>
    <mergeCell ref="BK263:BO265"/>
    <mergeCell ref="BH266:BJ268"/>
    <mergeCell ref="BK266:BO268"/>
    <mergeCell ref="AP253:AR253"/>
    <mergeCell ref="AS253:AW253"/>
    <mergeCell ref="AP254:AR256"/>
    <mergeCell ref="AS254:AW256"/>
    <mergeCell ref="AP257:AR259"/>
    <mergeCell ref="AS257:AW259"/>
    <mergeCell ref="AP260:AR262"/>
    <mergeCell ref="AS260:AW262"/>
    <mergeCell ref="AP263:AR265"/>
    <mergeCell ref="AS263:AW265"/>
    <mergeCell ref="AP266:AR268"/>
    <mergeCell ref="AS266:AW268"/>
    <mergeCell ref="F459:M459"/>
    <mergeCell ref="F460:H460"/>
    <mergeCell ref="I460:M460"/>
    <mergeCell ref="F461:H463"/>
    <mergeCell ref="I461:M463"/>
    <mergeCell ref="F464:H464"/>
    <mergeCell ref="I464:M464"/>
    <mergeCell ref="F465:H467"/>
    <mergeCell ref="I465:M467"/>
    <mergeCell ref="F468:H470"/>
    <mergeCell ref="I468:M470"/>
    <mergeCell ref="F471:H473"/>
    <mergeCell ref="I471:M473"/>
    <mergeCell ref="F474:H476"/>
    <mergeCell ref="I474:M476"/>
    <mergeCell ref="F477:H479"/>
    <mergeCell ref="I477:M479"/>
    <mergeCell ref="O459:V459"/>
    <mergeCell ref="O460:Q460"/>
    <mergeCell ref="R460:V460"/>
    <mergeCell ref="O461:Q463"/>
    <mergeCell ref="R461:V463"/>
    <mergeCell ref="O464:Q464"/>
    <mergeCell ref="R464:V464"/>
    <mergeCell ref="O465:Q467"/>
    <mergeCell ref="R465:V467"/>
    <mergeCell ref="O468:Q470"/>
    <mergeCell ref="R468:V470"/>
    <mergeCell ref="O471:Q473"/>
    <mergeCell ref="R471:V473"/>
    <mergeCell ref="O474:Q476"/>
    <mergeCell ref="R474:V476"/>
    <mergeCell ref="O477:Q479"/>
    <mergeCell ref="R477:V479"/>
    <mergeCell ref="X459:AE459"/>
    <mergeCell ref="X460:Z460"/>
    <mergeCell ref="AA460:AE460"/>
    <mergeCell ref="X461:Z463"/>
    <mergeCell ref="AA461:AE463"/>
    <mergeCell ref="X464:Z464"/>
    <mergeCell ref="AA464:AE464"/>
    <mergeCell ref="X465:Z467"/>
    <mergeCell ref="AA465:AE467"/>
    <mergeCell ref="X468:Z470"/>
    <mergeCell ref="AA468:AE470"/>
    <mergeCell ref="X471:Z473"/>
    <mergeCell ref="AA471:AE473"/>
    <mergeCell ref="X474:Z476"/>
    <mergeCell ref="AA474:AE476"/>
    <mergeCell ref="X477:Z479"/>
    <mergeCell ref="AA477:AE479"/>
    <mergeCell ref="AG459:AN459"/>
    <mergeCell ref="AG460:AI460"/>
    <mergeCell ref="AJ460:AN460"/>
    <mergeCell ref="AG461:AI463"/>
    <mergeCell ref="AJ461:AN463"/>
    <mergeCell ref="AG464:AI464"/>
    <mergeCell ref="AJ464:AN464"/>
    <mergeCell ref="AG465:AI467"/>
    <mergeCell ref="AJ465:AN467"/>
    <mergeCell ref="AG468:AI470"/>
    <mergeCell ref="AJ468:AN470"/>
    <mergeCell ref="AG471:AI473"/>
    <mergeCell ref="AJ471:AN473"/>
    <mergeCell ref="AG474:AI476"/>
    <mergeCell ref="AJ474:AN476"/>
    <mergeCell ref="AG477:AI479"/>
    <mergeCell ref="AJ477:AN479"/>
    <mergeCell ref="AP459:AW459"/>
    <mergeCell ref="AP460:AR460"/>
    <mergeCell ref="AS460:AW460"/>
    <mergeCell ref="AP461:AR463"/>
    <mergeCell ref="AS461:AW463"/>
    <mergeCell ref="AP464:AR464"/>
    <mergeCell ref="AS464:AW464"/>
    <mergeCell ref="AP465:AR467"/>
    <mergeCell ref="AS465:AW467"/>
    <mergeCell ref="AP468:AR470"/>
    <mergeCell ref="AS468:AW470"/>
    <mergeCell ref="AP471:AR473"/>
    <mergeCell ref="AS471:AW473"/>
    <mergeCell ref="AP474:AR476"/>
    <mergeCell ref="AS474:AW476"/>
    <mergeCell ref="AP477:AR479"/>
    <mergeCell ref="AS477:AW479"/>
    <mergeCell ref="AY459:BF459"/>
    <mergeCell ref="AY460:BA460"/>
    <mergeCell ref="BB460:BF460"/>
    <mergeCell ref="AY461:BA463"/>
    <mergeCell ref="BB461:BF463"/>
    <mergeCell ref="AY464:BA464"/>
    <mergeCell ref="BB464:BF464"/>
    <mergeCell ref="AY465:BA467"/>
    <mergeCell ref="BB465:BF467"/>
    <mergeCell ref="AY468:BA470"/>
    <mergeCell ref="BB468:BF470"/>
    <mergeCell ref="AY471:BA473"/>
    <mergeCell ref="BB471:BF473"/>
    <mergeCell ref="AY474:BA476"/>
    <mergeCell ref="BB474:BF476"/>
    <mergeCell ref="AY477:BA479"/>
    <mergeCell ref="BB477:BF479"/>
    <mergeCell ref="BH459:BO459"/>
    <mergeCell ref="BH460:BJ460"/>
    <mergeCell ref="BK460:BO460"/>
    <mergeCell ref="BH461:BJ463"/>
    <mergeCell ref="BK461:BO463"/>
    <mergeCell ref="BH464:BJ464"/>
    <mergeCell ref="BK464:BO464"/>
    <mergeCell ref="BH465:BJ467"/>
    <mergeCell ref="BK465:BO467"/>
    <mergeCell ref="BH468:BJ470"/>
    <mergeCell ref="BK468:BO470"/>
    <mergeCell ref="BH471:BJ473"/>
    <mergeCell ref="BK471:BO473"/>
    <mergeCell ref="BH474:BJ476"/>
    <mergeCell ref="BK474:BO476"/>
    <mergeCell ref="BH477:BJ479"/>
    <mergeCell ref="BK477:BO479"/>
    <mergeCell ref="BQ459:BX459"/>
    <mergeCell ref="BQ460:BS460"/>
    <mergeCell ref="BT460:BX460"/>
    <mergeCell ref="BQ461:BS463"/>
    <mergeCell ref="BT461:BX463"/>
    <mergeCell ref="BQ464:BS464"/>
    <mergeCell ref="BT464:BX464"/>
    <mergeCell ref="BQ465:BS467"/>
    <mergeCell ref="BT465:BX467"/>
    <mergeCell ref="BQ468:BS470"/>
    <mergeCell ref="BT468:BX470"/>
    <mergeCell ref="BQ471:BS473"/>
    <mergeCell ref="BT471:BX473"/>
    <mergeCell ref="BQ474:BS476"/>
    <mergeCell ref="BT474:BX476"/>
    <mergeCell ref="BQ477:BS479"/>
    <mergeCell ref="BT477:BX479"/>
    <mergeCell ref="BZ459:CG459"/>
    <mergeCell ref="BZ460:CB460"/>
    <mergeCell ref="CC460:CG460"/>
    <mergeCell ref="BZ461:CB463"/>
    <mergeCell ref="CC461:CG463"/>
    <mergeCell ref="BZ464:CB464"/>
    <mergeCell ref="CC464:CG464"/>
    <mergeCell ref="BZ465:CB467"/>
    <mergeCell ref="CC465:CG467"/>
    <mergeCell ref="BZ468:CB470"/>
    <mergeCell ref="CC468:CG470"/>
    <mergeCell ref="BZ471:CB473"/>
    <mergeCell ref="CC471:CG473"/>
    <mergeCell ref="BZ474:CB476"/>
    <mergeCell ref="CC474:CG476"/>
    <mergeCell ref="BZ477:CB479"/>
    <mergeCell ref="CC477:CG479"/>
    <mergeCell ref="CI459:CP459"/>
    <mergeCell ref="CI460:CK460"/>
    <mergeCell ref="CL460:CP460"/>
    <mergeCell ref="CI461:CK463"/>
    <mergeCell ref="CL461:CP463"/>
    <mergeCell ref="CI464:CK464"/>
    <mergeCell ref="CL464:CP464"/>
    <mergeCell ref="CI465:CK467"/>
    <mergeCell ref="CL465:CP467"/>
    <mergeCell ref="CI468:CK470"/>
    <mergeCell ref="CL468:CP470"/>
    <mergeCell ref="CI471:CK473"/>
    <mergeCell ref="CL471:CP473"/>
    <mergeCell ref="CI474:CK476"/>
    <mergeCell ref="CL474:CP476"/>
    <mergeCell ref="CI477:CK479"/>
    <mergeCell ref="CL477:CP479"/>
    <mergeCell ref="AP376:AW376"/>
    <mergeCell ref="AP377:AR377"/>
    <mergeCell ref="AS377:AW377"/>
    <mergeCell ref="AP378:AR380"/>
    <mergeCell ref="AS378:AW380"/>
    <mergeCell ref="AP381:AR381"/>
    <mergeCell ref="AS381:AW381"/>
    <mergeCell ref="AP382:AR384"/>
    <mergeCell ref="AS382:AW384"/>
    <mergeCell ref="AP385:AR387"/>
    <mergeCell ref="AS385:AW387"/>
    <mergeCell ref="AP388:AR390"/>
    <mergeCell ref="AS388:AW390"/>
    <mergeCell ref="AP391:AR393"/>
    <mergeCell ref="AS391:AW393"/>
    <mergeCell ref="AP394:AR396"/>
    <mergeCell ref="AS394:AW396"/>
    <mergeCell ref="CR459:CY459"/>
    <mergeCell ref="CR460:CT460"/>
    <mergeCell ref="CU460:CY460"/>
    <mergeCell ref="CR461:CT463"/>
    <mergeCell ref="CU461:CY463"/>
    <mergeCell ref="CR464:CT464"/>
    <mergeCell ref="CU464:CY464"/>
    <mergeCell ref="CR465:CT467"/>
    <mergeCell ref="CU465:CY467"/>
    <mergeCell ref="CR468:CT470"/>
    <mergeCell ref="CU468:CY470"/>
    <mergeCell ref="CR471:CT473"/>
    <mergeCell ref="CU471:CY473"/>
    <mergeCell ref="CR474:CT476"/>
    <mergeCell ref="CU474:CY476"/>
    <mergeCell ref="CR477:CT479"/>
    <mergeCell ref="CU477:CY479"/>
  </mergeCells>
  <pageMargins left="0.7" right="0.7" top="0.75" bottom="0.75" header="0.3" footer="0.3"/>
  <pageSetup paperSize="0"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6EC2D-8F5B-4B8A-9AF5-D72CCD9E9778}">
  <sheetPr>
    <pageSetUpPr autoPageBreaks="0"/>
  </sheetPr>
  <dimension ref="A1:EL3696"/>
  <sheetViews>
    <sheetView zoomScale="47" zoomScaleNormal="40" workbookViewId="0">
      <pane ySplit="35" topLeftCell="A36" activePane="bottomLeft" state="frozen"/>
      <selection pane="bottomLeft"/>
    </sheetView>
  </sheetViews>
  <sheetFormatPr baseColWidth="10" defaultRowHeight="15.75" x14ac:dyDescent="0.25"/>
  <cols>
    <col min="1" max="1" width="11.42578125" style="1"/>
    <col min="2" max="2" width="14.7109375" style="1" customWidth="1"/>
    <col min="3" max="3" width="25" style="1" customWidth="1"/>
    <col min="4" max="4" width="20" style="1" customWidth="1"/>
    <col min="5" max="5" width="31" style="1" bestFit="1" customWidth="1"/>
    <col min="6" max="6" width="13.42578125" style="1" customWidth="1"/>
    <col min="7" max="7" width="12.5703125" style="1" customWidth="1"/>
    <col min="8" max="8" width="15.28515625" style="1" bestFit="1" customWidth="1"/>
    <col min="9" max="9" width="13" style="1" customWidth="1"/>
    <col min="10" max="10" width="13.28515625" style="1" customWidth="1"/>
    <col min="11" max="11" width="18.7109375" style="1" customWidth="1"/>
    <col min="12" max="12" width="12.28515625" style="1" customWidth="1"/>
    <col min="13" max="13" width="18.85546875" style="1" customWidth="1"/>
    <col min="14" max="14" width="17.5703125" style="1" customWidth="1"/>
    <col min="15" max="15" width="12.28515625" style="1" customWidth="1"/>
    <col min="16" max="16" width="11.5703125" style="1" customWidth="1"/>
    <col min="17" max="17" width="20.42578125" style="1" bestFit="1" customWidth="1"/>
    <col min="18" max="18" width="12.28515625" style="1" customWidth="1"/>
    <col min="19" max="19" width="11.42578125" style="1" customWidth="1"/>
    <col min="20" max="20" width="22.28515625" style="1" bestFit="1" customWidth="1"/>
    <col min="21" max="21" width="13.140625" style="1" customWidth="1"/>
    <col min="22" max="22" width="11.7109375" style="1" customWidth="1"/>
    <col min="23" max="23" width="11.42578125" style="1" customWidth="1"/>
    <col min="24" max="24" width="13.140625" style="1" customWidth="1"/>
    <col min="25" max="25" width="16" style="1" customWidth="1"/>
    <col min="26" max="26" width="15.85546875" style="1" bestFit="1" customWidth="1"/>
    <col min="27" max="28" width="12.28515625" style="1" customWidth="1"/>
    <col min="29" max="34" width="11.42578125" style="1"/>
    <col min="35" max="35" width="14.28515625" style="1" customWidth="1"/>
    <col min="36" max="36" width="18.5703125" style="1" customWidth="1"/>
    <col min="37" max="37" width="15.7109375" style="1" customWidth="1"/>
    <col min="38" max="38" width="12.5703125" style="1" customWidth="1"/>
    <col min="39" max="39" width="15.7109375" style="1" customWidth="1"/>
    <col min="40" max="40" width="12.85546875" style="1" customWidth="1"/>
    <col min="41" max="41" width="15" style="1" customWidth="1"/>
    <col min="42" max="43" width="11.42578125" style="1"/>
    <col min="44" max="44" width="16.7109375" style="1" customWidth="1"/>
    <col min="45" max="16384" width="11.42578125" style="1"/>
  </cols>
  <sheetData>
    <row r="1" spans="1:140" x14ac:dyDescent="0.25">
      <c r="A1" s="100"/>
      <c r="B1" s="9"/>
      <c r="C1" s="128" t="s">
        <v>350</v>
      </c>
      <c r="D1" s="855" t="s">
        <v>248</v>
      </c>
      <c r="E1" s="855" t="s">
        <v>1364</v>
      </c>
      <c r="F1" s="855" t="s">
        <v>1365</v>
      </c>
      <c r="G1" s="855" t="s">
        <v>1366</v>
      </c>
      <c r="H1" s="855" t="s">
        <v>1367</v>
      </c>
      <c r="I1" s="855" t="s">
        <v>1368</v>
      </c>
      <c r="J1" s="855" t="s">
        <v>1369</v>
      </c>
      <c r="K1" s="855" t="s">
        <v>693</v>
      </c>
      <c r="L1" s="855" t="s">
        <v>746</v>
      </c>
      <c r="M1" s="855" t="s">
        <v>747</v>
      </c>
      <c r="N1" s="855" t="s">
        <v>694</v>
      </c>
      <c r="O1" s="855" t="s">
        <v>748</v>
      </c>
      <c r="P1" s="855" t="s">
        <v>749</v>
      </c>
      <c r="Q1" s="855" t="s">
        <v>695</v>
      </c>
      <c r="R1" s="855" t="s">
        <v>750</v>
      </c>
      <c r="S1" s="855" t="s">
        <v>751</v>
      </c>
      <c r="T1" s="855" t="s">
        <v>697</v>
      </c>
      <c r="U1" s="855" t="s">
        <v>752</v>
      </c>
      <c r="V1" s="855" t="s">
        <v>753</v>
      </c>
      <c r="W1" s="855" t="s">
        <v>463</v>
      </c>
      <c r="X1" s="855" t="s">
        <v>754</v>
      </c>
      <c r="Y1" s="855" t="s">
        <v>755</v>
      </c>
      <c r="Z1" s="861" t="s">
        <v>702</v>
      </c>
      <c r="AA1" s="855" t="s">
        <v>756</v>
      </c>
      <c r="AB1" s="855" t="s">
        <v>757</v>
      </c>
      <c r="AC1" s="855" t="s">
        <v>711</v>
      </c>
      <c r="AD1" s="855" t="s">
        <v>726</v>
      </c>
      <c r="AE1" s="856" t="s">
        <v>758</v>
      </c>
      <c r="AF1" s="29"/>
      <c r="AG1" s="29"/>
      <c r="AH1" s="29"/>
      <c r="AI1" s="29" t="s">
        <v>1646</v>
      </c>
      <c r="AJ1" s="29" t="s">
        <v>1656</v>
      </c>
      <c r="AK1" s="29" t="s">
        <v>1657</v>
      </c>
      <c r="AL1" s="29" t="s">
        <v>1658</v>
      </c>
      <c r="AM1" s="29" t="s">
        <v>1659</v>
      </c>
      <c r="AN1" s="29" t="s">
        <v>1660</v>
      </c>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row>
    <row r="2" spans="1:140" x14ac:dyDescent="0.25">
      <c r="A2" s="100"/>
      <c r="B2" s="100"/>
      <c r="C2" s="124" t="s">
        <v>1370</v>
      </c>
      <c r="D2" s="751" t="s">
        <v>1388</v>
      </c>
      <c r="E2" s="853">
        <f t="shared" ref="E2:E26" si="0">$F$56</f>
        <v>2099.0723984875517</v>
      </c>
      <c r="F2" s="853">
        <f>$R$56</f>
        <v>2073.8723984875514</v>
      </c>
      <c r="G2" s="853">
        <f t="shared" ref="G2:G26" si="1">$AA$56</f>
        <v>2228.8723984875514</v>
      </c>
      <c r="H2" s="853">
        <f t="shared" ref="H2:H26" si="2">$AK$56</f>
        <v>2196.8723984875514</v>
      </c>
      <c r="I2" s="853">
        <f>$AU$56</f>
        <v>2111.6723984875516</v>
      </c>
      <c r="J2" s="853">
        <f>$BF$56</f>
        <v>3497.9723984875518</v>
      </c>
      <c r="K2" s="752" t="s">
        <v>731</v>
      </c>
      <c r="L2" s="751" t="s">
        <v>1388</v>
      </c>
      <c r="M2" s="853">
        <v>1.833</v>
      </c>
      <c r="N2" s="752" t="s">
        <v>710</v>
      </c>
      <c r="O2" s="751" t="s">
        <v>1388</v>
      </c>
      <c r="P2" s="853">
        <v>30.06</v>
      </c>
      <c r="Q2" s="752" t="s">
        <v>466</v>
      </c>
      <c r="R2" s="751" t="s">
        <v>1388</v>
      </c>
      <c r="S2" s="853">
        <v>44.2</v>
      </c>
      <c r="T2" s="752" t="s">
        <v>348</v>
      </c>
      <c r="U2" s="751" t="s">
        <v>1388</v>
      </c>
      <c r="V2" s="853">
        <v>13.11</v>
      </c>
      <c r="W2" s="752" t="s">
        <v>713</v>
      </c>
      <c r="X2" s="751" t="s">
        <v>1388</v>
      </c>
      <c r="Y2" s="853">
        <v>30</v>
      </c>
      <c r="Z2" s="752" t="s">
        <v>737</v>
      </c>
      <c r="AA2" s="751" t="s">
        <v>1388</v>
      </c>
      <c r="AB2" s="853">
        <v>98.4</v>
      </c>
      <c r="AC2" s="752" t="s">
        <v>725</v>
      </c>
      <c r="AD2" s="751" t="s">
        <v>1479</v>
      </c>
      <c r="AE2" s="857">
        <v>22.332999999999998</v>
      </c>
      <c r="AF2" s="29"/>
      <c r="AG2" s="29"/>
      <c r="AH2" s="29"/>
      <c r="AI2" s="29" t="s">
        <v>346</v>
      </c>
      <c r="AJ2" s="29">
        <v>0.23</v>
      </c>
      <c r="AK2" s="29" t="s">
        <v>899</v>
      </c>
      <c r="AL2" s="29">
        <v>0.38</v>
      </c>
      <c r="AM2" s="29" t="s">
        <v>484</v>
      </c>
      <c r="AN2" s="29">
        <v>0.33</v>
      </c>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row>
    <row r="3" spans="1:140" x14ac:dyDescent="0.25">
      <c r="A3" s="100"/>
      <c r="B3" s="100"/>
      <c r="C3" s="126" t="s">
        <v>375</v>
      </c>
      <c r="D3" s="751" t="s">
        <v>1388</v>
      </c>
      <c r="E3" s="853">
        <f t="shared" si="0"/>
        <v>2099.0723984875517</v>
      </c>
      <c r="F3" s="853">
        <f t="shared" ref="F3:F26" si="3">$R$56</f>
        <v>2073.8723984875514</v>
      </c>
      <c r="G3" s="853">
        <f t="shared" si="1"/>
        <v>2228.8723984875514</v>
      </c>
      <c r="H3" s="853">
        <f t="shared" si="2"/>
        <v>2196.8723984875514</v>
      </c>
      <c r="I3" s="853">
        <f t="shared" ref="I3:I26" si="4">$AU$56</f>
        <v>2111.6723984875516</v>
      </c>
      <c r="J3" s="853">
        <f t="shared" ref="J3:J26" si="5">$BF$56</f>
        <v>3497.9723984875518</v>
      </c>
      <c r="K3" s="752" t="s">
        <v>742</v>
      </c>
      <c r="L3" s="751" t="s">
        <v>1388</v>
      </c>
      <c r="M3" s="853">
        <v>4</v>
      </c>
      <c r="N3" s="752" t="s">
        <v>346</v>
      </c>
      <c r="O3" s="751" t="s">
        <v>1388</v>
      </c>
      <c r="P3" s="853">
        <v>7</v>
      </c>
      <c r="Q3" s="752" t="s">
        <v>447</v>
      </c>
      <c r="R3" s="751" t="s">
        <v>1388</v>
      </c>
      <c r="S3" s="853">
        <v>207.8</v>
      </c>
      <c r="T3" s="752" t="s">
        <v>735</v>
      </c>
      <c r="U3" s="751" t="s">
        <v>1388</v>
      </c>
      <c r="V3" s="853">
        <v>42.67</v>
      </c>
      <c r="W3" s="752" t="s">
        <v>442</v>
      </c>
      <c r="X3" s="751" t="s">
        <v>1388</v>
      </c>
      <c r="Y3" s="853">
        <v>30</v>
      </c>
      <c r="Z3" s="752" t="s">
        <v>514</v>
      </c>
      <c r="AA3" s="751" t="s">
        <v>1388</v>
      </c>
      <c r="AB3" s="853">
        <v>4.3</v>
      </c>
      <c r="AC3" s="752" t="s">
        <v>546</v>
      </c>
      <c r="AD3" s="751" t="s">
        <v>1479</v>
      </c>
      <c r="AE3" s="857">
        <v>49.18</v>
      </c>
      <c r="AF3" s="29"/>
      <c r="AG3" s="29"/>
      <c r="AH3" s="29"/>
      <c r="AI3" s="29" t="s">
        <v>435</v>
      </c>
      <c r="AJ3" s="29">
        <v>0.37</v>
      </c>
      <c r="AK3" s="29" t="s">
        <v>1650</v>
      </c>
      <c r="AL3" s="29">
        <v>0.35</v>
      </c>
      <c r="AM3" s="29" t="s">
        <v>349</v>
      </c>
      <c r="AN3" s="29">
        <v>0.47</v>
      </c>
      <c r="AO3" s="29"/>
      <c r="AP3" s="29"/>
      <c r="AQ3" s="29"/>
      <c r="AR3" s="29"/>
      <c r="AS3" s="29"/>
      <c r="AT3" s="29"/>
      <c r="AU3" s="29"/>
      <c r="AV3" s="29" t="s">
        <v>2330</v>
      </c>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row>
    <row r="4" spans="1:140" x14ac:dyDescent="0.25">
      <c r="A4" s="100"/>
      <c r="B4" s="100"/>
      <c r="C4" s="126" t="s">
        <v>1371</v>
      </c>
      <c r="D4" s="751" t="s">
        <v>1388</v>
      </c>
      <c r="E4" s="853">
        <f t="shared" si="0"/>
        <v>2099.0723984875517</v>
      </c>
      <c r="F4" s="853">
        <f t="shared" si="3"/>
        <v>2073.8723984875514</v>
      </c>
      <c r="G4" s="853">
        <f t="shared" si="1"/>
        <v>2228.8723984875514</v>
      </c>
      <c r="H4" s="853">
        <f t="shared" si="2"/>
        <v>2196.8723984875514</v>
      </c>
      <c r="I4" s="853">
        <f t="shared" si="4"/>
        <v>2111.6723984875516</v>
      </c>
      <c r="J4" s="853">
        <f t="shared" si="5"/>
        <v>3497.9723984875518</v>
      </c>
      <c r="K4" s="752" t="s">
        <v>744</v>
      </c>
      <c r="L4" s="751" t="s">
        <v>1388</v>
      </c>
      <c r="M4" s="853">
        <v>2.5</v>
      </c>
      <c r="N4" s="752" t="s">
        <v>449</v>
      </c>
      <c r="O4" s="751" t="s">
        <v>1388</v>
      </c>
      <c r="P4" s="853">
        <v>42.07</v>
      </c>
      <c r="Q4" s="752" t="s">
        <v>489</v>
      </c>
      <c r="R4" s="751" t="s">
        <v>1388</v>
      </c>
      <c r="S4" s="853">
        <v>56.71</v>
      </c>
      <c r="T4" s="752" t="s">
        <v>354</v>
      </c>
      <c r="U4" s="751" t="s">
        <v>1479</v>
      </c>
      <c r="V4" s="853">
        <v>3.08</v>
      </c>
      <c r="W4" s="752" t="s">
        <v>717</v>
      </c>
      <c r="X4" s="751" t="s">
        <v>1388</v>
      </c>
      <c r="Y4" s="853">
        <v>184</v>
      </c>
      <c r="Z4" s="752" t="s">
        <v>670</v>
      </c>
      <c r="AA4" s="751" t="s">
        <v>1388</v>
      </c>
      <c r="AB4" s="853">
        <v>4.8</v>
      </c>
      <c r="AC4" s="752" t="s">
        <v>338</v>
      </c>
      <c r="AD4" s="751" t="s">
        <v>1388</v>
      </c>
      <c r="AE4" s="857">
        <v>2.25</v>
      </c>
      <c r="AF4" s="29"/>
      <c r="AG4" s="29"/>
      <c r="AH4" s="29"/>
      <c r="AI4" s="29" t="s">
        <v>490</v>
      </c>
      <c r="AJ4" s="29">
        <v>0.55000000000000004</v>
      </c>
      <c r="AK4" s="29" t="s">
        <v>1651</v>
      </c>
      <c r="AL4" s="29">
        <v>0.08</v>
      </c>
      <c r="AM4" s="29" t="s">
        <v>1298</v>
      </c>
      <c r="AN4" s="29">
        <v>0.41</v>
      </c>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row>
    <row r="5" spans="1:140" x14ac:dyDescent="0.25">
      <c r="A5" s="100"/>
      <c r="B5" s="102"/>
      <c r="C5" s="125" t="s">
        <v>1372</v>
      </c>
      <c r="D5" s="751" t="s">
        <v>1388</v>
      </c>
      <c r="E5" s="853">
        <f t="shared" si="0"/>
        <v>2099.0723984875517</v>
      </c>
      <c r="F5" s="853">
        <f t="shared" si="3"/>
        <v>2073.8723984875514</v>
      </c>
      <c r="G5" s="853">
        <f t="shared" si="1"/>
        <v>2228.8723984875514</v>
      </c>
      <c r="H5" s="853">
        <f t="shared" si="2"/>
        <v>2196.8723984875514</v>
      </c>
      <c r="I5" s="853">
        <f t="shared" si="4"/>
        <v>2111.6723984875516</v>
      </c>
      <c r="J5" s="853">
        <f t="shared" si="5"/>
        <v>3497.9723984875518</v>
      </c>
      <c r="K5" s="752" t="s">
        <v>704</v>
      </c>
      <c r="L5" s="751" t="s">
        <v>1388</v>
      </c>
      <c r="M5" s="853">
        <v>7</v>
      </c>
      <c r="N5" s="752" t="s">
        <v>435</v>
      </c>
      <c r="O5" s="751" t="s">
        <v>1388</v>
      </c>
      <c r="P5" s="853">
        <v>2.5</v>
      </c>
      <c r="Q5" s="752" t="s">
        <v>468</v>
      </c>
      <c r="R5" s="751" t="s">
        <v>1388</v>
      </c>
      <c r="S5" s="853">
        <v>118.57</v>
      </c>
      <c r="T5" s="752" t="s">
        <v>759</v>
      </c>
      <c r="U5" s="751" t="s">
        <v>1479</v>
      </c>
      <c r="V5" s="853">
        <v>8.99</v>
      </c>
      <c r="W5" s="752" t="s">
        <v>435</v>
      </c>
      <c r="X5" s="751" t="s">
        <v>1388</v>
      </c>
      <c r="Y5" s="853">
        <f>Tabla1[[#This Row],[Precio5]]</f>
        <v>2.5</v>
      </c>
      <c r="Z5" s="752" t="s">
        <v>533</v>
      </c>
      <c r="AA5" s="751" t="s">
        <v>1388</v>
      </c>
      <c r="AB5" s="853">
        <v>3.6</v>
      </c>
      <c r="AC5" s="752" t="s">
        <v>550</v>
      </c>
      <c r="AD5" s="751" t="s">
        <v>1388</v>
      </c>
      <c r="AE5" s="857">
        <v>2.04</v>
      </c>
      <c r="AF5" s="29"/>
      <c r="AG5" s="29"/>
      <c r="AH5" s="29"/>
      <c r="AI5" s="29" t="s">
        <v>539</v>
      </c>
      <c r="AJ5" s="29">
        <v>0.13</v>
      </c>
      <c r="AK5" s="29" t="s">
        <v>914</v>
      </c>
      <c r="AL5" s="29">
        <v>0.05</v>
      </c>
      <c r="AM5" s="29" t="s">
        <v>1652</v>
      </c>
      <c r="AN5" s="29">
        <v>0</v>
      </c>
      <c r="AO5" s="29"/>
      <c r="AP5" s="29"/>
      <c r="AQ5" s="29"/>
      <c r="AR5" s="29"/>
      <c r="AS5" s="29"/>
      <c r="AT5" s="29"/>
      <c r="AU5" s="29"/>
      <c r="AV5" s="29" t="s">
        <v>1668</v>
      </c>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row>
    <row r="6" spans="1:140" x14ac:dyDescent="0.25">
      <c r="A6" s="100"/>
      <c r="B6" s="102"/>
      <c r="C6" s="124" t="s">
        <v>709</v>
      </c>
      <c r="D6" s="751" t="s">
        <v>1388</v>
      </c>
      <c r="E6" s="853">
        <f t="shared" si="0"/>
        <v>2099.0723984875517</v>
      </c>
      <c r="F6" s="853">
        <f t="shared" si="3"/>
        <v>2073.8723984875514</v>
      </c>
      <c r="G6" s="853">
        <f t="shared" si="1"/>
        <v>2228.8723984875514</v>
      </c>
      <c r="H6" s="853">
        <f t="shared" si="2"/>
        <v>2196.8723984875514</v>
      </c>
      <c r="I6" s="853">
        <f t="shared" si="4"/>
        <v>2111.6723984875516</v>
      </c>
      <c r="J6" s="853">
        <f t="shared" si="5"/>
        <v>3497.9723984875518</v>
      </c>
      <c r="K6" s="752" t="s">
        <v>730</v>
      </c>
      <c r="L6" s="751" t="s">
        <v>1388</v>
      </c>
      <c r="M6" s="853">
        <v>13.04</v>
      </c>
      <c r="N6" s="752" t="s">
        <v>515</v>
      </c>
      <c r="O6" s="751" t="s">
        <v>1388</v>
      </c>
      <c r="P6" s="853">
        <v>7.8</v>
      </c>
      <c r="Q6" s="752" t="s">
        <v>459</v>
      </c>
      <c r="R6" s="751" t="s">
        <v>1388</v>
      </c>
      <c r="S6" s="853">
        <v>30</v>
      </c>
      <c r="T6" s="752" t="s">
        <v>347</v>
      </c>
      <c r="U6" s="751" t="s">
        <v>1388</v>
      </c>
      <c r="V6" s="853">
        <v>28.76</v>
      </c>
      <c r="W6" s="752" t="s">
        <v>716</v>
      </c>
      <c r="X6" s="751" t="s">
        <v>1388</v>
      </c>
      <c r="Y6" s="853">
        <v>307.8</v>
      </c>
      <c r="Z6" s="752" t="s">
        <v>531</v>
      </c>
      <c r="AA6" s="751" t="s">
        <v>1388</v>
      </c>
      <c r="AB6" s="853">
        <v>5.18</v>
      </c>
      <c r="AC6" s="752" t="s">
        <v>524</v>
      </c>
      <c r="AD6" s="751" t="s">
        <v>1388</v>
      </c>
      <c r="AE6" s="857">
        <v>80</v>
      </c>
      <c r="AF6" s="29"/>
      <c r="AG6" s="29"/>
      <c r="AH6" s="29"/>
      <c r="AI6" s="29" t="s">
        <v>672</v>
      </c>
      <c r="AJ6" s="29">
        <v>0.5</v>
      </c>
      <c r="AK6" s="29" t="s">
        <v>928</v>
      </c>
      <c r="AL6" s="29">
        <v>0.19</v>
      </c>
      <c r="AM6" s="29" t="s">
        <v>1653</v>
      </c>
      <c r="AN6" s="29">
        <v>0</v>
      </c>
      <c r="AO6" s="29"/>
      <c r="AP6" s="29"/>
      <c r="AQ6" s="29"/>
      <c r="AR6" s="29"/>
      <c r="AS6" s="29"/>
      <c r="AT6" s="29"/>
      <c r="AU6" s="29"/>
      <c r="AV6" s="29" t="s">
        <v>426</v>
      </c>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row>
    <row r="7" spans="1:140" x14ac:dyDescent="0.25">
      <c r="A7" s="100"/>
      <c r="B7" s="102"/>
      <c r="C7" s="124" t="s">
        <v>1373</v>
      </c>
      <c r="D7" s="751" t="s">
        <v>1388</v>
      </c>
      <c r="E7" s="853">
        <f t="shared" si="0"/>
        <v>2099.0723984875517</v>
      </c>
      <c r="F7" s="853">
        <f t="shared" si="3"/>
        <v>2073.8723984875514</v>
      </c>
      <c r="G7" s="853">
        <f t="shared" si="1"/>
        <v>2228.8723984875514</v>
      </c>
      <c r="H7" s="853">
        <f t="shared" si="2"/>
        <v>2196.8723984875514</v>
      </c>
      <c r="I7" s="853">
        <f t="shared" si="4"/>
        <v>2111.6723984875516</v>
      </c>
      <c r="J7" s="853">
        <f t="shared" si="5"/>
        <v>3497.9723984875518</v>
      </c>
      <c r="K7" s="752" t="s">
        <v>741</v>
      </c>
      <c r="L7" s="751" t="s">
        <v>1388</v>
      </c>
      <c r="M7" s="853">
        <v>1.1419999999999999</v>
      </c>
      <c r="N7" s="752" t="s">
        <v>539</v>
      </c>
      <c r="O7" s="751" t="s">
        <v>1388</v>
      </c>
      <c r="P7" s="853">
        <v>2.5</v>
      </c>
      <c r="Q7" s="752" t="s">
        <v>696</v>
      </c>
      <c r="R7" s="751" t="s">
        <v>1388</v>
      </c>
      <c r="S7" s="853">
        <v>54</v>
      </c>
      <c r="T7" s="752" t="s">
        <v>729</v>
      </c>
      <c r="U7" s="751" t="s">
        <v>1479</v>
      </c>
      <c r="V7" s="853">
        <v>19.670000000000002</v>
      </c>
      <c r="W7" s="752" t="s">
        <v>443</v>
      </c>
      <c r="X7" s="751" t="s">
        <v>1388</v>
      </c>
      <c r="Y7" s="853">
        <v>3.6</v>
      </c>
      <c r="Z7" s="752" t="s">
        <v>657</v>
      </c>
      <c r="AA7" s="751" t="s">
        <v>1388</v>
      </c>
      <c r="AB7" s="853">
        <v>19.98</v>
      </c>
      <c r="AC7" s="752" t="s">
        <v>339</v>
      </c>
      <c r="AD7" s="751" t="s">
        <v>1388</v>
      </c>
      <c r="AE7" s="857">
        <v>0.4</v>
      </c>
      <c r="AF7" s="29"/>
      <c r="AG7" s="29"/>
      <c r="AH7" s="29"/>
      <c r="AI7" s="29" t="s">
        <v>1647</v>
      </c>
      <c r="AJ7" s="29">
        <v>0.15</v>
      </c>
      <c r="AK7" s="29" t="s">
        <v>730</v>
      </c>
      <c r="AL7" s="29">
        <v>0.2</v>
      </c>
      <c r="AM7" s="29" t="s">
        <v>1654</v>
      </c>
      <c r="AN7" s="29">
        <v>0.45</v>
      </c>
      <c r="AO7" s="29"/>
      <c r="AP7" s="29"/>
      <c r="AQ7" s="29" t="s">
        <v>1960</v>
      </c>
      <c r="AR7" s="29" t="s">
        <v>1961</v>
      </c>
      <c r="AS7" s="29"/>
      <c r="AT7" s="29"/>
      <c r="AU7" s="29"/>
      <c r="AV7" s="29" t="s">
        <v>1669</v>
      </c>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row>
    <row r="8" spans="1:140" x14ac:dyDescent="0.25">
      <c r="A8" s="100"/>
      <c r="B8" s="102"/>
      <c r="C8" s="125" t="s">
        <v>1374</v>
      </c>
      <c r="D8" s="751" t="s">
        <v>1388</v>
      </c>
      <c r="E8" s="853">
        <f t="shared" si="0"/>
        <v>2099.0723984875517</v>
      </c>
      <c r="F8" s="853">
        <f t="shared" si="3"/>
        <v>2073.8723984875514</v>
      </c>
      <c r="G8" s="853">
        <f t="shared" si="1"/>
        <v>2228.8723984875514</v>
      </c>
      <c r="H8" s="853">
        <f t="shared" si="2"/>
        <v>2196.8723984875514</v>
      </c>
      <c r="I8" s="853">
        <f t="shared" si="4"/>
        <v>2111.6723984875516</v>
      </c>
      <c r="J8" s="853">
        <f t="shared" si="5"/>
        <v>3497.9723984875518</v>
      </c>
      <c r="K8" s="752" t="s">
        <v>740</v>
      </c>
      <c r="L8" s="751" t="s">
        <v>1388</v>
      </c>
      <c r="M8" s="853">
        <v>3.2</v>
      </c>
      <c r="N8" s="752" t="s">
        <v>672</v>
      </c>
      <c r="O8" s="751" t="s">
        <v>1388</v>
      </c>
      <c r="P8" s="853">
        <v>3.3330000000000002</v>
      </c>
      <c r="Q8" s="752" t="s">
        <v>478</v>
      </c>
      <c r="R8" s="751" t="s">
        <v>1388</v>
      </c>
      <c r="S8" s="853">
        <v>59</v>
      </c>
      <c r="T8" s="752" t="s">
        <v>506</v>
      </c>
      <c r="U8" s="751" t="s">
        <v>1388</v>
      </c>
      <c r="V8" s="853">
        <v>115.48</v>
      </c>
      <c r="W8" s="752" t="s">
        <v>714</v>
      </c>
      <c r="X8" s="751" t="s">
        <v>1388</v>
      </c>
      <c r="Y8" s="853">
        <v>12.78</v>
      </c>
      <c r="Z8" s="752"/>
      <c r="AA8" s="751"/>
      <c r="AB8" s="853"/>
      <c r="AC8" s="752" t="s">
        <v>491</v>
      </c>
      <c r="AD8" s="751" t="s">
        <v>1388</v>
      </c>
      <c r="AE8" s="857">
        <v>27.25</v>
      </c>
      <c r="AF8" s="29"/>
      <c r="AG8" s="29"/>
      <c r="AH8" s="29"/>
      <c r="AI8" s="29" t="s">
        <v>699</v>
      </c>
      <c r="AJ8" s="29">
        <v>0.59</v>
      </c>
      <c r="AK8" s="29" t="s">
        <v>741</v>
      </c>
      <c r="AL8" s="29">
        <v>0.36</v>
      </c>
      <c r="AM8" s="29" t="s">
        <v>488</v>
      </c>
      <c r="AN8" s="29">
        <v>0.35</v>
      </c>
      <c r="AO8" s="29"/>
      <c r="AP8" s="29"/>
      <c r="AQ8" s="29" t="s">
        <v>1919</v>
      </c>
      <c r="AR8" s="286">
        <v>267.22379169571428</v>
      </c>
      <c r="AS8" s="29"/>
      <c r="AT8" s="29"/>
      <c r="AU8" s="29"/>
      <c r="AV8" s="29" t="s">
        <v>1781</v>
      </c>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row>
    <row r="9" spans="1:140" x14ac:dyDescent="0.25">
      <c r="A9" s="100"/>
      <c r="B9" s="102"/>
      <c r="C9" s="125" t="s">
        <v>1375</v>
      </c>
      <c r="D9" s="751" t="s">
        <v>1388</v>
      </c>
      <c r="E9" s="853">
        <f t="shared" si="0"/>
        <v>2099.0723984875517</v>
      </c>
      <c r="F9" s="853">
        <f t="shared" si="3"/>
        <v>2073.8723984875514</v>
      </c>
      <c r="G9" s="853">
        <f t="shared" si="1"/>
        <v>2228.8723984875514</v>
      </c>
      <c r="H9" s="853">
        <f t="shared" si="2"/>
        <v>2196.8723984875514</v>
      </c>
      <c r="I9" s="853">
        <f t="shared" si="4"/>
        <v>2111.6723984875516</v>
      </c>
      <c r="J9" s="853">
        <f t="shared" si="5"/>
        <v>3497.9723984875518</v>
      </c>
      <c r="K9" s="752" t="s">
        <v>734</v>
      </c>
      <c r="L9" s="751" t="s">
        <v>1388</v>
      </c>
      <c r="M9" s="853">
        <v>4</v>
      </c>
      <c r="N9" s="752" t="s">
        <v>544</v>
      </c>
      <c r="O9" s="751" t="s">
        <v>1388</v>
      </c>
      <c r="P9" s="853">
        <v>2</v>
      </c>
      <c r="Q9" s="752" t="s">
        <v>675</v>
      </c>
      <c r="R9" s="751" t="s">
        <v>1388</v>
      </c>
      <c r="S9" s="853">
        <v>46.63</v>
      </c>
      <c r="T9" s="752" t="s">
        <v>576</v>
      </c>
      <c r="U9" s="751" t="s">
        <v>1388</v>
      </c>
      <c r="V9" s="853">
        <v>19.36</v>
      </c>
      <c r="W9" s="752" t="s">
        <v>718</v>
      </c>
      <c r="X9" s="751" t="s">
        <v>1388</v>
      </c>
      <c r="Y9" s="853">
        <v>179.67</v>
      </c>
      <c r="Z9" s="752"/>
      <c r="AA9" s="751"/>
      <c r="AB9" s="853"/>
      <c r="AC9" s="752" t="s">
        <v>736</v>
      </c>
      <c r="AD9" s="751" t="s">
        <v>1388</v>
      </c>
      <c r="AE9" s="857">
        <v>39.380000000000003</v>
      </c>
      <c r="AF9" s="29"/>
      <c r="AG9" s="29"/>
      <c r="AH9" s="29"/>
      <c r="AI9" s="29" t="s">
        <v>691</v>
      </c>
      <c r="AJ9" s="29">
        <v>0.55000000000000004</v>
      </c>
      <c r="AK9" s="29" t="s">
        <v>923</v>
      </c>
      <c r="AL9" s="29">
        <v>0.37</v>
      </c>
      <c r="AM9" s="29" t="s">
        <v>1655</v>
      </c>
      <c r="AN9" s="29">
        <v>0.52</v>
      </c>
      <c r="AO9" s="29"/>
      <c r="AP9" s="29"/>
      <c r="AQ9" s="29" t="s">
        <v>1920</v>
      </c>
      <c r="AR9" s="286">
        <v>178.14919446380952</v>
      </c>
      <c r="AS9" s="29"/>
      <c r="AT9" s="29"/>
      <c r="AU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row>
    <row r="10" spans="1:140" x14ac:dyDescent="0.25">
      <c r="A10" s="100"/>
      <c r="B10" s="102"/>
      <c r="C10" s="126" t="s">
        <v>1376</v>
      </c>
      <c r="D10" s="751" t="s">
        <v>1388</v>
      </c>
      <c r="E10" s="853">
        <f t="shared" si="0"/>
        <v>2099.0723984875517</v>
      </c>
      <c r="F10" s="853">
        <f t="shared" si="3"/>
        <v>2073.8723984875514</v>
      </c>
      <c r="G10" s="853">
        <f t="shared" si="1"/>
        <v>2228.8723984875514</v>
      </c>
      <c r="H10" s="853">
        <f t="shared" si="2"/>
        <v>2196.8723984875514</v>
      </c>
      <c r="I10" s="853">
        <f t="shared" si="4"/>
        <v>2111.6723984875516</v>
      </c>
      <c r="J10" s="853">
        <f t="shared" si="5"/>
        <v>3497.9723984875518</v>
      </c>
      <c r="K10" s="752" t="s">
        <v>745</v>
      </c>
      <c r="L10" s="751" t="s">
        <v>1388</v>
      </c>
      <c r="M10" s="853">
        <v>4.5</v>
      </c>
      <c r="N10" s="752" t="s">
        <v>493</v>
      </c>
      <c r="O10" s="751" t="s">
        <v>1388</v>
      </c>
      <c r="P10" s="853">
        <v>0.7</v>
      </c>
      <c r="Q10" s="752" t="s">
        <v>458</v>
      </c>
      <c r="R10" s="751" t="s">
        <v>1388</v>
      </c>
      <c r="S10" s="853">
        <v>32.46</v>
      </c>
      <c r="T10" s="752" t="s">
        <v>502</v>
      </c>
      <c r="U10" s="751" t="s">
        <v>1388</v>
      </c>
      <c r="V10" s="853">
        <v>50.2</v>
      </c>
      <c r="W10" s="752" t="s">
        <v>715</v>
      </c>
      <c r="X10" s="751" t="s">
        <v>1388</v>
      </c>
      <c r="Y10" s="853">
        <v>25.27</v>
      </c>
      <c r="Z10" s="752"/>
      <c r="AA10" s="751"/>
      <c r="AB10" s="853"/>
      <c r="AC10" s="752" t="s">
        <v>739</v>
      </c>
      <c r="AD10" s="751" t="s">
        <v>1388</v>
      </c>
      <c r="AE10" s="857">
        <v>8.15</v>
      </c>
      <c r="AF10" s="29"/>
      <c r="AG10" s="29"/>
      <c r="AH10" s="29"/>
      <c r="AI10" s="29" t="s">
        <v>1648</v>
      </c>
      <c r="AJ10" s="29">
        <v>0</v>
      </c>
      <c r="AK10" s="29" t="s">
        <v>734</v>
      </c>
      <c r="AL10" s="29">
        <v>0.14000000000000001</v>
      </c>
      <c r="AM10" s="29"/>
      <c r="AN10" s="29"/>
      <c r="AO10" s="29"/>
      <c r="AP10" s="29"/>
      <c r="AQ10" s="29" t="s">
        <v>1921</v>
      </c>
      <c r="AR10" s="286">
        <v>267.22379169571428</v>
      </c>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row>
    <row r="11" spans="1:140" x14ac:dyDescent="0.25">
      <c r="A11" s="100"/>
      <c r="B11" s="102"/>
      <c r="C11" s="125" t="s">
        <v>1377</v>
      </c>
      <c r="D11" s="751" t="s">
        <v>1388</v>
      </c>
      <c r="E11" s="853">
        <f t="shared" si="0"/>
        <v>2099.0723984875517</v>
      </c>
      <c r="F11" s="853">
        <f t="shared" si="3"/>
        <v>2073.8723984875514</v>
      </c>
      <c r="G11" s="853">
        <f t="shared" si="1"/>
        <v>2228.8723984875514</v>
      </c>
      <c r="H11" s="853">
        <f t="shared" si="2"/>
        <v>2196.8723984875514</v>
      </c>
      <c r="I11" s="853">
        <f t="shared" si="4"/>
        <v>2111.6723984875516</v>
      </c>
      <c r="J11" s="853">
        <f t="shared" si="5"/>
        <v>3497.9723984875518</v>
      </c>
      <c r="K11" s="752" t="s">
        <v>743</v>
      </c>
      <c r="L11" s="751" t="s">
        <v>1388</v>
      </c>
      <c r="M11" s="853">
        <v>2.8570000000000002</v>
      </c>
      <c r="N11" s="752" t="s">
        <v>699</v>
      </c>
      <c r="O11" s="751" t="s">
        <v>1388</v>
      </c>
      <c r="P11" s="853">
        <v>1.4</v>
      </c>
      <c r="Q11" s="752" t="s">
        <v>467</v>
      </c>
      <c r="R11" s="751" t="s">
        <v>1388</v>
      </c>
      <c r="S11" s="853">
        <v>123</v>
      </c>
      <c r="T11" s="752" t="s">
        <v>599</v>
      </c>
      <c r="U11" s="751" t="s">
        <v>1388</v>
      </c>
      <c r="V11" s="853">
        <v>75.959999999999994</v>
      </c>
      <c r="W11" s="752" t="s">
        <v>719</v>
      </c>
      <c r="X11" s="751" t="s">
        <v>1388</v>
      </c>
      <c r="Y11" s="853">
        <v>42.73</v>
      </c>
      <c r="Z11" s="752"/>
      <c r="AA11" s="751"/>
      <c r="AB11" s="853"/>
      <c r="AC11" s="752" t="s">
        <v>450</v>
      </c>
      <c r="AD11" s="751" t="s">
        <v>1388</v>
      </c>
      <c r="AE11" s="857">
        <v>22.95</v>
      </c>
      <c r="AF11" s="29"/>
      <c r="AG11" s="29"/>
      <c r="AH11" s="29"/>
      <c r="AI11" s="29" t="s">
        <v>482</v>
      </c>
      <c r="AJ11" s="29">
        <v>0.23</v>
      </c>
      <c r="AK11" s="29" t="s">
        <v>917</v>
      </c>
      <c r="AL11" s="29">
        <v>0.33</v>
      </c>
      <c r="AM11" s="29"/>
      <c r="AN11" s="29"/>
      <c r="AO11" s="29"/>
      <c r="AP11" s="29"/>
      <c r="AQ11" s="29" t="s">
        <v>1922</v>
      </c>
      <c r="AR11" s="286">
        <v>267.22379169571428</v>
      </c>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row>
    <row r="12" spans="1:140" x14ac:dyDescent="0.25">
      <c r="A12" s="100"/>
      <c r="B12" s="102"/>
      <c r="C12" s="126" t="s">
        <v>1362</v>
      </c>
      <c r="D12" s="751" t="s">
        <v>1388</v>
      </c>
      <c r="E12" s="853">
        <f t="shared" si="0"/>
        <v>2099.0723984875517</v>
      </c>
      <c r="F12" s="853">
        <f t="shared" si="3"/>
        <v>2073.8723984875514</v>
      </c>
      <c r="G12" s="853">
        <f t="shared" si="1"/>
        <v>2228.8723984875514</v>
      </c>
      <c r="H12" s="853">
        <f t="shared" si="2"/>
        <v>2196.8723984875514</v>
      </c>
      <c r="I12" s="853">
        <f t="shared" si="4"/>
        <v>2111.6723984875516</v>
      </c>
      <c r="J12" s="853">
        <f t="shared" si="5"/>
        <v>3497.9723984875518</v>
      </c>
      <c r="K12" s="752" t="s">
        <v>703</v>
      </c>
      <c r="L12" s="751" t="s">
        <v>1388</v>
      </c>
      <c r="M12" s="853">
        <v>2.4</v>
      </c>
      <c r="N12" s="752" t="s">
        <v>700</v>
      </c>
      <c r="O12" s="751" t="s">
        <v>1388</v>
      </c>
      <c r="P12" s="853">
        <v>1.6</v>
      </c>
      <c r="Q12" s="752" t="s">
        <v>698</v>
      </c>
      <c r="R12" s="751" t="s">
        <v>1388</v>
      </c>
      <c r="S12" s="853">
        <v>37.5</v>
      </c>
      <c r="T12" s="752" t="s">
        <v>462</v>
      </c>
      <c r="U12" s="751" t="s">
        <v>1388</v>
      </c>
      <c r="V12" s="853">
        <v>25.98</v>
      </c>
      <c r="W12" s="752" t="s">
        <v>720</v>
      </c>
      <c r="X12" s="751" t="s">
        <v>1388</v>
      </c>
      <c r="Y12" s="853">
        <v>86.33</v>
      </c>
      <c r="Z12" s="752"/>
      <c r="AA12" s="751"/>
      <c r="AB12" s="853"/>
      <c r="AC12" s="752" t="s">
        <v>481</v>
      </c>
      <c r="AD12" s="751" t="s">
        <v>1388</v>
      </c>
      <c r="AE12" s="857">
        <v>69.22</v>
      </c>
      <c r="AF12" s="29"/>
      <c r="AG12" s="29"/>
      <c r="AH12" s="29"/>
      <c r="AI12" s="29" t="s">
        <v>510</v>
      </c>
      <c r="AJ12" s="29">
        <v>0</v>
      </c>
      <c r="AK12" s="29" t="s">
        <v>743</v>
      </c>
      <c r="AL12" s="29">
        <v>7.0000000000000007E-2</v>
      </c>
      <c r="AM12" s="29"/>
      <c r="AN12" s="29"/>
      <c r="AO12" s="29"/>
      <c r="AP12" s="29"/>
      <c r="AQ12" s="29" t="s">
        <v>1924</v>
      </c>
      <c r="AR12" s="286">
        <v>267.22379169571428</v>
      </c>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row>
    <row r="13" spans="1:140" x14ac:dyDescent="0.25">
      <c r="A13" s="100"/>
      <c r="B13" s="102"/>
      <c r="C13" s="125" t="s">
        <v>1378</v>
      </c>
      <c r="D13" s="751" t="s">
        <v>1388</v>
      </c>
      <c r="E13" s="853">
        <f t="shared" si="0"/>
        <v>2099.0723984875517</v>
      </c>
      <c r="F13" s="853">
        <f t="shared" si="3"/>
        <v>2073.8723984875514</v>
      </c>
      <c r="G13" s="853">
        <f t="shared" si="1"/>
        <v>2228.8723984875514</v>
      </c>
      <c r="H13" s="853">
        <f t="shared" si="2"/>
        <v>2196.8723984875514</v>
      </c>
      <c r="I13" s="853">
        <f t="shared" si="4"/>
        <v>2111.6723984875516</v>
      </c>
      <c r="J13" s="853">
        <f t="shared" si="5"/>
        <v>3497.9723984875518</v>
      </c>
      <c r="K13" s="752" t="s">
        <v>733</v>
      </c>
      <c r="L13" s="751" t="s">
        <v>1388</v>
      </c>
      <c r="M13" s="853">
        <v>2.5</v>
      </c>
      <c r="N13" s="752" t="s">
        <v>525</v>
      </c>
      <c r="O13" s="751" t="s">
        <v>1388</v>
      </c>
      <c r="P13" s="853">
        <v>2</v>
      </c>
      <c r="Q13" s="752" t="s">
        <v>465</v>
      </c>
      <c r="R13" s="751" t="s">
        <v>1388</v>
      </c>
      <c r="S13" s="853">
        <v>53.54</v>
      </c>
      <c r="T13" s="752" t="s">
        <v>547</v>
      </c>
      <c r="U13" s="751" t="s">
        <v>1388</v>
      </c>
      <c r="V13" s="853">
        <v>81.900000000000006</v>
      </c>
      <c r="W13" s="752" t="s">
        <v>721</v>
      </c>
      <c r="X13" s="751" t="s">
        <v>1388</v>
      </c>
      <c r="Y13" s="853">
        <v>105.4</v>
      </c>
      <c r="Z13" s="752"/>
      <c r="AA13" s="751"/>
      <c r="AB13" s="853"/>
      <c r="AC13" s="752" t="s">
        <v>492</v>
      </c>
      <c r="AD13" s="751" t="s">
        <v>1388</v>
      </c>
      <c r="AE13" s="857">
        <v>18.48</v>
      </c>
      <c r="AF13" s="29"/>
      <c r="AG13" s="29"/>
      <c r="AH13" s="29"/>
      <c r="AI13" s="29" t="s">
        <v>508</v>
      </c>
      <c r="AJ13" s="29">
        <v>0.15</v>
      </c>
      <c r="AK13" s="29" t="s">
        <v>703</v>
      </c>
      <c r="AL13" s="29">
        <v>0.35</v>
      </c>
      <c r="AM13" s="29"/>
      <c r="AN13" s="29"/>
      <c r="AO13" s="29"/>
      <c r="AP13" s="29"/>
      <c r="AQ13" s="29" t="s">
        <v>1923</v>
      </c>
      <c r="AR13" s="286">
        <v>178.14919446380952</v>
      </c>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row>
    <row r="14" spans="1:140" x14ac:dyDescent="0.25">
      <c r="A14" s="100"/>
      <c r="B14" s="101"/>
      <c r="C14" s="125" t="s">
        <v>1363</v>
      </c>
      <c r="D14" s="751" t="s">
        <v>1388</v>
      </c>
      <c r="E14" s="853">
        <f t="shared" si="0"/>
        <v>2099.0723984875517</v>
      </c>
      <c r="F14" s="853">
        <f t="shared" si="3"/>
        <v>2073.8723984875514</v>
      </c>
      <c r="G14" s="853">
        <f t="shared" si="1"/>
        <v>2228.8723984875514</v>
      </c>
      <c r="H14" s="853">
        <f t="shared" si="2"/>
        <v>2196.8723984875514</v>
      </c>
      <c r="I14" s="853">
        <f t="shared" si="4"/>
        <v>2111.6723984875516</v>
      </c>
      <c r="J14" s="853">
        <f t="shared" si="5"/>
        <v>3497.9723984875518</v>
      </c>
      <c r="K14" s="752" t="s">
        <v>899</v>
      </c>
      <c r="L14" s="751" t="s">
        <v>1388</v>
      </c>
      <c r="M14" s="853">
        <v>0.75</v>
      </c>
      <c r="N14" s="752" t="s">
        <v>454</v>
      </c>
      <c r="O14" s="751" t="s">
        <v>1388</v>
      </c>
      <c r="P14" s="853">
        <v>18.86</v>
      </c>
      <c r="Q14" s="752" t="s">
        <v>438</v>
      </c>
      <c r="R14" s="751" t="s">
        <v>1388</v>
      </c>
      <c r="S14" s="853">
        <v>72.95</v>
      </c>
      <c r="T14" s="752" t="s">
        <v>559</v>
      </c>
      <c r="U14" s="751" t="s">
        <v>1388</v>
      </c>
      <c r="V14" s="853">
        <v>318.95</v>
      </c>
      <c r="W14" s="752" t="s">
        <v>356</v>
      </c>
      <c r="X14" s="751" t="s">
        <v>1388</v>
      </c>
      <c r="Y14" s="853">
        <v>131.80000000000001</v>
      </c>
      <c r="Z14" s="752"/>
      <c r="AA14" s="751"/>
      <c r="AB14" s="853"/>
      <c r="AC14" s="752" t="s">
        <v>728</v>
      </c>
      <c r="AD14" s="751" t="s">
        <v>1479</v>
      </c>
      <c r="AE14" s="857">
        <v>43.81</v>
      </c>
      <c r="AF14" s="29"/>
      <c r="AG14" s="29"/>
      <c r="AH14" s="29"/>
      <c r="AI14" s="29" t="s">
        <v>915</v>
      </c>
      <c r="AJ14" s="29">
        <v>0.3</v>
      </c>
      <c r="AK14" s="29" t="s">
        <v>733</v>
      </c>
      <c r="AL14" s="29">
        <v>0.32</v>
      </c>
      <c r="AM14" s="29"/>
      <c r="AN14" s="29"/>
      <c r="AO14" s="29"/>
      <c r="AP14" s="29"/>
      <c r="AQ14" s="29" t="s">
        <v>1925</v>
      </c>
      <c r="AR14" s="286">
        <v>178.14919446380952</v>
      </c>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row>
    <row r="15" spans="1:140" x14ac:dyDescent="0.25">
      <c r="A15" s="100"/>
      <c r="B15" s="101"/>
      <c r="C15" s="126" t="s">
        <v>1379</v>
      </c>
      <c r="D15" s="751" t="s">
        <v>1388</v>
      </c>
      <c r="E15" s="853">
        <f t="shared" si="0"/>
        <v>2099.0723984875517</v>
      </c>
      <c r="F15" s="853">
        <f t="shared" si="3"/>
        <v>2073.8723984875514</v>
      </c>
      <c r="G15" s="853">
        <f t="shared" si="1"/>
        <v>2228.8723984875514</v>
      </c>
      <c r="H15" s="853">
        <f t="shared" si="2"/>
        <v>2196.8723984875514</v>
      </c>
      <c r="I15" s="853">
        <f t="shared" si="4"/>
        <v>2111.6723984875516</v>
      </c>
      <c r="J15" s="853">
        <f t="shared" si="5"/>
        <v>3497.9723984875518</v>
      </c>
      <c r="K15" s="752" t="s">
        <v>900</v>
      </c>
      <c r="L15" s="751" t="s">
        <v>1388</v>
      </c>
      <c r="M15" s="853">
        <v>1.4</v>
      </c>
      <c r="N15" s="752" t="s">
        <v>511</v>
      </c>
      <c r="O15" s="751" t="s">
        <v>1388</v>
      </c>
      <c r="P15" s="853">
        <v>8</v>
      </c>
      <c r="Q15" s="752" t="s">
        <v>349</v>
      </c>
      <c r="R15" s="751" t="s">
        <v>1388</v>
      </c>
      <c r="S15" s="853">
        <v>41</v>
      </c>
      <c r="T15" s="752" t="s">
        <v>585</v>
      </c>
      <c r="U15" s="751" t="s">
        <v>1388</v>
      </c>
      <c r="V15" s="853">
        <v>24.63</v>
      </c>
      <c r="W15" s="752" t="s">
        <v>445</v>
      </c>
      <c r="X15" s="751" t="s">
        <v>1388</v>
      </c>
      <c r="Y15" s="853">
        <v>159</v>
      </c>
      <c r="Z15" s="752"/>
      <c r="AA15" s="751"/>
      <c r="AB15" s="853"/>
      <c r="AC15" s="752" t="s">
        <v>727</v>
      </c>
      <c r="AD15" s="751" t="s">
        <v>1479</v>
      </c>
      <c r="AE15" s="857">
        <v>51.96</v>
      </c>
      <c r="AF15" s="29"/>
      <c r="AG15" s="29"/>
      <c r="AH15" s="29"/>
      <c r="AI15" s="29" t="s">
        <v>505</v>
      </c>
      <c r="AJ15" s="29">
        <v>0.26</v>
      </c>
      <c r="AK15" s="29" t="s">
        <v>934</v>
      </c>
      <c r="AL15" s="29">
        <v>0.26</v>
      </c>
      <c r="AM15" s="29"/>
      <c r="AN15" s="29"/>
      <c r="AO15" s="29"/>
      <c r="AP15" s="29"/>
      <c r="AQ15" s="29" t="s">
        <v>1962</v>
      </c>
      <c r="AR15" s="286">
        <v>267.22379169571428</v>
      </c>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row>
    <row r="16" spans="1:140" x14ac:dyDescent="0.25">
      <c r="A16" s="100"/>
      <c r="B16" s="101"/>
      <c r="C16" s="125" t="s">
        <v>1380</v>
      </c>
      <c r="D16" s="751" t="s">
        <v>1388</v>
      </c>
      <c r="E16" s="853">
        <f t="shared" si="0"/>
        <v>2099.0723984875517</v>
      </c>
      <c r="F16" s="853">
        <f t="shared" si="3"/>
        <v>2073.8723984875514</v>
      </c>
      <c r="G16" s="853">
        <f t="shared" si="1"/>
        <v>2228.8723984875514</v>
      </c>
      <c r="H16" s="853">
        <f t="shared" si="2"/>
        <v>2196.8723984875514</v>
      </c>
      <c r="I16" s="853">
        <f t="shared" si="4"/>
        <v>2111.6723984875516</v>
      </c>
      <c r="J16" s="853">
        <f t="shared" si="5"/>
        <v>3497.9723984875518</v>
      </c>
      <c r="K16" s="752" t="s">
        <v>903</v>
      </c>
      <c r="L16" s="751" t="s">
        <v>1388</v>
      </c>
      <c r="M16" s="853">
        <v>36.479999999999997</v>
      </c>
      <c r="N16" s="752" t="s">
        <v>691</v>
      </c>
      <c r="O16" s="751" t="s">
        <v>1388</v>
      </c>
      <c r="P16" s="853">
        <v>1.5</v>
      </c>
      <c r="Q16" s="752" t="s">
        <v>487</v>
      </c>
      <c r="R16" s="751" t="s">
        <v>1388</v>
      </c>
      <c r="S16" s="853">
        <v>31.23</v>
      </c>
      <c r="T16" s="752" t="s">
        <v>673</v>
      </c>
      <c r="U16" s="751" t="s">
        <v>1388</v>
      </c>
      <c r="V16" s="853">
        <v>54.41</v>
      </c>
      <c r="W16" s="752" t="s">
        <v>712</v>
      </c>
      <c r="X16" s="751" t="s">
        <v>1388</v>
      </c>
      <c r="Y16" s="853">
        <v>89.5</v>
      </c>
      <c r="Z16" s="752"/>
      <c r="AA16" s="751"/>
      <c r="AB16" s="853"/>
      <c r="AC16" s="752" t="s">
        <v>451</v>
      </c>
      <c r="AD16" s="751" t="s">
        <v>343</v>
      </c>
      <c r="AE16" s="857"/>
      <c r="AF16" s="29"/>
      <c r="AG16" s="29"/>
      <c r="AH16" s="29"/>
      <c r="AI16" s="29" t="s">
        <v>1649</v>
      </c>
      <c r="AJ16" s="29">
        <v>0.23</v>
      </c>
      <c r="AK16" s="29" t="s">
        <v>900</v>
      </c>
      <c r="AL16" s="29">
        <v>0.3</v>
      </c>
      <c r="AM16" s="29"/>
      <c r="AN16" s="29"/>
      <c r="AO16" s="29"/>
      <c r="AP16" s="29"/>
      <c r="AQ16" s="29" t="s">
        <v>1927</v>
      </c>
      <c r="AR16" s="286">
        <v>178.14919446380952</v>
      </c>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row>
    <row r="17" spans="1:140" x14ac:dyDescent="0.25">
      <c r="A17" s="100"/>
      <c r="B17" s="101"/>
      <c r="C17" s="124" t="s">
        <v>382</v>
      </c>
      <c r="D17" s="751" t="s">
        <v>1388</v>
      </c>
      <c r="E17" s="853">
        <f t="shared" si="0"/>
        <v>2099.0723984875517</v>
      </c>
      <c r="F17" s="853">
        <f t="shared" si="3"/>
        <v>2073.8723984875514</v>
      </c>
      <c r="G17" s="853">
        <f t="shared" si="1"/>
        <v>2228.8723984875514</v>
      </c>
      <c r="H17" s="853">
        <f t="shared" si="2"/>
        <v>2196.8723984875514</v>
      </c>
      <c r="I17" s="853">
        <f t="shared" si="4"/>
        <v>2111.6723984875516</v>
      </c>
      <c r="J17" s="853">
        <f t="shared" si="5"/>
        <v>3497.9723984875518</v>
      </c>
      <c r="K17" s="752" t="s">
        <v>904</v>
      </c>
      <c r="L17" s="751" t="s">
        <v>1388</v>
      </c>
      <c r="M17" s="853">
        <v>3.5</v>
      </c>
      <c r="N17" s="752" t="s">
        <v>653</v>
      </c>
      <c r="O17" s="751" t="s">
        <v>1388</v>
      </c>
      <c r="P17" s="853">
        <v>14.478999999999999</v>
      </c>
      <c r="Q17" s="752" t="s">
        <v>488</v>
      </c>
      <c r="R17" s="751" t="s">
        <v>1388</v>
      </c>
      <c r="S17" s="853">
        <v>153.78</v>
      </c>
      <c r="T17" s="752" t="s">
        <v>803</v>
      </c>
      <c r="U17" s="751" t="s">
        <v>1388</v>
      </c>
      <c r="V17" s="853">
        <v>23.09</v>
      </c>
      <c r="W17" s="752" t="s">
        <v>722</v>
      </c>
      <c r="X17" s="751" t="s">
        <v>1388</v>
      </c>
      <c r="Y17" s="853">
        <v>407.96</v>
      </c>
      <c r="Z17" s="752"/>
      <c r="AA17" s="751"/>
      <c r="AB17" s="853"/>
      <c r="AC17" s="752" t="s">
        <v>801</v>
      </c>
      <c r="AD17" s="751" t="s">
        <v>1388</v>
      </c>
      <c r="AE17" s="857">
        <v>34.270000000000003</v>
      </c>
      <c r="AF17" s="29"/>
      <c r="AG17" s="29"/>
      <c r="AH17" s="29"/>
      <c r="AI17" s="29" t="s">
        <v>545</v>
      </c>
      <c r="AJ17" s="29">
        <v>0.35</v>
      </c>
      <c r="AK17" s="29" t="s">
        <v>911</v>
      </c>
      <c r="AL17" s="29">
        <v>0.06</v>
      </c>
      <c r="AM17" s="29"/>
      <c r="AN17" s="29"/>
      <c r="AO17" s="29"/>
      <c r="AP17" s="29"/>
      <c r="AQ17" s="29" t="s">
        <v>1928</v>
      </c>
      <c r="AR17" s="286">
        <v>178.14919446380952</v>
      </c>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row>
    <row r="18" spans="1:140" x14ac:dyDescent="0.25">
      <c r="A18" s="100"/>
      <c r="B18" s="101"/>
      <c r="C18" s="126" t="s">
        <v>1381</v>
      </c>
      <c r="D18" s="751" t="s">
        <v>1388</v>
      </c>
      <c r="E18" s="853">
        <f t="shared" si="0"/>
        <v>2099.0723984875517</v>
      </c>
      <c r="F18" s="853">
        <f t="shared" si="3"/>
        <v>2073.8723984875514</v>
      </c>
      <c r="G18" s="853">
        <f t="shared" si="1"/>
        <v>2228.8723984875514</v>
      </c>
      <c r="H18" s="853">
        <f t="shared" si="2"/>
        <v>2196.8723984875514</v>
      </c>
      <c r="I18" s="853">
        <f t="shared" si="4"/>
        <v>2111.6723984875516</v>
      </c>
      <c r="J18" s="853">
        <f t="shared" si="5"/>
        <v>3497.9723984875518</v>
      </c>
      <c r="K18" s="752" t="s">
        <v>906</v>
      </c>
      <c r="L18" s="751" t="s">
        <v>1388</v>
      </c>
      <c r="M18" s="853">
        <v>4</v>
      </c>
      <c r="N18" s="752" t="s">
        <v>482</v>
      </c>
      <c r="O18" s="751" t="s">
        <v>1388</v>
      </c>
      <c r="P18" s="853">
        <v>5</v>
      </c>
      <c r="Q18" s="752" t="s">
        <v>738</v>
      </c>
      <c r="R18" s="751" t="s">
        <v>1388</v>
      </c>
      <c r="S18" s="853">
        <f>S14</f>
        <v>72.95</v>
      </c>
      <c r="T18" s="752" t="s">
        <v>918</v>
      </c>
      <c r="U18" s="751" t="s">
        <v>1479</v>
      </c>
      <c r="V18" s="853">
        <v>4.24</v>
      </c>
      <c r="W18" s="752" t="s">
        <v>561</v>
      </c>
      <c r="X18" s="751" t="s">
        <v>1388</v>
      </c>
      <c r="Y18" s="853">
        <v>223.57</v>
      </c>
      <c r="Z18" s="752"/>
      <c r="AA18" s="751"/>
      <c r="AB18" s="853"/>
      <c r="AC18" s="752" t="s">
        <v>908</v>
      </c>
      <c r="AD18" s="751" t="s">
        <v>1388</v>
      </c>
      <c r="AE18" s="857"/>
      <c r="AF18" s="29"/>
      <c r="AG18" s="29"/>
      <c r="AH18" s="29"/>
      <c r="AI18" s="29" t="s">
        <v>429</v>
      </c>
      <c r="AJ18" s="29">
        <v>0.05</v>
      </c>
      <c r="AK18" s="29"/>
      <c r="AL18" s="29"/>
      <c r="AM18" s="29"/>
      <c r="AN18" s="29"/>
      <c r="AO18" s="29"/>
      <c r="AP18" s="29"/>
      <c r="AQ18" s="29" t="s">
        <v>1929</v>
      </c>
      <c r="AR18" s="286">
        <v>178.14919446380952</v>
      </c>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row>
    <row r="19" spans="1:140" x14ac:dyDescent="0.25">
      <c r="A19" s="100"/>
      <c r="B19" s="101"/>
      <c r="C19" s="125" t="s">
        <v>1382</v>
      </c>
      <c r="D19" s="751" t="s">
        <v>1388</v>
      </c>
      <c r="E19" s="853">
        <f t="shared" si="0"/>
        <v>2099.0723984875517</v>
      </c>
      <c r="F19" s="853">
        <f t="shared" si="3"/>
        <v>2073.8723984875514</v>
      </c>
      <c r="G19" s="853">
        <f t="shared" si="1"/>
        <v>2228.8723984875514</v>
      </c>
      <c r="H19" s="853">
        <f t="shared" si="2"/>
        <v>2196.8723984875514</v>
      </c>
      <c r="I19" s="853">
        <f t="shared" si="4"/>
        <v>2111.6723984875516</v>
      </c>
      <c r="J19" s="853">
        <f t="shared" si="5"/>
        <v>3497.9723984875518</v>
      </c>
      <c r="K19" s="752" t="s">
        <v>907</v>
      </c>
      <c r="L19" s="751" t="s">
        <v>1388</v>
      </c>
      <c r="M19" s="853">
        <f>M16+M20+M11+M5</f>
        <v>50.086999999999996</v>
      </c>
      <c r="N19" s="752" t="s">
        <v>431</v>
      </c>
      <c r="O19" s="751" t="s">
        <v>1388</v>
      </c>
      <c r="P19" s="853">
        <v>10.28</v>
      </c>
      <c r="Q19" s="752" t="s">
        <v>804</v>
      </c>
      <c r="R19" s="751" t="s">
        <v>1388</v>
      </c>
      <c r="S19" s="853">
        <v>44</v>
      </c>
      <c r="T19" s="752" t="s">
        <v>927</v>
      </c>
      <c r="U19" s="751" t="s">
        <v>1388</v>
      </c>
      <c r="V19" s="853">
        <v>11.99</v>
      </c>
      <c r="W19" s="752" t="s">
        <v>723</v>
      </c>
      <c r="X19" s="751" t="s">
        <v>1388</v>
      </c>
      <c r="Y19" s="853">
        <v>207.5</v>
      </c>
      <c r="Z19" s="752"/>
      <c r="AA19" s="751"/>
      <c r="AB19" s="853"/>
      <c r="AC19" s="752" t="s">
        <v>920</v>
      </c>
      <c r="AD19" s="751" t="s">
        <v>1479</v>
      </c>
      <c r="AE19" s="857">
        <v>1.71</v>
      </c>
      <c r="AF19" s="29"/>
      <c r="AG19" s="29"/>
      <c r="AH19" s="29"/>
      <c r="AI19" s="29" t="s">
        <v>436</v>
      </c>
      <c r="AJ19" s="29">
        <v>0.37</v>
      </c>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row>
    <row r="20" spans="1:140" x14ac:dyDescent="0.25">
      <c r="A20" s="100"/>
      <c r="B20" s="101"/>
      <c r="C20" s="125" t="s">
        <v>372</v>
      </c>
      <c r="D20" s="751" t="s">
        <v>1388</v>
      </c>
      <c r="E20" s="853">
        <f t="shared" si="0"/>
        <v>2099.0723984875517</v>
      </c>
      <c r="F20" s="853">
        <f t="shared" si="3"/>
        <v>2073.8723984875514</v>
      </c>
      <c r="G20" s="853">
        <f t="shared" si="1"/>
        <v>2228.8723984875514</v>
      </c>
      <c r="H20" s="853">
        <f t="shared" si="2"/>
        <v>2196.8723984875514</v>
      </c>
      <c r="I20" s="853">
        <f t="shared" si="4"/>
        <v>2111.6723984875516</v>
      </c>
      <c r="J20" s="853">
        <f t="shared" si="5"/>
        <v>3497.9723984875518</v>
      </c>
      <c r="K20" s="752" t="s">
        <v>911</v>
      </c>
      <c r="L20" s="751" t="s">
        <v>1388</v>
      </c>
      <c r="M20" s="853">
        <v>3.75</v>
      </c>
      <c r="N20" s="752" t="s">
        <v>665</v>
      </c>
      <c r="O20" s="751" t="s">
        <v>1388</v>
      </c>
      <c r="P20" s="853">
        <v>4</v>
      </c>
      <c r="Q20" s="752" t="s">
        <v>805</v>
      </c>
      <c r="R20" s="751" t="s">
        <v>1388</v>
      </c>
      <c r="S20" s="853">
        <v>48.54</v>
      </c>
      <c r="T20" s="752" t="s">
        <v>1305</v>
      </c>
      <c r="U20" s="751" t="s">
        <v>1388</v>
      </c>
      <c r="V20" s="853">
        <v>17.350000000000001</v>
      </c>
      <c r="W20" s="752" t="s">
        <v>340</v>
      </c>
      <c r="X20" s="751" t="s">
        <v>1388</v>
      </c>
      <c r="Y20" s="853">
        <v>0.64</v>
      </c>
      <c r="Z20" s="752"/>
      <c r="AA20" s="751"/>
      <c r="AB20" s="853"/>
      <c r="AC20" s="752" t="s">
        <v>925</v>
      </c>
      <c r="AD20" s="751" t="s">
        <v>1388</v>
      </c>
      <c r="AE20" s="857">
        <v>276.5</v>
      </c>
      <c r="AF20" s="29"/>
      <c r="AG20" s="29"/>
      <c r="AH20" s="29"/>
      <c r="AI20" s="29" t="s">
        <v>529</v>
      </c>
      <c r="AJ20" s="29">
        <v>0.31</v>
      </c>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row>
    <row r="21" spans="1:140" x14ac:dyDescent="0.25">
      <c r="A21" s="100"/>
      <c r="B21" s="101"/>
      <c r="C21" s="124" t="s">
        <v>373</v>
      </c>
      <c r="D21" s="751" t="s">
        <v>1388</v>
      </c>
      <c r="E21" s="853">
        <f t="shared" si="0"/>
        <v>2099.0723984875517</v>
      </c>
      <c r="F21" s="853">
        <f t="shared" si="3"/>
        <v>2073.8723984875514</v>
      </c>
      <c r="G21" s="853">
        <f t="shared" si="1"/>
        <v>2228.8723984875514</v>
      </c>
      <c r="H21" s="853">
        <f t="shared" si="2"/>
        <v>2196.8723984875514</v>
      </c>
      <c r="I21" s="853">
        <f t="shared" si="4"/>
        <v>2111.6723984875516</v>
      </c>
      <c r="J21" s="853">
        <f t="shared" si="5"/>
        <v>3497.9723984875518</v>
      </c>
      <c r="K21" s="752" t="s">
        <v>912</v>
      </c>
      <c r="L21" s="751" t="s">
        <v>1388</v>
      </c>
      <c r="M21" s="853">
        <v>4.1660000000000004</v>
      </c>
      <c r="N21" s="752" t="s">
        <v>510</v>
      </c>
      <c r="O21" s="751" t="s">
        <v>1388</v>
      </c>
      <c r="P21" s="853">
        <v>1.6</v>
      </c>
      <c r="Q21" s="752"/>
      <c r="R21" s="751"/>
      <c r="S21" s="853"/>
      <c r="T21" s="752" t="s">
        <v>1312</v>
      </c>
      <c r="U21" s="751" t="s">
        <v>1388</v>
      </c>
      <c r="V21" s="853">
        <v>36.869999999999997</v>
      </c>
      <c r="W21" s="752" t="s">
        <v>724</v>
      </c>
      <c r="X21" s="751" t="s">
        <v>1388</v>
      </c>
      <c r="Y21" s="853">
        <v>134.5</v>
      </c>
      <c r="Z21" s="751"/>
      <c r="AA21" s="751"/>
      <c r="AB21" s="853"/>
      <c r="AC21" s="752" t="s">
        <v>926</v>
      </c>
      <c r="AD21" s="751" t="s">
        <v>1479</v>
      </c>
      <c r="AE21" s="857">
        <v>4.22</v>
      </c>
      <c r="AF21" s="29"/>
      <c r="AG21" s="29"/>
      <c r="AH21" s="29"/>
      <c r="AI21" s="300"/>
      <c r="AJ21" s="300"/>
      <c r="AK21" s="300"/>
      <c r="AL21" s="300"/>
      <c r="AM21" s="300"/>
      <c r="AN21" s="300"/>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row>
    <row r="22" spans="1:140" x14ac:dyDescent="0.25">
      <c r="A22" s="100"/>
      <c r="B22" s="101"/>
      <c r="C22" s="125" t="s">
        <v>1383</v>
      </c>
      <c r="D22" s="751" t="s">
        <v>1388</v>
      </c>
      <c r="E22" s="853">
        <f t="shared" si="0"/>
        <v>2099.0723984875517</v>
      </c>
      <c r="F22" s="853">
        <f t="shared" si="3"/>
        <v>2073.8723984875514</v>
      </c>
      <c r="G22" s="853">
        <f t="shared" si="1"/>
        <v>2228.8723984875514</v>
      </c>
      <c r="H22" s="853">
        <f t="shared" si="2"/>
        <v>2196.8723984875514</v>
      </c>
      <c r="I22" s="853">
        <f t="shared" si="4"/>
        <v>2111.6723984875516</v>
      </c>
      <c r="J22" s="853">
        <f t="shared" si="5"/>
        <v>3497.9723984875518</v>
      </c>
      <c r="K22" s="752" t="s">
        <v>914</v>
      </c>
      <c r="L22" s="751" t="s">
        <v>1388</v>
      </c>
      <c r="M22" s="853">
        <v>41</v>
      </c>
      <c r="N22" s="752" t="s">
        <v>508</v>
      </c>
      <c r="O22" s="751" t="s">
        <v>1388</v>
      </c>
      <c r="P22" s="853">
        <v>3.4</v>
      </c>
      <c r="Q22" s="752"/>
      <c r="R22" s="751"/>
      <c r="S22" s="853"/>
      <c r="T22" s="752" t="s">
        <v>1313</v>
      </c>
      <c r="U22" s="751" t="s">
        <v>1479</v>
      </c>
      <c r="V22" s="853">
        <v>2.95</v>
      </c>
      <c r="W22" s="752" t="s">
        <v>798</v>
      </c>
      <c r="X22" s="751" t="s">
        <v>1388</v>
      </c>
      <c r="Y22" s="853">
        <v>172.22</v>
      </c>
      <c r="Z22" s="751"/>
      <c r="AA22" s="751"/>
      <c r="AB22" s="853"/>
      <c r="AC22" s="752" t="s">
        <v>1301</v>
      </c>
      <c r="AD22" s="751" t="s">
        <v>1388</v>
      </c>
      <c r="AE22" s="857">
        <v>78.33</v>
      </c>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row>
    <row r="23" spans="1:140" x14ac:dyDescent="0.25">
      <c r="A23" s="100"/>
      <c r="B23" s="101"/>
      <c r="C23" s="124" t="s">
        <v>368</v>
      </c>
      <c r="D23" s="751" t="s">
        <v>1388</v>
      </c>
      <c r="E23" s="853">
        <f t="shared" si="0"/>
        <v>2099.0723984875517</v>
      </c>
      <c r="F23" s="853">
        <f t="shared" si="3"/>
        <v>2073.8723984875514</v>
      </c>
      <c r="G23" s="853">
        <f t="shared" si="1"/>
        <v>2228.8723984875514</v>
      </c>
      <c r="H23" s="853">
        <f t="shared" si="2"/>
        <v>2196.8723984875514</v>
      </c>
      <c r="I23" s="853">
        <f t="shared" si="4"/>
        <v>2111.6723984875516</v>
      </c>
      <c r="J23" s="853">
        <f t="shared" si="5"/>
        <v>3497.9723984875518</v>
      </c>
      <c r="K23" s="752" t="s">
        <v>917</v>
      </c>
      <c r="L23" s="751" t="s">
        <v>1388</v>
      </c>
      <c r="M23" s="853">
        <v>1.8</v>
      </c>
      <c r="N23" s="752" t="s">
        <v>345</v>
      </c>
      <c r="O23" s="751" t="s">
        <v>1388</v>
      </c>
      <c r="P23" s="853">
        <v>1.6</v>
      </c>
      <c r="Q23" s="752"/>
      <c r="R23" s="751"/>
      <c r="S23" s="853"/>
      <c r="T23" s="752" t="s">
        <v>1320</v>
      </c>
      <c r="U23" s="751" t="s">
        <v>1479</v>
      </c>
      <c r="V23" s="853">
        <v>13.39</v>
      </c>
      <c r="W23" s="752" t="s">
        <v>902</v>
      </c>
      <c r="X23" s="751" t="s">
        <v>1388</v>
      </c>
      <c r="Y23" s="853">
        <v>30</v>
      </c>
      <c r="Z23" s="751"/>
      <c r="AA23" s="751"/>
      <c r="AB23" s="853"/>
      <c r="AC23" s="752" t="s">
        <v>1303</v>
      </c>
      <c r="AD23" s="751" t="s">
        <v>1388</v>
      </c>
      <c r="AE23" s="857">
        <v>31.48</v>
      </c>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row>
    <row r="24" spans="1:140" x14ac:dyDescent="0.25">
      <c r="A24" s="30"/>
      <c r="B24" s="30"/>
      <c r="C24" s="126" t="s">
        <v>1384</v>
      </c>
      <c r="D24" s="751" t="s">
        <v>1388</v>
      </c>
      <c r="E24" s="853">
        <f t="shared" si="0"/>
        <v>2099.0723984875517</v>
      </c>
      <c r="F24" s="853">
        <f t="shared" si="3"/>
        <v>2073.8723984875514</v>
      </c>
      <c r="G24" s="853">
        <f t="shared" si="1"/>
        <v>2228.8723984875514</v>
      </c>
      <c r="H24" s="853">
        <f t="shared" si="2"/>
        <v>2196.8723984875514</v>
      </c>
      <c r="I24" s="853">
        <f t="shared" si="4"/>
        <v>2111.6723984875516</v>
      </c>
      <c r="J24" s="853">
        <f t="shared" si="5"/>
        <v>3497.9723984875518</v>
      </c>
      <c r="K24" s="752" t="s">
        <v>923</v>
      </c>
      <c r="L24" s="751" t="s">
        <v>1388</v>
      </c>
      <c r="M24" s="853">
        <v>2.5</v>
      </c>
      <c r="N24" s="752" t="s">
        <v>475</v>
      </c>
      <c r="O24" s="751" t="s">
        <v>1388</v>
      </c>
      <c r="P24" s="853">
        <v>3.5</v>
      </c>
      <c r="Q24" s="751"/>
      <c r="R24" s="751"/>
      <c r="S24" s="853"/>
      <c r="T24" s="752" t="s">
        <v>1321</v>
      </c>
      <c r="U24" s="751" t="s">
        <v>1388</v>
      </c>
      <c r="V24" s="853">
        <v>20.83</v>
      </c>
      <c r="W24" s="752" t="s">
        <v>910</v>
      </c>
      <c r="X24" s="751" t="s">
        <v>1388</v>
      </c>
      <c r="Y24" s="853">
        <v>31.58</v>
      </c>
      <c r="Z24" s="751"/>
      <c r="AA24" s="751"/>
      <c r="AB24" s="853"/>
      <c r="AC24" s="752" t="s">
        <v>1310</v>
      </c>
      <c r="AD24" s="751" t="s">
        <v>1479</v>
      </c>
      <c r="AE24" s="857">
        <v>77.319999999999993</v>
      </c>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row>
    <row r="25" spans="1:140" x14ac:dyDescent="0.25">
      <c r="A25" s="30"/>
      <c r="B25" s="30"/>
      <c r="C25" s="124" t="s">
        <v>1385</v>
      </c>
      <c r="D25" s="751" t="s">
        <v>1388</v>
      </c>
      <c r="E25" s="853">
        <f t="shared" si="0"/>
        <v>2099.0723984875517</v>
      </c>
      <c r="F25" s="853">
        <f t="shared" si="3"/>
        <v>2073.8723984875514</v>
      </c>
      <c r="G25" s="853">
        <f t="shared" si="1"/>
        <v>2228.8723984875514</v>
      </c>
      <c r="H25" s="853">
        <f t="shared" si="2"/>
        <v>2196.8723984875514</v>
      </c>
      <c r="I25" s="853">
        <f t="shared" si="4"/>
        <v>2111.6723984875516</v>
      </c>
      <c r="J25" s="853">
        <f t="shared" si="5"/>
        <v>3497.9723984875518</v>
      </c>
      <c r="K25" s="752" t="s">
        <v>928</v>
      </c>
      <c r="L25" s="751" t="s">
        <v>1388</v>
      </c>
      <c r="M25" s="853">
        <v>16.5</v>
      </c>
      <c r="N25" s="752" t="s">
        <v>476</v>
      </c>
      <c r="O25" s="751" t="s">
        <v>1388</v>
      </c>
      <c r="P25" s="853">
        <v>3.5</v>
      </c>
      <c r="Q25" s="751"/>
      <c r="R25" s="751"/>
      <c r="S25" s="853"/>
      <c r="T25" s="752"/>
      <c r="U25" s="751"/>
      <c r="V25" s="853"/>
      <c r="W25" s="752" t="s">
        <v>919</v>
      </c>
      <c r="X25" s="751" t="s">
        <v>1388</v>
      </c>
      <c r="Y25" s="853">
        <v>30</v>
      </c>
      <c r="Z25" s="751"/>
      <c r="AA25" s="751"/>
      <c r="AB25" s="853"/>
      <c r="AC25" s="752" t="s">
        <v>1306</v>
      </c>
      <c r="AD25" s="751" t="s">
        <v>1388</v>
      </c>
      <c r="AE25" s="857">
        <v>9.58</v>
      </c>
      <c r="AF25" s="29"/>
      <c r="AG25" s="29"/>
      <c r="AH25" s="29"/>
      <c r="AI25" s="1" t="s">
        <v>303</v>
      </c>
      <c r="AJ25" s="29" t="s">
        <v>1678</v>
      </c>
      <c r="AK25" s="29" t="s">
        <v>226</v>
      </c>
      <c r="AL25" s="29" t="s">
        <v>1680</v>
      </c>
      <c r="AM25" s="29" t="s">
        <v>1104</v>
      </c>
      <c r="AN25" s="29" t="s">
        <v>1329</v>
      </c>
      <c r="AO25" s="29" t="s">
        <v>2131</v>
      </c>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row>
    <row r="26" spans="1:140" x14ac:dyDescent="0.25">
      <c r="A26" s="29"/>
      <c r="B26" s="30"/>
      <c r="C26" s="124" t="s">
        <v>1386</v>
      </c>
      <c r="D26" s="751" t="s">
        <v>1388</v>
      </c>
      <c r="E26" s="853">
        <f t="shared" si="0"/>
        <v>2099.0723984875517</v>
      </c>
      <c r="F26" s="853">
        <f t="shared" si="3"/>
        <v>2073.8723984875514</v>
      </c>
      <c r="G26" s="853">
        <f t="shared" si="1"/>
        <v>2228.8723984875514</v>
      </c>
      <c r="H26" s="853">
        <f t="shared" si="2"/>
        <v>2196.8723984875514</v>
      </c>
      <c r="I26" s="853">
        <f t="shared" si="4"/>
        <v>2111.6723984875516</v>
      </c>
      <c r="J26" s="853">
        <f t="shared" si="5"/>
        <v>3497.9723984875518</v>
      </c>
      <c r="K26" s="752" t="s">
        <v>933</v>
      </c>
      <c r="L26" s="751" t="s">
        <v>1388</v>
      </c>
      <c r="M26" s="853">
        <v>3</v>
      </c>
      <c r="N26" s="752" t="s">
        <v>701</v>
      </c>
      <c r="O26" s="751" t="s">
        <v>1388</v>
      </c>
      <c r="P26" s="853">
        <v>3.5</v>
      </c>
      <c r="Q26" s="751"/>
      <c r="R26" s="751"/>
      <c r="S26" s="853"/>
      <c r="T26" s="752"/>
      <c r="U26" s="751"/>
      <c r="V26" s="853"/>
      <c r="W26" s="752" t="s">
        <v>924</v>
      </c>
      <c r="X26" s="751" t="s">
        <v>1388</v>
      </c>
      <c r="Y26" s="853">
        <v>30</v>
      </c>
      <c r="Z26" s="751"/>
      <c r="AA26" s="751"/>
      <c r="AB26" s="853"/>
      <c r="AC26" s="752" t="s">
        <v>1308</v>
      </c>
      <c r="AD26" s="751" t="s">
        <v>1388</v>
      </c>
      <c r="AE26" s="857">
        <v>9</v>
      </c>
      <c r="AF26" s="29"/>
      <c r="AG26" s="29"/>
      <c r="AH26" s="29"/>
      <c r="AI26" s="29" t="s">
        <v>2327</v>
      </c>
      <c r="AJ26" s="29">
        <v>89.98</v>
      </c>
      <c r="AK26" s="29">
        <v>1490.4701889752762</v>
      </c>
      <c r="AL26" s="29">
        <v>1801.715474357886</v>
      </c>
      <c r="AM26" s="29">
        <v>131.82146077125219</v>
      </c>
      <c r="AN26" s="29">
        <v>956.11849518817462</v>
      </c>
      <c r="AO26" s="29">
        <v>953.74829894127811</v>
      </c>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row>
    <row r="27" spans="1:140" x14ac:dyDescent="0.25">
      <c r="A27" s="29"/>
      <c r="B27" s="30"/>
      <c r="C27" s="124"/>
      <c r="D27" s="751"/>
      <c r="E27" s="751"/>
      <c r="F27" s="751"/>
      <c r="G27" s="751"/>
      <c r="H27" s="751"/>
      <c r="I27" s="751"/>
      <c r="J27" s="751"/>
      <c r="K27" s="752" t="s">
        <v>934</v>
      </c>
      <c r="L27" s="751" t="s">
        <v>1388</v>
      </c>
      <c r="M27" s="853">
        <v>4</v>
      </c>
      <c r="N27" s="752" t="s">
        <v>732</v>
      </c>
      <c r="O27" s="751" t="s">
        <v>1388</v>
      </c>
      <c r="P27" s="853">
        <v>5.4</v>
      </c>
      <c r="Q27" s="751"/>
      <c r="R27" s="751"/>
      <c r="S27" s="853"/>
      <c r="T27" s="752"/>
      <c r="U27" s="751"/>
      <c r="V27" s="853"/>
      <c r="W27" s="752" t="s">
        <v>2248</v>
      </c>
      <c r="X27" s="751" t="s">
        <v>1388</v>
      </c>
      <c r="Y27" s="853">
        <v>7</v>
      </c>
      <c r="Z27" s="751"/>
      <c r="AA27" s="751"/>
      <c r="AB27" s="853"/>
      <c r="AC27" s="752" t="s">
        <v>1309</v>
      </c>
      <c r="AD27" s="751" t="s">
        <v>1388</v>
      </c>
      <c r="AE27" s="857">
        <v>15</v>
      </c>
      <c r="AF27" s="29"/>
      <c r="AG27" s="29"/>
      <c r="AH27" s="29"/>
      <c r="AI27" s="29" t="s">
        <v>2322</v>
      </c>
      <c r="AJ27" s="29">
        <v>9.35</v>
      </c>
      <c r="AK27" s="29">
        <v>75.599999999999994</v>
      </c>
      <c r="AL27" s="29">
        <v>75.599999999999994</v>
      </c>
      <c r="AM27" s="29">
        <v>75.599999999999994</v>
      </c>
      <c r="AN27" s="29">
        <v>82.78</v>
      </c>
      <c r="AO27" s="29">
        <v>75.599999999999994</v>
      </c>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row>
    <row r="28" spans="1:140" x14ac:dyDescent="0.25">
      <c r="A28" s="29"/>
      <c r="B28" s="30"/>
      <c r="C28" s="124"/>
      <c r="D28" s="751"/>
      <c r="E28" s="751"/>
      <c r="F28" s="751"/>
      <c r="G28" s="751"/>
      <c r="H28" s="751"/>
      <c r="I28" s="751"/>
      <c r="J28" s="751"/>
      <c r="K28" s="752" t="s">
        <v>935</v>
      </c>
      <c r="L28" s="751" t="s">
        <v>1388</v>
      </c>
      <c r="M28" s="853">
        <v>3.4</v>
      </c>
      <c r="N28" s="752" t="s">
        <v>545</v>
      </c>
      <c r="O28" s="751" t="s">
        <v>1388</v>
      </c>
      <c r="P28" s="853">
        <v>1.6</v>
      </c>
      <c r="Q28" s="751"/>
      <c r="R28" s="751"/>
      <c r="S28" s="853"/>
      <c r="T28" s="752"/>
      <c r="U28" s="751"/>
      <c r="V28" s="853"/>
      <c r="W28" s="752"/>
      <c r="X28" s="751"/>
      <c r="Y28" s="853"/>
      <c r="Z28" s="751"/>
      <c r="AA28" s="751"/>
      <c r="AB28" s="853"/>
      <c r="AC28" s="752" t="s">
        <v>1311</v>
      </c>
      <c r="AD28" s="751" t="s">
        <v>1388</v>
      </c>
      <c r="AE28" s="857">
        <v>25.44</v>
      </c>
      <c r="AF28" s="29"/>
      <c r="AG28" s="29"/>
      <c r="AH28" s="29"/>
      <c r="AI28" s="753"/>
      <c r="AJ28" s="753"/>
      <c r="AK28" s="753"/>
      <c r="AL28" s="753"/>
      <c r="AM28" s="753"/>
      <c r="AN28" s="753"/>
      <c r="AO28" s="753"/>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row>
    <row r="29" spans="1:140" x14ac:dyDescent="0.25">
      <c r="A29" s="29"/>
      <c r="B29" s="30"/>
      <c r="C29" s="124"/>
      <c r="D29" s="751"/>
      <c r="E29" s="751"/>
      <c r="F29" s="751"/>
      <c r="G29" s="751"/>
      <c r="H29" s="751"/>
      <c r="I29" s="751"/>
      <c r="J29" s="751"/>
      <c r="K29" s="752" t="s">
        <v>1318</v>
      </c>
      <c r="L29" s="751" t="s">
        <v>1388</v>
      </c>
      <c r="M29" s="853">
        <v>1.5</v>
      </c>
      <c r="N29" s="752" t="s">
        <v>429</v>
      </c>
      <c r="O29" s="751" t="s">
        <v>1388</v>
      </c>
      <c r="P29" s="853">
        <v>1.8</v>
      </c>
      <c r="Q29" s="751"/>
      <c r="R29" s="751"/>
      <c r="S29" s="853"/>
      <c r="T29" s="751"/>
      <c r="U29" s="751"/>
      <c r="V29" s="853"/>
      <c r="W29" s="752"/>
      <c r="X29" s="751"/>
      <c r="Y29" s="853"/>
      <c r="Z29" s="751"/>
      <c r="AA29" s="751"/>
      <c r="AB29" s="853"/>
      <c r="AC29" s="752" t="s">
        <v>1314</v>
      </c>
      <c r="AD29" s="751" t="s">
        <v>1388</v>
      </c>
      <c r="AE29" s="857">
        <v>137.27000000000001</v>
      </c>
      <c r="AF29" s="29"/>
      <c r="AG29" s="29"/>
      <c r="AH29" s="29"/>
      <c r="AI29" s="29" t="s">
        <v>1679</v>
      </c>
      <c r="AJ29" s="29">
        <v>1031.5623984875517</v>
      </c>
      <c r="AK29" s="29">
        <v>442.09817078037929</v>
      </c>
      <c r="AL29" s="29">
        <v>69.543532482306858</v>
      </c>
      <c r="AM29" s="29">
        <v>140.66759979375703</v>
      </c>
      <c r="AN29" s="29">
        <v>618.93743909253101</v>
      </c>
      <c r="AO29" s="29">
        <v>1547.3435977313275</v>
      </c>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row>
    <row r="30" spans="1:140" x14ac:dyDescent="0.25">
      <c r="A30" s="29"/>
      <c r="B30" s="30"/>
      <c r="C30" s="124"/>
      <c r="D30" s="751"/>
      <c r="E30" s="751"/>
      <c r="F30" s="751"/>
      <c r="G30" s="751"/>
      <c r="H30" s="751"/>
      <c r="I30" s="751"/>
      <c r="J30" s="751"/>
      <c r="K30" s="752" t="s">
        <v>1319</v>
      </c>
      <c r="L30" s="751" t="s">
        <v>1388</v>
      </c>
      <c r="M30" s="853">
        <v>29.16</v>
      </c>
      <c r="N30" s="752" t="s">
        <v>635</v>
      </c>
      <c r="O30" s="751" t="s">
        <v>1388</v>
      </c>
      <c r="P30" s="853">
        <v>3</v>
      </c>
      <c r="Q30" s="751"/>
      <c r="R30" s="751"/>
      <c r="S30" s="853"/>
      <c r="T30" s="751"/>
      <c r="U30" s="751"/>
      <c r="V30" s="853"/>
      <c r="W30" s="752"/>
      <c r="X30" s="751"/>
      <c r="Y30" s="853"/>
      <c r="Z30" s="751"/>
      <c r="AA30" s="751"/>
      <c r="AB30" s="853"/>
      <c r="AC30" s="752" t="s">
        <v>1315</v>
      </c>
      <c r="AD30" s="751" t="s">
        <v>1388</v>
      </c>
      <c r="AE30" s="857">
        <v>59.9</v>
      </c>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row>
    <row r="31" spans="1:140" x14ac:dyDescent="0.25">
      <c r="A31" s="29"/>
      <c r="B31" s="30"/>
      <c r="C31" s="124"/>
      <c r="D31" s="751"/>
      <c r="E31" s="751"/>
      <c r="F31" s="751"/>
      <c r="G31" s="751"/>
      <c r="H31" s="751"/>
      <c r="I31" s="751"/>
      <c r="J31" s="751"/>
      <c r="K31" s="752" t="s">
        <v>1323</v>
      </c>
      <c r="L31" s="751" t="s">
        <v>1388</v>
      </c>
      <c r="M31" s="853">
        <v>9</v>
      </c>
      <c r="N31" s="752" t="s">
        <v>436</v>
      </c>
      <c r="O31" s="751" t="s">
        <v>1388</v>
      </c>
      <c r="P31" s="853">
        <v>2.6</v>
      </c>
      <c r="Q31" s="751"/>
      <c r="R31" s="751"/>
      <c r="S31" s="853"/>
      <c r="T31" s="751"/>
      <c r="U31" s="751"/>
      <c r="V31" s="853"/>
      <c r="W31" s="751"/>
      <c r="X31" s="751"/>
      <c r="Y31" s="853"/>
      <c r="Z31" s="751"/>
      <c r="AA31" s="751"/>
      <c r="AB31" s="853"/>
      <c r="AC31" s="752" t="s">
        <v>1322</v>
      </c>
      <c r="AD31" s="751" t="s">
        <v>1479</v>
      </c>
      <c r="AE31" s="857">
        <v>27.48</v>
      </c>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row>
    <row r="32" spans="1:140" x14ac:dyDescent="0.25">
      <c r="A32" s="29"/>
      <c r="B32" s="30"/>
      <c r="C32" s="124"/>
      <c r="D32" s="751"/>
      <c r="E32" s="751"/>
      <c r="F32" s="751"/>
      <c r="G32" s="751"/>
      <c r="H32" s="751"/>
      <c r="I32" s="751"/>
      <c r="J32" s="751"/>
      <c r="K32" s="752" t="s">
        <v>1324</v>
      </c>
      <c r="L32" s="751" t="s">
        <v>1388</v>
      </c>
      <c r="M32" s="853">
        <v>10</v>
      </c>
      <c r="N32" s="752" t="s">
        <v>529</v>
      </c>
      <c r="O32" s="751" t="s">
        <v>1388</v>
      </c>
      <c r="P32" s="853">
        <v>17.72</v>
      </c>
      <c r="Q32" s="751"/>
      <c r="R32" s="751"/>
      <c r="S32" s="853"/>
      <c r="T32" s="751"/>
      <c r="U32" s="751"/>
      <c r="V32" s="853"/>
      <c r="W32" s="751"/>
      <c r="X32" s="751"/>
      <c r="Y32" s="853"/>
      <c r="Z32" s="751"/>
      <c r="AA32" s="751"/>
      <c r="AB32" s="853"/>
      <c r="AC32" s="752" t="s">
        <v>1327</v>
      </c>
      <c r="AD32" s="751" t="s">
        <v>1388</v>
      </c>
      <c r="AE32" s="857">
        <v>145.76</v>
      </c>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row>
    <row r="33" spans="1:142" x14ac:dyDescent="0.25">
      <c r="A33" s="29"/>
      <c r="B33" s="30"/>
      <c r="C33" s="124"/>
      <c r="D33" s="751"/>
      <c r="E33" s="751"/>
      <c r="F33" s="751"/>
      <c r="G33" s="751"/>
      <c r="H33" s="751"/>
      <c r="I33" s="751"/>
      <c r="J33" s="751"/>
      <c r="K33" s="752" t="s">
        <v>1389</v>
      </c>
      <c r="L33" s="751" t="s">
        <v>1388</v>
      </c>
      <c r="M33" s="853">
        <v>3.5</v>
      </c>
      <c r="N33" s="752" t="s">
        <v>915</v>
      </c>
      <c r="O33" s="751" t="s">
        <v>1388</v>
      </c>
      <c r="P33" s="853">
        <v>1.5</v>
      </c>
      <c r="Q33" s="751"/>
      <c r="R33" s="751"/>
      <c r="S33" s="853"/>
      <c r="T33" s="751"/>
      <c r="U33" s="751"/>
      <c r="V33" s="853"/>
      <c r="W33" s="751"/>
      <c r="X33" s="751"/>
      <c r="Y33" s="853"/>
      <c r="Z33" s="751"/>
      <c r="AA33" s="751"/>
      <c r="AB33" s="853"/>
      <c r="AC33" s="752" t="s">
        <v>1361</v>
      </c>
      <c r="AD33" s="751" t="s">
        <v>1388</v>
      </c>
      <c r="AE33" s="857">
        <v>3.59</v>
      </c>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row>
    <row r="34" spans="1:142" x14ac:dyDescent="0.25">
      <c r="A34" s="29"/>
      <c r="B34" s="30"/>
      <c r="C34" s="124"/>
      <c r="D34" s="751"/>
      <c r="E34" s="751"/>
      <c r="F34" s="751"/>
      <c r="G34" s="751"/>
      <c r="H34" s="751"/>
      <c r="I34" s="751"/>
      <c r="J34" s="751"/>
      <c r="K34" s="752"/>
      <c r="L34" s="751"/>
      <c r="M34" s="853"/>
      <c r="N34" s="752" t="s">
        <v>931</v>
      </c>
      <c r="O34" s="751" t="s">
        <v>1388</v>
      </c>
      <c r="P34" s="853">
        <v>1.6</v>
      </c>
      <c r="Q34" s="751"/>
      <c r="R34" s="751"/>
      <c r="S34" s="853"/>
      <c r="T34" s="751"/>
      <c r="U34" s="751"/>
      <c r="V34" s="853"/>
      <c r="W34" s="751"/>
      <c r="X34" s="751"/>
      <c r="Y34" s="853"/>
      <c r="Z34" s="751"/>
      <c r="AA34" s="751"/>
      <c r="AB34" s="853"/>
      <c r="AC34" s="752" t="s">
        <v>1881</v>
      </c>
      <c r="AD34" s="751" t="s">
        <v>1388</v>
      </c>
      <c r="AE34" s="857">
        <v>235</v>
      </c>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row>
    <row r="35" spans="1:142" x14ac:dyDescent="0.25">
      <c r="A35" s="29"/>
      <c r="B35" s="30"/>
      <c r="C35" s="129"/>
      <c r="D35" s="854"/>
      <c r="E35" s="854"/>
      <c r="F35" s="854"/>
      <c r="G35" s="854"/>
      <c r="H35" s="854"/>
      <c r="I35" s="854"/>
      <c r="J35" s="854"/>
      <c r="K35" s="854"/>
      <c r="L35" s="854"/>
      <c r="M35" s="858"/>
      <c r="N35" s="860" t="s">
        <v>1037</v>
      </c>
      <c r="O35" s="854" t="s">
        <v>1388</v>
      </c>
      <c r="P35" s="858">
        <v>0.129</v>
      </c>
      <c r="Q35" s="854"/>
      <c r="R35" s="854"/>
      <c r="S35" s="858"/>
      <c r="T35" s="854"/>
      <c r="U35" s="854"/>
      <c r="V35" s="858"/>
      <c r="W35" s="854"/>
      <c r="X35" s="854"/>
      <c r="Y35" s="858"/>
      <c r="Z35" s="854"/>
      <c r="AA35" s="854"/>
      <c r="AB35" s="858"/>
      <c r="AC35" s="860"/>
      <c r="AD35" s="854"/>
      <c r="AE35" s="85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row>
    <row r="36" spans="1:142" x14ac:dyDescent="0.25">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row>
    <row r="37" spans="1:142" x14ac:dyDescent="0.25">
      <c r="B37" s="29"/>
      <c r="C37" s="29"/>
      <c r="D37" s="29"/>
      <c r="E37" s="29" t="s">
        <v>1669</v>
      </c>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row>
    <row r="38" spans="1:142" s="29" customFormat="1" x14ac:dyDescent="0.25"/>
    <row r="39" spans="1:142" s="29" customFormat="1" x14ac:dyDescent="0.25">
      <c r="C39" s="995" t="s">
        <v>1353</v>
      </c>
      <c r="D39" s="995"/>
      <c r="E39" s="995"/>
      <c r="F39" s="995"/>
      <c r="G39" s="995"/>
      <c r="H39" s="995"/>
      <c r="I39" s="995"/>
      <c r="J39" s="995"/>
      <c r="K39" s="995"/>
      <c r="M39" s="995" t="s">
        <v>1354</v>
      </c>
      <c r="N39" s="995"/>
      <c r="O39" s="995"/>
      <c r="P39" s="995"/>
      <c r="Q39" s="995"/>
      <c r="R39" s="995"/>
      <c r="S39" s="995"/>
      <c r="T39" s="995"/>
      <c r="U39" s="995"/>
      <c r="W39" s="995" t="s">
        <v>1355</v>
      </c>
      <c r="X39" s="995"/>
      <c r="Y39" s="995"/>
      <c r="Z39" s="995"/>
      <c r="AA39" s="995"/>
      <c r="AB39" s="995"/>
      <c r="AC39" s="995"/>
      <c r="AD39" s="995"/>
      <c r="AE39" s="995"/>
      <c r="AG39" s="996" t="s">
        <v>1356</v>
      </c>
      <c r="AH39" s="997"/>
      <c r="AI39" s="997"/>
      <c r="AJ39" s="997"/>
      <c r="AK39" s="997"/>
      <c r="AL39" s="997"/>
      <c r="AM39" s="997"/>
      <c r="AN39" s="997"/>
      <c r="AO39" s="998"/>
      <c r="AQ39" s="995" t="s">
        <v>1357</v>
      </c>
      <c r="AR39" s="995"/>
      <c r="AS39" s="995"/>
      <c r="AT39" s="995"/>
      <c r="AU39" s="995"/>
      <c r="AV39" s="995"/>
      <c r="AW39" s="995"/>
      <c r="AX39" s="995"/>
      <c r="AY39" s="995"/>
      <c r="BA39" s="995" t="s">
        <v>1358</v>
      </c>
      <c r="BB39" s="995"/>
      <c r="BC39" s="995"/>
      <c r="BD39" s="995"/>
      <c r="BE39" s="995"/>
      <c r="BF39" s="995"/>
      <c r="BG39" s="995"/>
      <c r="BH39" s="995"/>
      <c r="BI39" s="995"/>
    </row>
    <row r="40" spans="1:142" s="29" customFormat="1" x14ac:dyDescent="0.25">
      <c r="C40" s="294" t="s">
        <v>336</v>
      </c>
      <c r="D40" s="294" t="s">
        <v>174</v>
      </c>
      <c r="E40" s="294" t="s">
        <v>248</v>
      </c>
      <c r="F40" s="294" t="s">
        <v>176</v>
      </c>
      <c r="G40" s="294" t="s">
        <v>337</v>
      </c>
      <c r="H40" s="105" t="s">
        <v>1641</v>
      </c>
      <c r="I40" s="105" t="s">
        <v>1642</v>
      </c>
      <c r="J40" s="105" t="s">
        <v>1643</v>
      </c>
      <c r="K40" s="105" t="s">
        <v>1644</v>
      </c>
      <c r="M40" s="294" t="s">
        <v>336</v>
      </c>
      <c r="N40" s="294" t="s">
        <v>174</v>
      </c>
      <c r="O40" s="294" t="s">
        <v>248</v>
      </c>
      <c r="P40" s="294" t="s">
        <v>176</v>
      </c>
      <c r="Q40" s="294" t="s">
        <v>337</v>
      </c>
      <c r="R40" s="105" t="s">
        <v>1641</v>
      </c>
      <c r="S40" s="105" t="s">
        <v>1642</v>
      </c>
      <c r="T40" s="105" t="s">
        <v>1643</v>
      </c>
      <c r="U40" s="105" t="s">
        <v>1644</v>
      </c>
      <c r="W40" s="294" t="s">
        <v>336</v>
      </c>
      <c r="X40" s="294" t="s">
        <v>174</v>
      </c>
      <c r="Y40" s="294" t="s">
        <v>248</v>
      </c>
      <c r="Z40" s="294" t="s">
        <v>176</v>
      </c>
      <c r="AA40" s="294" t="s">
        <v>337</v>
      </c>
      <c r="AB40" s="105" t="s">
        <v>1641</v>
      </c>
      <c r="AC40" s="105" t="s">
        <v>1642</v>
      </c>
      <c r="AD40" s="105" t="s">
        <v>1643</v>
      </c>
      <c r="AE40" s="105" t="s">
        <v>1644</v>
      </c>
      <c r="AG40" s="294" t="s">
        <v>336</v>
      </c>
      <c r="AH40" s="294" t="s">
        <v>174</v>
      </c>
      <c r="AI40" s="294" t="s">
        <v>248</v>
      </c>
      <c r="AJ40" s="294" t="s">
        <v>176</v>
      </c>
      <c r="AK40" s="294" t="s">
        <v>337</v>
      </c>
      <c r="AL40" s="105" t="s">
        <v>1641</v>
      </c>
      <c r="AM40" s="105" t="s">
        <v>1642</v>
      </c>
      <c r="AN40" s="105" t="s">
        <v>1643</v>
      </c>
      <c r="AO40" s="105" t="s">
        <v>1644</v>
      </c>
      <c r="AQ40" s="294" t="s">
        <v>336</v>
      </c>
      <c r="AR40" s="294" t="s">
        <v>174</v>
      </c>
      <c r="AS40" s="294" t="s">
        <v>248</v>
      </c>
      <c r="AT40" s="294" t="s">
        <v>176</v>
      </c>
      <c r="AU40" s="294" t="s">
        <v>337</v>
      </c>
      <c r="AV40" s="105" t="s">
        <v>1641</v>
      </c>
      <c r="AW40" s="105" t="s">
        <v>1642</v>
      </c>
      <c r="AX40" s="105" t="s">
        <v>1643</v>
      </c>
      <c r="AY40" s="105" t="s">
        <v>1644</v>
      </c>
      <c r="BA40" s="294" t="s">
        <v>336</v>
      </c>
      <c r="BB40" s="294" t="s">
        <v>174</v>
      </c>
      <c r="BC40" s="294" t="s">
        <v>248</v>
      </c>
      <c r="BD40" s="294" t="s">
        <v>176</v>
      </c>
      <c r="BE40" s="294" t="s">
        <v>337</v>
      </c>
      <c r="BF40" s="105" t="s">
        <v>1641</v>
      </c>
      <c r="BG40" s="105" t="s">
        <v>1642</v>
      </c>
      <c r="BH40" s="105" t="s">
        <v>1643</v>
      </c>
      <c r="BI40" s="105" t="s">
        <v>1644</v>
      </c>
    </row>
    <row r="41" spans="1:142" s="29" customFormat="1" x14ac:dyDescent="0.25">
      <c r="C41" s="105" t="s">
        <v>338</v>
      </c>
      <c r="D41" s="127">
        <f>AE5</f>
        <v>2.04</v>
      </c>
      <c r="E41" s="105" t="str">
        <f>AD5</f>
        <v>g</v>
      </c>
      <c r="F41" s="105">
        <v>100</v>
      </c>
      <c r="G41" s="105">
        <f>D41*F41</f>
        <v>204</v>
      </c>
      <c r="H41" s="105">
        <v>0</v>
      </c>
      <c r="I41" s="105">
        <f>F41*H41</f>
        <v>0</v>
      </c>
      <c r="J41" s="105">
        <f>F41-I41</f>
        <v>100</v>
      </c>
      <c r="K41" s="105">
        <f>G41+((I41*G41)/F41)</f>
        <v>204</v>
      </c>
      <c r="M41" s="105" t="s">
        <v>338</v>
      </c>
      <c r="N41" s="105">
        <f>AE5</f>
        <v>2.04</v>
      </c>
      <c r="O41" s="105" t="str">
        <f>AD5</f>
        <v>g</v>
      </c>
      <c r="P41" s="105">
        <v>100</v>
      </c>
      <c r="Q41" s="105">
        <f>N41*P41</f>
        <v>204</v>
      </c>
      <c r="R41" s="105">
        <v>0</v>
      </c>
      <c r="S41" s="105">
        <f>P41*R41</f>
        <v>0</v>
      </c>
      <c r="T41" s="105">
        <f>P41-S41</f>
        <v>100</v>
      </c>
      <c r="U41" s="105">
        <f>Q41+((S41*Q41)/P41)</f>
        <v>204</v>
      </c>
      <c r="W41" s="105" t="s">
        <v>1359</v>
      </c>
      <c r="X41" s="105">
        <f>AE33</f>
        <v>3.59</v>
      </c>
      <c r="Y41" s="105" t="str">
        <f>AD33</f>
        <v>g</v>
      </c>
      <c r="Z41" s="105">
        <v>100</v>
      </c>
      <c r="AA41" s="105">
        <f>X41*Z41</f>
        <v>359</v>
      </c>
      <c r="AB41" s="105">
        <v>0</v>
      </c>
      <c r="AC41" s="105">
        <f>Z41*AB41</f>
        <v>0</v>
      </c>
      <c r="AD41" s="105">
        <f>Z41-AC41</f>
        <v>100</v>
      </c>
      <c r="AE41" s="105">
        <f>AA41+((AC41*AA41)/Z41)</f>
        <v>359</v>
      </c>
      <c r="AG41" s="105" t="s">
        <v>338</v>
      </c>
      <c r="AH41" s="105">
        <f>AE5</f>
        <v>2.04</v>
      </c>
      <c r="AI41" s="105" t="str">
        <f>AD5</f>
        <v>g</v>
      </c>
      <c r="AJ41" s="105">
        <v>100</v>
      </c>
      <c r="AK41" s="105">
        <f>AH41*AJ41</f>
        <v>204</v>
      </c>
      <c r="AL41" s="105">
        <v>0</v>
      </c>
      <c r="AM41" s="105">
        <f>AJ41*AL41</f>
        <v>0</v>
      </c>
      <c r="AN41" s="105">
        <f>AJ41-AM41</f>
        <v>100</v>
      </c>
      <c r="AO41" s="105">
        <f>AK41+((AM41*AK41)/AJ41)</f>
        <v>204</v>
      </c>
      <c r="AQ41" s="105" t="s">
        <v>338</v>
      </c>
      <c r="AR41" s="105">
        <f>AE5</f>
        <v>2.04</v>
      </c>
      <c r="AS41" s="105" t="str">
        <f>AD5</f>
        <v>g</v>
      </c>
      <c r="AT41" s="105">
        <v>100</v>
      </c>
      <c r="AU41" s="105">
        <f>AR41*AT41</f>
        <v>204</v>
      </c>
      <c r="AV41" s="105">
        <v>0</v>
      </c>
      <c r="AW41" s="105">
        <f>AT41*AV41</f>
        <v>0</v>
      </c>
      <c r="AX41" s="105">
        <f>AT41-AW41</f>
        <v>100</v>
      </c>
      <c r="AY41" s="105">
        <f>AU41+((AW41*AU41)/AT41)</f>
        <v>204</v>
      </c>
      <c r="BA41" s="105" t="s">
        <v>338</v>
      </c>
      <c r="BB41" s="105">
        <f>AE5</f>
        <v>2.04</v>
      </c>
      <c r="BC41" s="105" t="str">
        <f>AD5</f>
        <v>g</v>
      </c>
      <c r="BD41" s="105">
        <v>100</v>
      </c>
      <c r="BE41" s="105">
        <f>BB41*BD41</f>
        <v>204</v>
      </c>
      <c r="BF41" s="105">
        <v>0</v>
      </c>
      <c r="BG41" s="105">
        <f>BD41*BF41</f>
        <v>0</v>
      </c>
      <c r="BH41" s="105">
        <f>BD41-BG41</f>
        <v>100</v>
      </c>
      <c r="BI41" s="105">
        <f>BE41+((BG41*BE41)/BD41)</f>
        <v>204</v>
      </c>
    </row>
    <row r="42" spans="1:142" s="29" customFormat="1" x14ac:dyDescent="0.25">
      <c r="C42" s="105" t="s">
        <v>339</v>
      </c>
      <c r="D42" s="105">
        <f>AE7</f>
        <v>0.4</v>
      </c>
      <c r="E42" s="105" t="str">
        <f>AD7</f>
        <v>g</v>
      </c>
      <c r="F42" s="105">
        <v>63</v>
      </c>
      <c r="G42" s="105">
        <f>D42*F42</f>
        <v>25.200000000000003</v>
      </c>
      <c r="H42" s="105">
        <v>0</v>
      </c>
      <c r="I42" s="105">
        <f>F42*H42</f>
        <v>0</v>
      </c>
      <c r="J42" s="105">
        <f>F42-I42</f>
        <v>63</v>
      </c>
      <c r="K42" s="105">
        <f>G42+((I42*G42)/F42)</f>
        <v>25.200000000000003</v>
      </c>
      <c r="M42" s="105" t="s">
        <v>340</v>
      </c>
      <c r="N42" s="105">
        <f>Y20</f>
        <v>0.64</v>
      </c>
      <c r="O42" s="105" t="str">
        <f>X20</f>
        <v>g</v>
      </c>
      <c r="P42" s="105">
        <v>2</v>
      </c>
      <c r="Q42" s="105">
        <f>N42*P42</f>
        <v>1.28</v>
      </c>
      <c r="R42" s="105">
        <v>0</v>
      </c>
      <c r="S42" s="105">
        <f>P42*R42</f>
        <v>0</v>
      </c>
      <c r="T42" s="105">
        <f>P42-S42</f>
        <v>2</v>
      </c>
      <c r="U42" s="105">
        <f>Q42+((S42*Q42)/P42)</f>
        <v>1.28</v>
      </c>
      <c r="W42" s="105" t="s">
        <v>340</v>
      </c>
      <c r="X42" s="105">
        <f>Y20</f>
        <v>0.64</v>
      </c>
      <c r="Y42" s="105" t="str">
        <f>X20</f>
        <v>g</v>
      </c>
      <c r="Z42" s="105">
        <v>2</v>
      </c>
      <c r="AA42" s="105">
        <f>X42*Z42</f>
        <v>1.28</v>
      </c>
      <c r="AB42" s="105">
        <v>0</v>
      </c>
      <c r="AC42" s="105">
        <f>Z42*AB42</f>
        <v>0</v>
      </c>
      <c r="AD42" s="105">
        <f>Z42-AC42</f>
        <v>2</v>
      </c>
      <c r="AE42" s="105">
        <f>AA42+((AC42*AA42)/Z42)</f>
        <v>1.28</v>
      </c>
      <c r="AG42" s="105" t="s">
        <v>540</v>
      </c>
      <c r="AH42" s="105">
        <f>P18</f>
        <v>5</v>
      </c>
      <c r="AI42" s="105" t="str">
        <f>O18</f>
        <v>g</v>
      </c>
      <c r="AJ42" s="105">
        <v>20</v>
      </c>
      <c r="AK42" s="105">
        <f>AH42*AJ42</f>
        <v>100</v>
      </c>
      <c r="AL42" s="105">
        <f>AJ11</f>
        <v>0.23</v>
      </c>
      <c r="AM42" s="105">
        <f>AJ42*AL42</f>
        <v>4.6000000000000005</v>
      </c>
      <c r="AN42" s="105">
        <f>AJ42-AM42</f>
        <v>15.399999999999999</v>
      </c>
      <c r="AO42" s="105">
        <f>AK42+((AM42*AK42)/AJ42)</f>
        <v>123</v>
      </c>
      <c r="AQ42" s="105" t="s">
        <v>429</v>
      </c>
      <c r="AR42" s="105">
        <f>P29</f>
        <v>1.8</v>
      </c>
      <c r="AS42" s="105" t="str">
        <f>O29</f>
        <v>g</v>
      </c>
      <c r="AT42" s="105">
        <v>20</v>
      </c>
      <c r="AU42" s="105">
        <f>AR42*AT42</f>
        <v>36</v>
      </c>
      <c r="AV42" s="105">
        <f>AJ18</f>
        <v>0.05</v>
      </c>
      <c r="AW42" s="105">
        <f>AT42*AV42</f>
        <v>1</v>
      </c>
      <c r="AX42" s="105">
        <f>AT42-AW42</f>
        <v>19</v>
      </c>
      <c r="AY42" s="105">
        <f>AU42+((AW42*AU42)/AT42)</f>
        <v>37.799999999999997</v>
      </c>
      <c r="BA42" s="105" t="s">
        <v>339</v>
      </c>
      <c r="BB42" s="105">
        <f>AE7</f>
        <v>0.4</v>
      </c>
      <c r="BC42" s="105" t="str">
        <f>AD7</f>
        <v>g</v>
      </c>
      <c r="BD42" s="105">
        <v>63</v>
      </c>
      <c r="BE42" s="105">
        <f>BB42*BD42</f>
        <v>25.200000000000003</v>
      </c>
      <c r="BF42" s="105">
        <v>0</v>
      </c>
      <c r="BG42" s="105">
        <f>BD42*BF42</f>
        <v>0</v>
      </c>
      <c r="BH42" s="105">
        <f>BD42-BG42</f>
        <v>63</v>
      </c>
      <c r="BI42" s="105">
        <f>BE42+((BG42*BE42)/BD42)</f>
        <v>25.200000000000003</v>
      </c>
    </row>
    <row r="43" spans="1:142" s="29" customFormat="1" x14ac:dyDescent="0.25">
      <c r="C43" s="105" t="s">
        <v>340</v>
      </c>
      <c r="D43" s="105">
        <f>Y20</f>
        <v>0.64</v>
      </c>
      <c r="E43" s="105" t="str">
        <f>X20</f>
        <v>g</v>
      </c>
      <c r="F43" s="105">
        <v>2</v>
      </c>
      <c r="G43" s="105">
        <f>D43*F43</f>
        <v>1.28</v>
      </c>
      <c r="H43" s="105">
        <v>0</v>
      </c>
      <c r="I43" s="105">
        <f>F43*H43</f>
        <v>0</v>
      </c>
      <c r="J43" s="105">
        <f>F43-I43</f>
        <v>2</v>
      </c>
      <c r="K43" s="105">
        <f>G43+((I43*G43)/F43)</f>
        <v>1.28</v>
      </c>
      <c r="M43" s="105" t="s">
        <v>341</v>
      </c>
      <c r="N43" s="105">
        <f>AE3</f>
        <v>49.18</v>
      </c>
      <c r="O43" s="105" t="str">
        <f>AD3</f>
        <v>mL</v>
      </c>
      <c r="P43" s="105">
        <v>15</v>
      </c>
      <c r="Q43" s="105">
        <f>N43*P43</f>
        <v>737.7</v>
      </c>
      <c r="R43" s="105">
        <v>0</v>
      </c>
      <c r="S43" s="105">
        <f>P43*R43</f>
        <v>0</v>
      </c>
      <c r="T43" s="105">
        <f>P43-S43</f>
        <v>15</v>
      </c>
      <c r="U43" s="105">
        <f>Q43+((S43*Q43)/P43)</f>
        <v>737.7</v>
      </c>
      <c r="W43" s="105" t="s">
        <v>341</v>
      </c>
      <c r="X43" s="105">
        <f>AE3</f>
        <v>49.18</v>
      </c>
      <c r="Y43" s="105" t="str">
        <f>AD3</f>
        <v>mL</v>
      </c>
      <c r="Z43" s="105">
        <v>15</v>
      </c>
      <c r="AA43" s="105">
        <f>X43*Z43</f>
        <v>737.7</v>
      </c>
      <c r="AB43" s="105">
        <v>0</v>
      </c>
      <c r="AC43" s="105">
        <f>Z43*AB43</f>
        <v>0</v>
      </c>
      <c r="AD43" s="105">
        <f>Z43-AC43</f>
        <v>15</v>
      </c>
      <c r="AE43" s="105">
        <f>AA43+((AC43*AA43)/Z43)</f>
        <v>737.7</v>
      </c>
      <c r="AG43" s="105" t="s">
        <v>340</v>
      </c>
      <c r="AH43" s="105">
        <f>Y20</f>
        <v>0.64</v>
      </c>
      <c r="AI43" s="105" t="str">
        <f>X20</f>
        <v>g</v>
      </c>
      <c r="AJ43" s="105">
        <v>2</v>
      </c>
      <c r="AK43" s="105">
        <f>AH43*AJ43</f>
        <v>1.28</v>
      </c>
      <c r="AL43" s="105">
        <v>0</v>
      </c>
      <c r="AM43" s="105">
        <f>AJ43*AL43</f>
        <v>0</v>
      </c>
      <c r="AN43" s="105">
        <f>AJ43-AM43</f>
        <v>2</v>
      </c>
      <c r="AO43" s="105">
        <f>AK43+((AM43*AK43)/AJ43)</f>
        <v>1.28</v>
      </c>
      <c r="AQ43" s="105" t="s">
        <v>340</v>
      </c>
      <c r="AR43" s="105">
        <f>Y20</f>
        <v>0.64</v>
      </c>
      <c r="AS43" s="105" t="str">
        <f>X20</f>
        <v>g</v>
      </c>
      <c r="AT43" s="105">
        <v>2</v>
      </c>
      <c r="AU43" s="105">
        <f>AR43*AT43</f>
        <v>1.28</v>
      </c>
      <c r="AV43" s="105">
        <v>0</v>
      </c>
      <c r="AW43" s="105">
        <f>AT43*AV43</f>
        <v>0</v>
      </c>
      <c r="AX43" s="105">
        <f>AT43-AW43</f>
        <v>2</v>
      </c>
      <c r="AY43" s="105">
        <f>AU43+((AW43*AU43)/AT43)</f>
        <v>1.28</v>
      </c>
      <c r="BA43" s="105" t="s">
        <v>340</v>
      </c>
      <c r="BB43" s="105">
        <f>Y20</f>
        <v>0.64</v>
      </c>
      <c r="BC43" s="105" t="str">
        <f>X20</f>
        <v>g</v>
      </c>
      <c r="BD43" s="105">
        <v>2</v>
      </c>
      <c r="BE43" s="105">
        <f>BB43*BD43</f>
        <v>1.28</v>
      </c>
      <c r="BF43" s="105">
        <v>0</v>
      </c>
      <c r="BG43" s="105">
        <f>BD43*BF43</f>
        <v>0</v>
      </c>
      <c r="BH43" s="105">
        <f>BD43-BG43</f>
        <v>2</v>
      </c>
      <c r="BI43" s="105">
        <f>BE43+((BG43*BE43)/BD43)</f>
        <v>1.28</v>
      </c>
    </row>
    <row r="44" spans="1:142" s="29" customFormat="1" x14ac:dyDescent="0.25">
      <c r="C44" s="105" t="s">
        <v>341</v>
      </c>
      <c r="D44" s="105">
        <f>AE3</f>
        <v>49.18</v>
      </c>
      <c r="E44" s="105" t="str">
        <f>AD3</f>
        <v>mL</v>
      </c>
      <c r="F44" s="105">
        <v>15</v>
      </c>
      <c r="G44" s="105">
        <f>D44*F44</f>
        <v>737.7</v>
      </c>
      <c r="H44" s="105">
        <v>0</v>
      </c>
      <c r="I44" s="105">
        <f>F44*H44</f>
        <v>0</v>
      </c>
      <c r="J44" s="105">
        <f>F44-I44</f>
        <v>15</v>
      </c>
      <c r="K44" s="105">
        <f>G44+((I44*G44)/F44)</f>
        <v>737.7</v>
      </c>
      <c r="M44" s="105" t="s">
        <v>1645</v>
      </c>
      <c r="N44" s="105">
        <f>SUM(N41:N43)</f>
        <v>51.86</v>
      </c>
      <c r="O44" s="105"/>
      <c r="P44" s="105"/>
      <c r="Q44" s="105">
        <f>SUM(Q41:Q43)</f>
        <v>942.98</v>
      </c>
      <c r="R44" s="105"/>
      <c r="S44" s="105"/>
      <c r="T44" s="105"/>
      <c r="U44" s="105">
        <f>SUM(U41:U43)</f>
        <v>942.98</v>
      </c>
      <c r="W44" s="105" t="s">
        <v>337</v>
      </c>
      <c r="X44" s="105">
        <f>SUM(X41:X43)</f>
        <v>53.41</v>
      </c>
      <c r="Y44" s="105"/>
      <c r="Z44" s="105"/>
      <c r="AA44" s="105">
        <f>SUM(AA41:AA43)</f>
        <v>1097.98</v>
      </c>
      <c r="AB44" s="105"/>
      <c r="AC44" s="105"/>
      <c r="AD44" s="105"/>
      <c r="AE44" s="105">
        <f>SUM(AE41:AE43)</f>
        <v>1097.98</v>
      </c>
      <c r="AG44" s="105" t="s">
        <v>341</v>
      </c>
      <c r="AH44" s="105">
        <f>AE3</f>
        <v>49.18</v>
      </c>
      <c r="AI44" s="105" t="str">
        <f>AD3</f>
        <v>mL</v>
      </c>
      <c r="AJ44" s="105">
        <v>15</v>
      </c>
      <c r="AK44" s="105">
        <f>AH44*AJ44</f>
        <v>737.7</v>
      </c>
      <c r="AL44" s="105">
        <v>0</v>
      </c>
      <c r="AM44" s="105">
        <f>AJ44*AL44</f>
        <v>0</v>
      </c>
      <c r="AN44" s="105">
        <f>AJ44-AM44</f>
        <v>15</v>
      </c>
      <c r="AO44" s="105">
        <f>AK44+((AM44*AK44)/AJ44)</f>
        <v>737.7</v>
      </c>
      <c r="AQ44" s="105" t="s">
        <v>341</v>
      </c>
      <c r="AR44" s="105">
        <f>AE3</f>
        <v>49.18</v>
      </c>
      <c r="AS44" s="105" t="str">
        <f>AD3</f>
        <v>mL</v>
      </c>
      <c r="AT44" s="105">
        <v>15</v>
      </c>
      <c r="AU44" s="105">
        <f>AR44*AT44</f>
        <v>737.7</v>
      </c>
      <c r="AV44" s="105">
        <v>0</v>
      </c>
      <c r="AW44" s="105">
        <f>AT44*AV44</f>
        <v>0</v>
      </c>
      <c r="AX44" s="105">
        <f>AT44-AW44</f>
        <v>15</v>
      </c>
      <c r="AY44" s="105">
        <f>AU44+((AW44*AU44)/AT44)</f>
        <v>737.7</v>
      </c>
      <c r="BA44" s="105" t="s">
        <v>341</v>
      </c>
      <c r="BB44" s="105">
        <f>AE3</f>
        <v>49.18</v>
      </c>
      <c r="BC44" s="105" t="str">
        <f>AD3</f>
        <v>mL</v>
      </c>
      <c r="BD44" s="105">
        <v>15</v>
      </c>
      <c r="BE44" s="105">
        <f>BB44*BD44</f>
        <v>737.7</v>
      </c>
      <c r="BF44" s="105">
        <v>0</v>
      </c>
      <c r="BG44" s="105">
        <f>BD44*BF44</f>
        <v>0</v>
      </c>
      <c r="BH44" s="105">
        <f>BD44-BG44</f>
        <v>15</v>
      </c>
      <c r="BI44" s="105">
        <f>BE44+((BG44*BE44)/BD44)</f>
        <v>737.7</v>
      </c>
    </row>
    <row r="45" spans="1:142" s="29" customFormat="1" x14ac:dyDescent="0.25">
      <c r="C45" s="105" t="s">
        <v>337</v>
      </c>
      <c r="D45" s="105">
        <f>SUM(D41:D44)</f>
        <v>52.26</v>
      </c>
      <c r="E45" s="105"/>
      <c r="F45" s="105"/>
      <c r="G45" s="105">
        <f>SUM(G41:G44)</f>
        <v>968.18000000000006</v>
      </c>
      <c r="H45" s="105"/>
      <c r="I45" s="105"/>
      <c r="J45" s="105"/>
      <c r="K45" s="105">
        <f>SUM(K41:K44)</f>
        <v>968.18000000000006</v>
      </c>
      <c r="X45" s="30"/>
      <c r="Y45" s="30"/>
      <c r="Z45" s="30"/>
      <c r="AA45" s="30"/>
      <c r="AB45" s="30"/>
      <c r="AG45" s="105" t="s">
        <v>337</v>
      </c>
      <c r="AH45" s="105">
        <f>SUM(AH41:AH44)</f>
        <v>56.86</v>
      </c>
      <c r="AI45" s="105"/>
      <c r="AJ45" s="105"/>
      <c r="AK45" s="105">
        <f>SUM(AK41:AK44)</f>
        <v>1042.98</v>
      </c>
      <c r="AL45" s="105"/>
      <c r="AM45" s="105"/>
      <c r="AN45" s="105"/>
      <c r="AO45" s="105">
        <f>SUM(AO41:AO44)</f>
        <v>1065.98</v>
      </c>
      <c r="AQ45" s="105" t="s">
        <v>337</v>
      </c>
      <c r="AR45" s="105">
        <f>SUM(AR41:AR44)</f>
        <v>53.66</v>
      </c>
      <c r="AS45" s="105"/>
      <c r="AT45" s="105"/>
      <c r="AU45" s="105">
        <f>SUM(AU41:AU44)</f>
        <v>978.98</v>
      </c>
      <c r="AV45" s="105"/>
      <c r="AW45" s="105"/>
      <c r="AX45" s="105"/>
      <c r="AY45" s="105">
        <f>SUM(AY41:AY44)</f>
        <v>980.78000000000009</v>
      </c>
      <c r="BA45" s="105" t="s">
        <v>1360</v>
      </c>
      <c r="BB45" s="105">
        <f>S9</f>
        <v>46.63</v>
      </c>
      <c r="BC45" s="105" t="str">
        <f>R9</f>
        <v>g</v>
      </c>
      <c r="BD45" s="127">
        <v>30</v>
      </c>
      <c r="BE45" s="127">
        <f>BB45*BD45</f>
        <v>1398.9</v>
      </c>
      <c r="BF45" s="105">
        <v>0</v>
      </c>
      <c r="BG45" s="105">
        <f>BD45*BF45</f>
        <v>0</v>
      </c>
      <c r="BH45" s="105">
        <f>BD45-BG45</f>
        <v>30</v>
      </c>
      <c r="BI45" s="105">
        <f>BE45+((BG45*BE45)/BD45)</f>
        <v>1398.9</v>
      </c>
    </row>
    <row r="46" spans="1:142" s="29" customFormat="1" x14ac:dyDescent="0.25">
      <c r="C46" s="30"/>
      <c r="D46" s="30"/>
      <c r="E46" s="30"/>
      <c r="F46" s="30"/>
      <c r="G46" s="30"/>
      <c r="H46" s="30"/>
      <c r="I46" s="30"/>
      <c r="J46" s="30"/>
      <c r="K46" s="30"/>
      <c r="X46" s="30"/>
      <c r="Y46" s="30"/>
      <c r="Z46" s="30"/>
      <c r="AA46" s="30"/>
      <c r="AB46" s="30"/>
      <c r="AG46" s="30"/>
      <c r="AH46" s="30"/>
      <c r="AI46" s="30"/>
      <c r="AJ46" s="30"/>
      <c r="AK46" s="30"/>
      <c r="AL46" s="30"/>
      <c r="AM46" s="30"/>
      <c r="AN46" s="30"/>
      <c r="AO46" s="30"/>
      <c r="AQ46" s="30"/>
      <c r="AR46" s="30"/>
      <c r="AS46" s="30"/>
      <c r="AT46" s="30"/>
      <c r="AU46" s="30"/>
      <c r="AV46" s="30"/>
      <c r="AW46" s="30"/>
      <c r="AX46" s="30"/>
      <c r="AY46" s="30"/>
      <c r="BA46" s="105"/>
      <c r="BB46" s="105"/>
      <c r="BC46" s="105"/>
      <c r="BD46" s="127"/>
      <c r="BE46" s="127"/>
      <c r="BF46" s="105"/>
      <c r="BG46" s="105"/>
      <c r="BH46" s="105"/>
      <c r="BI46" s="105"/>
    </row>
    <row r="47" spans="1:142" s="29" customFormat="1" x14ac:dyDescent="0.25">
      <c r="M47" s="30"/>
      <c r="N47" s="30"/>
      <c r="O47" s="30"/>
      <c r="P47" s="30"/>
      <c r="Q47" s="30"/>
      <c r="X47" s="30"/>
      <c r="Y47" s="30"/>
      <c r="Z47" s="30"/>
      <c r="AA47" s="30"/>
      <c r="AB47" s="30"/>
      <c r="AH47" s="30"/>
      <c r="AI47" s="30"/>
      <c r="AJ47" s="30"/>
      <c r="AK47" s="30"/>
      <c r="AL47" s="30"/>
      <c r="AS47" s="30"/>
      <c r="AT47" s="30"/>
      <c r="AU47" s="30"/>
      <c r="AV47" s="30"/>
      <c r="AW47" s="30"/>
      <c r="BA47" s="105" t="s">
        <v>337</v>
      </c>
      <c r="BB47" s="105">
        <f>SUM(BB41:BB44)</f>
        <v>52.26</v>
      </c>
      <c r="BC47" s="105"/>
      <c r="BD47" s="105"/>
      <c r="BE47" s="105">
        <f>SUM(BE41:BE45)</f>
        <v>2367.08</v>
      </c>
      <c r="BF47" s="105"/>
      <c r="BG47" s="105"/>
      <c r="BH47" s="105"/>
      <c r="BI47" s="105">
        <f>SUM(BI41:BI45)</f>
        <v>2367.08</v>
      </c>
    </row>
    <row r="48" spans="1:142" s="29" customFormat="1" x14ac:dyDescent="0.25">
      <c r="M48" s="30"/>
      <c r="N48" s="30"/>
      <c r="O48" s="30"/>
      <c r="P48" s="30"/>
      <c r="X48" s="30"/>
      <c r="Y48" s="30"/>
      <c r="AB48" s="30"/>
      <c r="AH48" s="30"/>
      <c r="AI48" s="30"/>
      <c r="AL48" s="30"/>
      <c r="AS48" s="30"/>
      <c r="AV48" s="30"/>
      <c r="AW48" s="30"/>
      <c r="BA48" s="30"/>
      <c r="BB48" s="30"/>
      <c r="BC48" s="30"/>
      <c r="BD48" s="30"/>
      <c r="BE48" s="30"/>
      <c r="BF48" s="30"/>
      <c r="BG48" s="30"/>
      <c r="BH48" s="30"/>
      <c r="BI48" s="30"/>
    </row>
    <row r="49" spans="3:61" s="29" customFormat="1" x14ac:dyDescent="0.25">
      <c r="E49" s="105" t="s">
        <v>1681</v>
      </c>
      <c r="F49" s="105">
        <f>K45</f>
        <v>968.18000000000006</v>
      </c>
      <c r="H49" s="726" t="s">
        <v>1681</v>
      </c>
      <c r="I49" s="105">
        <f>K45</f>
        <v>968.18000000000006</v>
      </c>
      <c r="M49" s="30"/>
      <c r="N49" s="30"/>
      <c r="O49" s="30"/>
      <c r="P49" s="30"/>
      <c r="Q49" s="726" t="s">
        <v>1681</v>
      </c>
      <c r="R49" s="105">
        <f>U44</f>
        <v>942.98</v>
      </c>
      <c r="T49" s="726" t="s">
        <v>1681</v>
      </c>
      <c r="U49" s="105">
        <f>U44</f>
        <v>942.98</v>
      </c>
      <c r="X49" s="30"/>
      <c r="Y49" s="30"/>
      <c r="Z49" s="726" t="s">
        <v>1681</v>
      </c>
      <c r="AA49" s="105">
        <f>AE44</f>
        <v>1097.98</v>
      </c>
      <c r="AB49" s="30"/>
      <c r="AC49" s="726" t="s">
        <v>1681</v>
      </c>
      <c r="AD49" s="105">
        <f>AE44</f>
        <v>1097.98</v>
      </c>
      <c r="AH49" s="30"/>
      <c r="AI49" s="30"/>
      <c r="AJ49" s="726" t="s">
        <v>1681</v>
      </c>
      <c r="AK49" s="105">
        <f>AO45</f>
        <v>1065.98</v>
      </c>
      <c r="AL49" s="30"/>
      <c r="AM49" s="726" t="s">
        <v>1681</v>
      </c>
      <c r="AN49" s="105">
        <f>AO45</f>
        <v>1065.98</v>
      </c>
      <c r="AS49" s="30"/>
      <c r="AT49" s="726" t="s">
        <v>1681</v>
      </c>
      <c r="AU49" s="105">
        <f>AY45</f>
        <v>980.78000000000009</v>
      </c>
      <c r="AV49" s="30"/>
      <c r="AW49" s="726" t="s">
        <v>1681</v>
      </c>
      <c r="AX49" s="105">
        <f>AY45</f>
        <v>980.78000000000009</v>
      </c>
      <c r="BA49" s="30"/>
      <c r="BB49" s="30"/>
      <c r="BC49" s="30"/>
      <c r="BD49" s="30"/>
      <c r="BE49" s="726" t="s">
        <v>1681</v>
      </c>
      <c r="BF49" s="105">
        <f>BI47</f>
        <v>2367.08</v>
      </c>
      <c r="BG49" s="30"/>
      <c r="BH49" s="726" t="s">
        <v>1681</v>
      </c>
      <c r="BI49" s="105">
        <f>BI47</f>
        <v>2367.08</v>
      </c>
    </row>
    <row r="50" spans="3:61" s="29" customFormat="1" x14ac:dyDescent="0.25">
      <c r="E50" s="105" t="s">
        <v>2326</v>
      </c>
      <c r="F50" s="105">
        <f>$AJ$26</f>
        <v>89.98</v>
      </c>
      <c r="H50" s="726" t="s">
        <v>2326</v>
      </c>
      <c r="I50" s="105">
        <f>$AJ$26</f>
        <v>89.98</v>
      </c>
      <c r="M50" s="30"/>
      <c r="N50" s="30"/>
      <c r="O50" s="30"/>
      <c r="P50" s="30"/>
      <c r="Q50" s="726" t="s">
        <v>2326</v>
      </c>
      <c r="R50" s="105">
        <f>$AJ$26</f>
        <v>89.98</v>
      </c>
      <c r="T50" s="726" t="s">
        <v>2326</v>
      </c>
      <c r="U50" s="105">
        <f>$AJ$26</f>
        <v>89.98</v>
      </c>
      <c r="X50" s="30"/>
      <c r="Y50" s="30"/>
      <c r="Z50" s="726" t="s">
        <v>2326</v>
      </c>
      <c r="AA50" s="105">
        <f>$AJ$26</f>
        <v>89.98</v>
      </c>
      <c r="AB50" s="30"/>
      <c r="AC50" s="726" t="s">
        <v>2326</v>
      </c>
      <c r="AD50" s="105">
        <f>$AJ$26</f>
        <v>89.98</v>
      </c>
      <c r="AH50" s="30"/>
      <c r="AI50" s="30"/>
      <c r="AJ50" s="726" t="s">
        <v>2326</v>
      </c>
      <c r="AK50" s="105">
        <f>$AJ$26</f>
        <v>89.98</v>
      </c>
      <c r="AL50" s="30"/>
      <c r="AM50" s="726" t="s">
        <v>2326</v>
      </c>
      <c r="AN50" s="105">
        <f>$AJ$26</f>
        <v>89.98</v>
      </c>
      <c r="AS50" s="30"/>
      <c r="AT50" s="726" t="s">
        <v>2326</v>
      </c>
      <c r="AU50" s="105">
        <f>$AJ$26</f>
        <v>89.98</v>
      </c>
      <c r="AV50" s="30"/>
      <c r="AW50" s="726" t="s">
        <v>2326</v>
      </c>
      <c r="AX50" s="105">
        <f>$AJ$26</f>
        <v>89.98</v>
      </c>
      <c r="BA50" s="30"/>
      <c r="BB50" s="30"/>
      <c r="BC50" s="30"/>
      <c r="BD50" s="30"/>
      <c r="BE50" s="726" t="s">
        <v>2326</v>
      </c>
      <c r="BF50" s="105">
        <f>$AJ$26</f>
        <v>89.98</v>
      </c>
      <c r="BG50" s="30"/>
      <c r="BH50" s="726" t="s">
        <v>2326</v>
      </c>
      <c r="BI50" s="105">
        <f>$AJ$26</f>
        <v>89.98</v>
      </c>
    </row>
    <row r="51" spans="3:61" s="29" customFormat="1" x14ac:dyDescent="0.25">
      <c r="E51" s="105" t="s">
        <v>2325</v>
      </c>
      <c r="F51" s="105">
        <f>$AJ$27</f>
        <v>9.35</v>
      </c>
      <c r="H51" s="726" t="s">
        <v>2325</v>
      </c>
      <c r="I51" s="105">
        <f>$AJ$27</f>
        <v>9.35</v>
      </c>
      <c r="M51" s="30"/>
      <c r="N51" s="30"/>
      <c r="O51" s="30"/>
      <c r="P51" s="30"/>
      <c r="Q51" s="726" t="s">
        <v>2325</v>
      </c>
      <c r="R51" s="105">
        <f>$AJ$27</f>
        <v>9.35</v>
      </c>
      <c r="T51" s="726" t="s">
        <v>2325</v>
      </c>
      <c r="U51" s="105">
        <f>$AJ$27/4</f>
        <v>2.3374999999999999</v>
      </c>
      <c r="X51" s="30"/>
      <c r="Y51" s="30"/>
      <c r="Z51" s="726" t="s">
        <v>2325</v>
      </c>
      <c r="AA51" s="105">
        <f>$AJ$27</f>
        <v>9.35</v>
      </c>
      <c r="AB51" s="30"/>
      <c r="AC51" s="726" t="s">
        <v>2325</v>
      </c>
      <c r="AD51" s="105">
        <f>$AJ$27/4</f>
        <v>2.3374999999999999</v>
      </c>
      <c r="AH51" s="30"/>
      <c r="AI51" s="30"/>
      <c r="AJ51" s="726" t="s">
        <v>2325</v>
      </c>
      <c r="AK51" s="105">
        <f>$AJ$27</f>
        <v>9.35</v>
      </c>
      <c r="AL51" s="30"/>
      <c r="AM51" s="726" t="s">
        <v>2325</v>
      </c>
      <c r="AN51" s="105">
        <f>$AJ$27/4</f>
        <v>2.3374999999999999</v>
      </c>
      <c r="AS51" s="30"/>
      <c r="AT51" s="726" t="s">
        <v>2325</v>
      </c>
      <c r="AU51" s="105">
        <f>$AJ$27</f>
        <v>9.35</v>
      </c>
      <c r="AV51" s="30"/>
      <c r="AW51" s="726" t="s">
        <v>2325</v>
      </c>
      <c r="AX51" s="105">
        <f>$AJ$27/4</f>
        <v>2.3374999999999999</v>
      </c>
      <c r="BA51" s="30"/>
      <c r="BB51" s="30"/>
      <c r="BC51" s="30"/>
      <c r="BD51" s="30"/>
      <c r="BE51" s="726" t="s">
        <v>2325</v>
      </c>
      <c r="BF51" s="105">
        <f>$AJ$27</f>
        <v>9.35</v>
      </c>
      <c r="BG51" s="30"/>
      <c r="BH51" s="726" t="s">
        <v>2325</v>
      </c>
      <c r="BI51" s="105">
        <f>$AJ$27/4</f>
        <v>2.3374999999999999</v>
      </c>
    </row>
    <row r="52" spans="3:61" s="29" customFormat="1" x14ac:dyDescent="0.25">
      <c r="E52" s="105" t="s">
        <v>1684</v>
      </c>
      <c r="F52" s="105">
        <f>$AJ$29</f>
        <v>1031.5623984875517</v>
      </c>
      <c r="H52" s="726" t="s">
        <v>1684</v>
      </c>
      <c r="I52" s="105">
        <f>$AJ$29/4</f>
        <v>257.89059962188793</v>
      </c>
      <c r="M52" s="30"/>
      <c r="N52" s="30"/>
      <c r="O52" s="30"/>
      <c r="P52" s="30"/>
      <c r="Q52" s="726" t="s">
        <v>1684</v>
      </c>
      <c r="R52" s="105">
        <f>$AJ$29</f>
        <v>1031.5623984875517</v>
      </c>
      <c r="T52" s="726" t="s">
        <v>1684</v>
      </c>
      <c r="U52" s="105">
        <f>$AJ$29/4</f>
        <v>257.89059962188793</v>
      </c>
      <c r="X52" s="30"/>
      <c r="Y52" s="30"/>
      <c r="Z52" s="726" t="s">
        <v>1684</v>
      </c>
      <c r="AA52" s="105">
        <f>$AJ$29</f>
        <v>1031.5623984875517</v>
      </c>
      <c r="AB52" s="30"/>
      <c r="AC52" s="726" t="s">
        <v>1684</v>
      </c>
      <c r="AD52" s="105">
        <f>$AJ$29/4</f>
        <v>257.89059962188793</v>
      </c>
      <c r="AH52" s="30"/>
      <c r="AI52" s="30"/>
      <c r="AJ52" s="726" t="s">
        <v>1684</v>
      </c>
      <c r="AK52" s="105">
        <f>$AJ$29</f>
        <v>1031.5623984875517</v>
      </c>
      <c r="AL52" s="30"/>
      <c r="AM52" s="726" t="s">
        <v>1684</v>
      </c>
      <c r="AN52" s="105">
        <f>$AJ$29/4</f>
        <v>257.89059962188793</v>
      </c>
      <c r="AS52" s="30"/>
      <c r="AT52" s="726" t="s">
        <v>1684</v>
      </c>
      <c r="AU52" s="105">
        <f>$AJ$29</f>
        <v>1031.5623984875517</v>
      </c>
      <c r="AV52" s="30"/>
      <c r="AW52" s="726" t="s">
        <v>1684</v>
      </c>
      <c r="AX52" s="105">
        <f>$AJ$29/4</f>
        <v>257.89059962188793</v>
      </c>
      <c r="BA52" s="30"/>
      <c r="BB52" s="30"/>
      <c r="BC52" s="30"/>
      <c r="BD52" s="30"/>
      <c r="BE52" s="726" t="s">
        <v>1684</v>
      </c>
      <c r="BF52" s="105">
        <f>$AJ$29</f>
        <v>1031.5623984875517</v>
      </c>
      <c r="BG52" s="30"/>
      <c r="BH52" s="726" t="s">
        <v>1684</v>
      </c>
      <c r="BI52" s="105">
        <f>$AJ$29/4</f>
        <v>257.89059962188793</v>
      </c>
    </row>
    <row r="53" spans="3:61" s="29" customFormat="1" x14ac:dyDescent="0.25">
      <c r="E53" s="105" t="s">
        <v>1685</v>
      </c>
      <c r="F53" s="105"/>
      <c r="H53" s="726" t="s">
        <v>1685</v>
      </c>
      <c r="I53" s="105">
        <v>0.6</v>
      </c>
      <c r="Q53" s="726" t="s">
        <v>1685</v>
      </c>
      <c r="R53" s="105"/>
      <c r="T53" s="726" t="s">
        <v>1685</v>
      </c>
      <c r="U53" s="105">
        <v>0.6</v>
      </c>
      <c r="Z53" s="726" t="s">
        <v>1685</v>
      </c>
      <c r="AA53" s="105"/>
      <c r="AB53" s="30"/>
      <c r="AC53" s="726" t="s">
        <v>1685</v>
      </c>
      <c r="AD53" s="105">
        <v>0.6</v>
      </c>
      <c r="AH53" s="30"/>
      <c r="AI53" s="30"/>
      <c r="AJ53" s="726" t="s">
        <v>1685</v>
      </c>
      <c r="AK53" s="105"/>
      <c r="AL53" s="30"/>
      <c r="AM53" s="726" t="s">
        <v>1685</v>
      </c>
      <c r="AN53" s="105">
        <v>0.6</v>
      </c>
      <c r="AT53" s="726" t="s">
        <v>1685</v>
      </c>
      <c r="AU53" s="105"/>
      <c r="AW53" s="726" t="s">
        <v>1685</v>
      </c>
      <c r="AX53" s="105">
        <v>0.6</v>
      </c>
      <c r="BE53" s="726" t="s">
        <v>1685</v>
      </c>
      <c r="BF53" s="105"/>
      <c r="BH53" s="726" t="s">
        <v>1685</v>
      </c>
      <c r="BI53" s="105">
        <v>0.6</v>
      </c>
    </row>
    <row r="54" spans="3:61" s="29" customFormat="1" x14ac:dyDescent="0.25">
      <c r="E54" s="105" t="s">
        <v>1708</v>
      </c>
      <c r="F54" s="105">
        <f>(SUM(F49:F52)*F53)+SUM(F49:F52)</f>
        <v>2099.0723984875517</v>
      </c>
      <c r="H54" s="726" t="s">
        <v>1708</v>
      </c>
      <c r="I54" s="105">
        <f>(SUM(I49:I52)*I53)+SUM(I49:I52)</f>
        <v>2120.6409593950207</v>
      </c>
      <c r="Q54" s="726" t="s">
        <v>1708</v>
      </c>
      <c r="R54" s="105">
        <f>(SUM(R49:R52)*R53)+SUM(R49:R52)</f>
        <v>2073.8723984875514</v>
      </c>
      <c r="T54" s="726" t="s">
        <v>1708</v>
      </c>
      <c r="U54" s="105">
        <f>(SUM(U49:U52)*U53)+SUM(U49:U52)</f>
        <v>2069.1009593950212</v>
      </c>
      <c r="Z54" s="726" t="s">
        <v>1708</v>
      </c>
      <c r="AA54" s="105">
        <f>(SUM(AA49:AA52)*AA53)+SUM(AA49:AA52)</f>
        <v>2228.8723984875514</v>
      </c>
      <c r="AC54" s="726" t="s">
        <v>1708</v>
      </c>
      <c r="AD54" s="105">
        <f>(SUM(AD49:AD52)*AD53)+SUM(AD49:AD52)</f>
        <v>2317.1009593950212</v>
      </c>
      <c r="AH54" s="30"/>
      <c r="AI54" s="30"/>
      <c r="AJ54" s="726" t="s">
        <v>1708</v>
      </c>
      <c r="AK54" s="105">
        <f>(SUM(AK49:AK52)*AK53)+SUM(AK49:AK52)</f>
        <v>2196.8723984875514</v>
      </c>
      <c r="AL54" s="30"/>
      <c r="AM54" s="726" t="s">
        <v>1708</v>
      </c>
      <c r="AN54" s="105">
        <f>(SUM(AN49:AN52)*AN53)+SUM(AN49:AN52)</f>
        <v>2265.9009593950209</v>
      </c>
      <c r="AT54" s="726" t="s">
        <v>1708</v>
      </c>
      <c r="AU54" s="105">
        <f>(SUM(AU49:AU52)*AU53)+SUM(AU49:AU52)</f>
        <v>2111.6723984875516</v>
      </c>
      <c r="AW54" s="726" t="s">
        <v>1708</v>
      </c>
      <c r="AX54" s="105">
        <f>(SUM(AX49:AX52)*AX53)+SUM(AX49:AX52)</f>
        <v>2129.5809593950207</v>
      </c>
      <c r="BE54" s="726" t="s">
        <v>1708</v>
      </c>
      <c r="BF54" s="105">
        <f>(SUM(BF49:BF52)*BF53)+SUM(BF49:BF52)</f>
        <v>3497.9723984875518</v>
      </c>
      <c r="BH54" s="726" t="s">
        <v>1708</v>
      </c>
      <c r="BI54" s="105">
        <f>(SUM(BI49:BI52)*BI53)+SUM(BI49:BI52)</f>
        <v>4347.6609593950207</v>
      </c>
    </row>
    <row r="55" spans="3:61" s="29" customFormat="1" x14ac:dyDescent="0.25">
      <c r="E55" s="105" t="s">
        <v>2130</v>
      </c>
      <c r="F55" s="105"/>
      <c r="H55" s="726" t="s">
        <v>2130</v>
      </c>
      <c r="I55" s="105">
        <f>I54*0.08</f>
        <v>169.65127675160167</v>
      </c>
      <c r="Q55" s="726" t="s">
        <v>2130</v>
      </c>
      <c r="R55" s="105"/>
      <c r="T55" s="726" t="s">
        <v>2130</v>
      </c>
      <c r="U55" s="105">
        <f>U54*0.08</f>
        <v>165.5280767516017</v>
      </c>
      <c r="Z55" s="726" t="s">
        <v>2130</v>
      </c>
      <c r="AA55" s="105"/>
      <c r="AC55" s="726" t="s">
        <v>2130</v>
      </c>
      <c r="AD55" s="105">
        <f>AD54*0.08</f>
        <v>185.36807675160171</v>
      </c>
      <c r="AH55" s="30"/>
      <c r="AI55" s="30"/>
      <c r="AJ55" s="726" t="s">
        <v>2130</v>
      </c>
      <c r="AK55" s="105"/>
      <c r="AL55" s="30"/>
      <c r="AM55" s="726" t="s">
        <v>2130</v>
      </c>
      <c r="AN55" s="105">
        <f>AN54*0.08</f>
        <v>181.27207675160167</v>
      </c>
      <c r="AT55" s="726" t="s">
        <v>2130</v>
      </c>
      <c r="AU55" s="105"/>
      <c r="AW55" s="726" t="s">
        <v>2130</v>
      </c>
      <c r="AX55" s="105">
        <f>AX54*0.08</f>
        <v>170.36647675160165</v>
      </c>
      <c r="BE55" s="726" t="s">
        <v>2130</v>
      </c>
      <c r="BF55" s="105"/>
      <c r="BH55" s="726" t="s">
        <v>2130</v>
      </c>
      <c r="BI55" s="105">
        <f>BI54*0.08</f>
        <v>347.81287675160166</v>
      </c>
    </row>
    <row r="56" spans="3:61" s="29" customFormat="1" x14ac:dyDescent="0.25">
      <c r="E56" s="105" t="s">
        <v>1686</v>
      </c>
      <c r="F56" s="105">
        <f>SUM(F54+F55)</f>
        <v>2099.0723984875517</v>
      </c>
      <c r="H56" s="726" t="s">
        <v>1686</v>
      </c>
      <c r="I56" s="105">
        <f>SUM(I54+I55)</f>
        <v>2290.2922361466221</v>
      </c>
      <c r="Q56" s="726" t="s">
        <v>1686</v>
      </c>
      <c r="R56" s="105">
        <f>SUM(R54+R55)</f>
        <v>2073.8723984875514</v>
      </c>
      <c r="T56" s="726" t="s">
        <v>1686</v>
      </c>
      <c r="U56" s="105">
        <f>SUM(U54+U55)</f>
        <v>2234.6290361466226</v>
      </c>
      <c r="Z56" s="726" t="s">
        <v>1686</v>
      </c>
      <c r="AA56" s="105">
        <f>SUM(AA54+AA55)</f>
        <v>2228.8723984875514</v>
      </c>
      <c r="AC56" s="726" t="s">
        <v>1686</v>
      </c>
      <c r="AD56" s="105">
        <f>SUM(AD54+AD55)</f>
        <v>2502.4690361466228</v>
      </c>
      <c r="AH56" s="30"/>
      <c r="AI56" s="30"/>
      <c r="AJ56" s="726" t="s">
        <v>1686</v>
      </c>
      <c r="AK56" s="105">
        <f>SUM(AK54+AK55)</f>
        <v>2196.8723984875514</v>
      </c>
      <c r="AL56" s="30"/>
      <c r="AM56" s="726" t="s">
        <v>1686</v>
      </c>
      <c r="AN56" s="105">
        <f>SUM(AN54+AN55)</f>
        <v>2447.1730361466225</v>
      </c>
      <c r="AT56" s="726" t="s">
        <v>1686</v>
      </c>
      <c r="AU56" s="105">
        <f>SUM(AU54+AU55)</f>
        <v>2111.6723984875516</v>
      </c>
      <c r="AW56" s="726" t="s">
        <v>1686</v>
      </c>
      <c r="AX56" s="105">
        <f>SUM(AX54+AX55)</f>
        <v>2299.9474361466223</v>
      </c>
      <c r="BE56" s="726" t="s">
        <v>1686</v>
      </c>
      <c r="BF56" s="105">
        <f>SUM(BF54+BF55)</f>
        <v>3497.9723984875518</v>
      </c>
      <c r="BH56" s="726" t="s">
        <v>1686</v>
      </c>
      <c r="BI56" s="105">
        <f>SUM(BI54+BI55)</f>
        <v>4695.4738361466225</v>
      </c>
    </row>
    <row r="57" spans="3:61" s="29" customFormat="1" x14ac:dyDescent="0.25">
      <c r="E57" s="30"/>
      <c r="F57" s="30"/>
      <c r="H57" s="30"/>
      <c r="I57" s="30"/>
      <c r="Q57" s="30"/>
      <c r="R57" s="30"/>
      <c r="T57" s="30"/>
      <c r="U57" s="30"/>
      <c r="Z57" s="30"/>
      <c r="AA57" s="30"/>
      <c r="AC57" s="30"/>
      <c r="AD57" s="30"/>
      <c r="AH57" s="30"/>
      <c r="AI57" s="30"/>
      <c r="AJ57" s="30"/>
      <c r="AK57" s="30"/>
      <c r="AL57" s="30"/>
      <c r="AM57" s="30"/>
      <c r="AN57" s="30"/>
      <c r="AT57" s="30"/>
      <c r="AU57" s="30"/>
      <c r="AW57" s="30"/>
      <c r="AX57" s="30"/>
      <c r="BE57" s="30"/>
      <c r="BF57" s="30"/>
      <c r="BH57" s="30"/>
      <c r="BI57" s="30"/>
    </row>
    <row r="58" spans="3:61" s="29" customFormat="1" x14ac:dyDescent="0.25">
      <c r="AH58" s="30"/>
      <c r="AI58" s="30"/>
      <c r="AJ58" s="30"/>
      <c r="AK58" s="30"/>
      <c r="AL58" s="30"/>
    </row>
    <row r="59" spans="3:61" s="29" customFormat="1" x14ac:dyDescent="0.25">
      <c r="C59" s="993" t="s">
        <v>8</v>
      </c>
      <c r="D59" s="993"/>
      <c r="E59" s="993"/>
      <c r="F59" s="993"/>
      <c r="G59" s="993"/>
      <c r="H59" s="993"/>
      <c r="I59" s="993"/>
      <c r="J59" s="993"/>
    </row>
    <row r="60" spans="3:61" s="29" customFormat="1" x14ac:dyDescent="0.25">
      <c r="C60" s="989" t="s">
        <v>0</v>
      </c>
      <c r="D60" s="989"/>
      <c r="E60" s="989"/>
      <c r="F60" s="989" t="s">
        <v>1</v>
      </c>
      <c r="G60" s="989"/>
      <c r="H60" s="989"/>
      <c r="I60" s="989"/>
      <c r="J60" s="989"/>
    </row>
    <row r="61" spans="3:61" s="29" customFormat="1" x14ac:dyDescent="0.25">
      <c r="C61" s="990" t="s">
        <v>2</v>
      </c>
      <c r="D61" s="990"/>
      <c r="E61" s="990"/>
      <c r="F61" s="991" t="s">
        <v>12</v>
      </c>
      <c r="G61" s="991"/>
      <c r="H61" s="991"/>
      <c r="I61" s="991"/>
      <c r="J61" s="991"/>
      <c r="M61" s="113" t="s">
        <v>336</v>
      </c>
      <c r="N61" s="113" t="s">
        <v>174</v>
      </c>
      <c r="O61" s="113" t="s">
        <v>248</v>
      </c>
      <c r="P61" s="113" t="s">
        <v>176</v>
      </c>
      <c r="Q61" s="113" t="s">
        <v>337</v>
      </c>
      <c r="R61" s="113" t="s">
        <v>1641</v>
      </c>
      <c r="S61" s="113" t="s">
        <v>1642</v>
      </c>
      <c r="T61" s="113" t="s">
        <v>1643</v>
      </c>
      <c r="U61" s="113" t="s">
        <v>1644</v>
      </c>
      <c r="W61" s="994" t="s">
        <v>1456</v>
      </c>
      <c r="X61" s="994"/>
      <c r="Y61" s="994"/>
      <c r="Z61" s="994"/>
      <c r="AA61" s="994"/>
      <c r="AB61" s="994"/>
      <c r="AC61" s="994"/>
      <c r="AD61" s="994"/>
      <c r="AE61" s="994"/>
    </row>
    <row r="62" spans="3:61" s="29" customFormat="1" x14ac:dyDescent="0.25">
      <c r="C62" s="990"/>
      <c r="D62" s="990"/>
      <c r="E62" s="990"/>
      <c r="F62" s="991"/>
      <c r="G62" s="991"/>
      <c r="H62" s="991"/>
      <c r="I62" s="991"/>
      <c r="J62" s="991"/>
      <c r="M62" s="114" t="s">
        <v>344</v>
      </c>
      <c r="N62" s="114">
        <f>E23</f>
        <v>2099.0723984875517</v>
      </c>
      <c r="O62" s="114" t="str">
        <f>D23</f>
        <v>g</v>
      </c>
      <c r="P62" s="114">
        <v>100</v>
      </c>
      <c r="Q62" s="114">
        <f>N62</f>
        <v>2099.0723984875517</v>
      </c>
      <c r="R62" s="114">
        <v>0</v>
      </c>
      <c r="S62" s="114">
        <f t="shared" ref="S62:S67" si="6">P62*R62</f>
        <v>0</v>
      </c>
      <c r="T62" s="114">
        <f t="shared" ref="T62:T67" si="7">P62-S62</f>
        <v>100</v>
      </c>
      <c r="U62" s="114">
        <f t="shared" ref="U62:U67" si="8">Q62+((S62*Q62)/P62)</f>
        <v>2099.0723984875517</v>
      </c>
      <c r="W62" s="113" t="s">
        <v>336</v>
      </c>
      <c r="X62" s="113" t="s">
        <v>174</v>
      </c>
      <c r="Y62" s="113" t="s">
        <v>248</v>
      </c>
      <c r="Z62" s="113" t="s">
        <v>176</v>
      </c>
      <c r="AA62" s="113" t="s">
        <v>337</v>
      </c>
      <c r="AB62" s="113" t="s">
        <v>1641</v>
      </c>
      <c r="AC62" s="113" t="s">
        <v>1642</v>
      </c>
      <c r="AD62" s="113" t="s">
        <v>1643</v>
      </c>
      <c r="AE62" s="113" t="s">
        <v>1644</v>
      </c>
    </row>
    <row r="63" spans="3:61" s="29" customFormat="1" x14ac:dyDescent="0.25">
      <c r="C63" s="990"/>
      <c r="D63" s="990"/>
      <c r="E63" s="990"/>
      <c r="F63" s="991"/>
      <c r="G63" s="991"/>
      <c r="H63" s="991"/>
      <c r="I63" s="991"/>
      <c r="J63" s="991"/>
      <c r="M63" s="114" t="s">
        <v>340</v>
      </c>
      <c r="N63" s="153">
        <f>Y20</f>
        <v>0.64</v>
      </c>
      <c r="O63" s="114" t="str">
        <f>X20</f>
        <v>g</v>
      </c>
      <c r="P63" s="114">
        <v>3</v>
      </c>
      <c r="Q63" s="114">
        <f>N63*P63</f>
        <v>1.92</v>
      </c>
      <c r="R63" s="114">
        <v>0</v>
      </c>
      <c r="S63" s="114">
        <f t="shared" si="6"/>
        <v>0</v>
      </c>
      <c r="T63" s="114">
        <f t="shared" si="7"/>
        <v>3</v>
      </c>
      <c r="U63" s="114">
        <f t="shared" si="8"/>
        <v>1.92</v>
      </c>
      <c r="W63" s="114" t="s">
        <v>347</v>
      </c>
      <c r="X63" s="114">
        <f>V6</f>
        <v>28.76</v>
      </c>
      <c r="Y63" s="114" t="str">
        <f>U6</f>
        <v>g</v>
      </c>
      <c r="Z63" s="114">
        <v>30</v>
      </c>
      <c r="AA63" s="114">
        <f>X63*Z63</f>
        <v>862.80000000000007</v>
      </c>
      <c r="AB63" s="114">
        <v>0</v>
      </c>
      <c r="AC63" s="114">
        <f>Z63*AB63</f>
        <v>0</v>
      </c>
      <c r="AD63" s="114">
        <f>Z63-AC63</f>
        <v>30</v>
      </c>
      <c r="AE63" s="114">
        <f>AA63+((AC63*AA63)/Z63)</f>
        <v>862.80000000000007</v>
      </c>
    </row>
    <row r="64" spans="3:61" s="29" customFormat="1" x14ac:dyDescent="0.25">
      <c r="C64" s="989" t="s">
        <v>0</v>
      </c>
      <c r="D64" s="989"/>
      <c r="E64" s="989"/>
      <c r="F64" s="989" t="s">
        <v>1</v>
      </c>
      <c r="G64" s="989"/>
      <c r="H64" s="989"/>
      <c r="I64" s="989"/>
      <c r="J64" s="989"/>
      <c r="M64" s="114" t="s">
        <v>345</v>
      </c>
      <c r="N64" s="114">
        <f>P23</f>
        <v>1.6</v>
      </c>
      <c r="O64" s="114" t="str">
        <f>O23</f>
        <v>g</v>
      </c>
      <c r="P64" s="114">
        <v>10</v>
      </c>
      <c r="Q64" s="114">
        <f>N64*P64</f>
        <v>16</v>
      </c>
      <c r="R64" s="114">
        <v>0</v>
      </c>
      <c r="S64" s="114">
        <f t="shared" si="6"/>
        <v>0</v>
      </c>
      <c r="T64" s="114">
        <f t="shared" si="7"/>
        <v>10</v>
      </c>
      <c r="U64" s="114">
        <f t="shared" si="8"/>
        <v>16</v>
      </c>
      <c r="W64" s="114" t="s">
        <v>546</v>
      </c>
      <c r="X64" s="114">
        <f>AE3</f>
        <v>49.18</v>
      </c>
      <c r="Y64" s="114" t="str">
        <f>AD3</f>
        <v>mL</v>
      </c>
      <c r="Z64" s="114">
        <v>5</v>
      </c>
      <c r="AA64" s="114">
        <f t="shared" ref="AA64:AA69" si="9">X64*Z64</f>
        <v>245.9</v>
      </c>
      <c r="AB64" s="114">
        <v>0</v>
      </c>
      <c r="AC64" s="114">
        <f t="shared" ref="AC64:AC69" si="10">Z64*AB64</f>
        <v>0</v>
      </c>
      <c r="AD64" s="114">
        <f t="shared" ref="AD64:AD68" si="11">Z64-AC64</f>
        <v>5</v>
      </c>
      <c r="AE64" s="114">
        <f t="shared" ref="AE64:AE69" si="12">AA64+((AC64*AA64)/Z64)</f>
        <v>245.9</v>
      </c>
    </row>
    <row r="65" spans="2:31" s="29" customFormat="1" x14ac:dyDescent="0.25">
      <c r="C65" s="990" t="s">
        <v>3</v>
      </c>
      <c r="D65" s="990"/>
      <c r="E65" s="990"/>
      <c r="F65" s="992" t="s">
        <v>290</v>
      </c>
      <c r="G65" s="991"/>
      <c r="H65" s="991"/>
      <c r="I65" s="991"/>
      <c r="J65" s="991"/>
      <c r="M65" s="114" t="s">
        <v>346</v>
      </c>
      <c r="N65" s="114">
        <f>P3</f>
        <v>7</v>
      </c>
      <c r="O65" s="114" t="str">
        <f>O3</f>
        <v>g</v>
      </c>
      <c r="P65" s="114">
        <v>6</v>
      </c>
      <c r="Q65" s="114">
        <f>N65*P65</f>
        <v>42</v>
      </c>
      <c r="R65" s="114">
        <f>AJ2</f>
        <v>0.23</v>
      </c>
      <c r="S65" s="114">
        <f t="shared" si="6"/>
        <v>1.3800000000000001</v>
      </c>
      <c r="T65" s="114">
        <f t="shared" si="7"/>
        <v>4.62</v>
      </c>
      <c r="U65" s="114">
        <f t="shared" si="8"/>
        <v>51.660000000000004</v>
      </c>
      <c r="W65" s="114" t="s">
        <v>346</v>
      </c>
      <c r="X65" s="114">
        <f>P3</f>
        <v>7</v>
      </c>
      <c r="Y65" s="114" t="str">
        <f>O3</f>
        <v>g</v>
      </c>
      <c r="Z65" s="114">
        <v>12</v>
      </c>
      <c r="AA65" s="114">
        <f t="shared" si="9"/>
        <v>84</v>
      </c>
      <c r="AB65" s="114">
        <f>AJ2</f>
        <v>0.23</v>
      </c>
      <c r="AC65" s="114">
        <f t="shared" si="10"/>
        <v>2.7600000000000002</v>
      </c>
      <c r="AD65" s="114">
        <f t="shared" si="11"/>
        <v>9.24</v>
      </c>
      <c r="AE65" s="114">
        <f t="shared" si="12"/>
        <v>103.32000000000001</v>
      </c>
    </row>
    <row r="66" spans="2:31" s="29" customFormat="1" x14ac:dyDescent="0.25">
      <c r="C66" s="990"/>
      <c r="D66" s="990"/>
      <c r="E66" s="990"/>
      <c r="F66" s="991"/>
      <c r="G66" s="991"/>
      <c r="H66" s="991"/>
      <c r="I66" s="991"/>
      <c r="J66" s="991"/>
      <c r="M66" s="114" t="s">
        <v>353</v>
      </c>
      <c r="N66" s="114">
        <f>AE70</f>
        <v>5944.7800000000007</v>
      </c>
      <c r="O66" s="114" t="s">
        <v>1388</v>
      </c>
      <c r="P66" s="114">
        <v>120</v>
      </c>
      <c r="Q66" s="114">
        <f>N66</f>
        <v>5944.7800000000007</v>
      </c>
      <c r="R66" s="114">
        <v>0</v>
      </c>
      <c r="S66" s="114">
        <f t="shared" si="6"/>
        <v>0</v>
      </c>
      <c r="T66" s="114">
        <f t="shared" si="7"/>
        <v>120</v>
      </c>
      <c r="U66" s="114">
        <f t="shared" si="8"/>
        <v>5944.7800000000007</v>
      </c>
      <c r="W66" s="114" t="s">
        <v>348</v>
      </c>
      <c r="X66" s="114">
        <f>V2</f>
        <v>13.11</v>
      </c>
      <c r="Y66" s="114" t="str">
        <f>U2</f>
        <v>g</v>
      </c>
      <c r="Z66" s="114">
        <v>60</v>
      </c>
      <c r="AA66" s="114">
        <f t="shared" si="9"/>
        <v>786.59999999999991</v>
      </c>
      <c r="AB66" s="114">
        <v>0</v>
      </c>
      <c r="AC66" s="114">
        <f t="shared" si="10"/>
        <v>0</v>
      </c>
      <c r="AD66" s="114">
        <f t="shared" si="11"/>
        <v>60</v>
      </c>
      <c r="AE66" s="114">
        <f t="shared" si="12"/>
        <v>786.59999999999991</v>
      </c>
    </row>
    <row r="67" spans="2:31" s="29" customFormat="1" x14ac:dyDescent="0.25">
      <c r="C67" s="990"/>
      <c r="D67" s="990"/>
      <c r="E67" s="990"/>
      <c r="F67" s="991"/>
      <c r="G67" s="991"/>
      <c r="H67" s="991"/>
      <c r="I67" s="991"/>
      <c r="J67" s="991"/>
      <c r="M67" s="114" t="s">
        <v>349</v>
      </c>
      <c r="N67" s="114">
        <f>S15</f>
        <v>41</v>
      </c>
      <c r="O67" s="114" t="str">
        <f>R15</f>
        <v>g</v>
      </c>
      <c r="P67" s="114">
        <v>80</v>
      </c>
      <c r="Q67" s="114">
        <f>N67*P67</f>
        <v>3280</v>
      </c>
      <c r="R67" s="114">
        <f>AN3</f>
        <v>0.47</v>
      </c>
      <c r="S67" s="114">
        <f t="shared" si="6"/>
        <v>37.599999999999994</v>
      </c>
      <c r="T67" s="114">
        <f t="shared" si="7"/>
        <v>42.400000000000006</v>
      </c>
      <c r="U67" s="114">
        <f t="shared" si="8"/>
        <v>4821.6000000000004</v>
      </c>
      <c r="W67" s="114" t="s">
        <v>433</v>
      </c>
      <c r="X67" s="114">
        <f>Y18</f>
        <v>223.57</v>
      </c>
      <c r="Y67" s="114" t="str">
        <f>X18</f>
        <v>g</v>
      </c>
      <c r="Z67" s="114">
        <v>8</v>
      </c>
      <c r="AA67" s="114">
        <f t="shared" si="9"/>
        <v>1788.56</v>
      </c>
      <c r="AB67" s="114">
        <v>0</v>
      </c>
      <c r="AC67" s="114">
        <f t="shared" si="10"/>
        <v>0</v>
      </c>
      <c r="AD67" s="114">
        <f t="shared" si="11"/>
        <v>8</v>
      </c>
      <c r="AE67" s="114">
        <f t="shared" si="12"/>
        <v>1788.56</v>
      </c>
    </row>
    <row r="68" spans="2:31" s="29" customFormat="1" x14ac:dyDescent="0.25">
      <c r="C68" s="990" t="s">
        <v>4</v>
      </c>
      <c r="D68" s="990"/>
      <c r="E68" s="990"/>
      <c r="F68" s="991" t="s">
        <v>15</v>
      </c>
      <c r="G68" s="991"/>
      <c r="H68" s="991"/>
      <c r="I68" s="991"/>
      <c r="J68" s="991"/>
      <c r="M68" s="114"/>
      <c r="N68" s="114"/>
      <c r="O68" s="114"/>
      <c r="P68" s="114"/>
      <c r="Q68" s="114"/>
      <c r="R68" s="114"/>
      <c r="S68" s="114"/>
      <c r="T68" s="114"/>
      <c r="U68" s="114"/>
      <c r="W68" s="114" t="s">
        <v>547</v>
      </c>
      <c r="X68" s="114">
        <f>V13</f>
        <v>81.900000000000006</v>
      </c>
      <c r="Y68" s="114" t="str">
        <f>U13</f>
        <v>g</v>
      </c>
      <c r="Z68" s="114">
        <v>20</v>
      </c>
      <c r="AA68" s="114">
        <f t="shared" si="9"/>
        <v>1638</v>
      </c>
      <c r="AB68" s="114">
        <v>0</v>
      </c>
      <c r="AC68" s="114">
        <f t="shared" si="10"/>
        <v>0</v>
      </c>
      <c r="AD68" s="114">
        <f t="shared" si="11"/>
        <v>20</v>
      </c>
      <c r="AE68" s="114">
        <f t="shared" si="12"/>
        <v>1638</v>
      </c>
    </row>
    <row r="69" spans="2:31" s="29" customFormat="1" x14ac:dyDescent="0.25">
      <c r="C69" s="990"/>
      <c r="D69" s="990"/>
      <c r="E69" s="990"/>
      <c r="F69" s="991"/>
      <c r="G69" s="991"/>
      <c r="H69" s="991"/>
      <c r="I69" s="991"/>
      <c r="J69" s="991"/>
      <c r="M69" s="114"/>
      <c r="N69" s="114"/>
      <c r="O69" s="114"/>
      <c r="P69" s="114"/>
      <c r="Q69" s="114"/>
      <c r="R69" s="114"/>
      <c r="S69" s="114"/>
      <c r="T69" s="114"/>
      <c r="U69" s="114"/>
      <c r="W69" s="114" t="s">
        <v>462</v>
      </c>
      <c r="X69" s="114">
        <f>V12</f>
        <v>25.98</v>
      </c>
      <c r="Y69" s="114" t="str">
        <f>U12</f>
        <v>g</v>
      </c>
      <c r="Z69" s="114">
        <v>20</v>
      </c>
      <c r="AA69" s="114">
        <f t="shared" si="9"/>
        <v>519.6</v>
      </c>
      <c r="AB69" s="114">
        <v>0</v>
      </c>
      <c r="AC69" s="114">
        <f t="shared" si="10"/>
        <v>0</v>
      </c>
      <c r="AD69" s="114">
        <f>Z69-AC69</f>
        <v>20</v>
      </c>
      <c r="AE69" s="114">
        <f t="shared" si="12"/>
        <v>519.6</v>
      </c>
    </row>
    <row r="70" spans="2:31" s="29" customFormat="1" x14ac:dyDescent="0.25">
      <c r="C70" s="990"/>
      <c r="D70" s="990"/>
      <c r="E70" s="990"/>
      <c r="F70" s="991"/>
      <c r="G70" s="991"/>
      <c r="H70" s="991"/>
      <c r="I70" s="991"/>
      <c r="J70" s="991"/>
      <c r="M70" s="114" t="s">
        <v>337</v>
      </c>
      <c r="N70" s="114">
        <f>SUM(N62:N69)</f>
        <v>8094.0923984875517</v>
      </c>
      <c r="O70" s="114"/>
      <c r="P70" s="114">
        <f>SUM(P62:P69)</f>
        <v>319</v>
      </c>
      <c r="Q70" s="114">
        <f>SUM(Q62:Q69)</f>
        <v>11383.772398487552</v>
      </c>
      <c r="R70" s="114"/>
      <c r="S70" s="114"/>
      <c r="T70" s="114"/>
      <c r="U70" s="114">
        <f>SUM(U62:U69)</f>
        <v>12935.032398487552</v>
      </c>
      <c r="W70" s="114" t="s">
        <v>337</v>
      </c>
      <c r="X70" s="114">
        <f>SUM(X63:X69)</f>
        <v>429.5</v>
      </c>
      <c r="Y70" s="114"/>
      <c r="Z70" s="114">
        <f>SUM(Z63:Z69)</f>
        <v>155</v>
      </c>
      <c r="AA70" s="114">
        <f>SUM(AA63:AA69)</f>
        <v>5925.46</v>
      </c>
      <c r="AB70" s="114"/>
      <c r="AC70" s="114"/>
      <c r="AD70" s="114"/>
      <c r="AE70" s="114">
        <f>SUM(AE63:AE69)</f>
        <v>5944.7800000000007</v>
      </c>
    </row>
    <row r="71" spans="2:31" s="29" customFormat="1" x14ac:dyDescent="0.25">
      <c r="C71" s="990" t="s">
        <v>5</v>
      </c>
      <c r="D71" s="990"/>
      <c r="E71" s="990"/>
      <c r="F71" s="992" t="s">
        <v>10</v>
      </c>
      <c r="G71" s="991"/>
      <c r="H71" s="991"/>
      <c r="I71" s="991"/>
      <c r="J71" s="991"/>
      <c r="W71" s="29" t="s">
        <v>549</v>
      </c>
    </row>
    <row r="72" spans="2:31" s="29" customFormat="1" x14ac:dyDescent="0.25">
      <c r="C72" s="990"/>
      <c r="D72" s="990"/>
      <c r="E72" s="990"/>
      <c r="F72" s="991"/>
      <c r="G72" s="991"/>
      <c r="H72" s="991"/>
      <c r="I72" s="991"/>
      <c r="J72" s="991"/>
      <c r="Q72" s="114" t="s">
        <v>1681</v>
      </c>
      <c r="R72" s="114">
        <f>U70</f>
        <v>12935.032398487552</v>
      </c>
      <c r="S72" s="608" t="s">
        <v>2142</v>
      </c>
      <c r="T72" s="608">
        <f>(R72*100)/R79</f>
        <v>50.299729736317701</v>
      </c>
      <c r="AA72" s="114" t="s">
        <v>1681</v>
      </c>
      <c r="AB72" s="114">
        <f>AE70</f>
        <v>5944.7800000000007</v>
      </c>
      <c r="AC72" s="608" t="s">
        <v>2142</v>
      </c>
      <c r="AD72" s="608">
        <f>(AB72*100)/AB79</f>
        <v>43.068480751506549</v>
      </c>
    </row>
    <row r="73" spans="2:31" s="29" customFormat="1" x14ac:dyDescent="0.25">
      <c r="B73" s="30"/>
      <c r="C73" s="990"/>
      <c r="D73" s="990"/>
      <c r="E73" s="990"/>
      <c r="F73" s="991"/>
      <c r="G73" s="991"/>
      <c r="H73" s="991"/>
      <c r="I73" s="991"/>
      <c r="J73" s="991"/>
      <c r="K73" s="30"/>
      <c r="L73" s="30"/>
      <c r="M73" s="30"/>
      <c r="N73" s="30"/>
      <c r="O73" s="30"/>
      <c r="P73" s="30"/>
      <c r="Q73" s="114" t="s">
        <v>2326</v>
      </c>
      <c r="R73" s="114">
        <f>$AL$26</f>
        <v>1801.715474357886</v>
      </c>
      <c r="AA73" s="114" t="s">
        <v>2326</v>
      </c>
      <c r="AB73" s="114">
        <f>$AO$26/2</f>
        <v>476.87414947063905</v>
      </c>
    </row>
    <row r="74" spans="2:31" s="29" customFormat="1" x14ac:dyDescent="0.25">
      <c r="B74" s="30"/>
      <c r="C74" s="990" t="s">
        <v>6</v>
      </c>
      <c r="D74" s="990"/>
      <c r="E74" s="990"/>
      <c r="F74" s="991" t="s">
        <v>9</v>
      </c>
      <c r="G74" s="991"/>
      <c r="H74" s="991"/>
      <c r="I74" s="991"/>
      <c r="J74" s="991"/>
      <c r="K74" s="30"/>
      <c r="L74" s="30"/>
      <c r="M74" s="104"/>
      <c r="N74" s="104"/>
      <c r="O74" s="104"/>
      <c r="P74" s="104"/>
      <c r="Q74" s="114" t="s">
        <v>2325</v>
      </c>
      <c r="R74" s="114">
        <f>$AL$27</f>
        <v>75.599999999999994</v>
      </c>
      <c r="AA74" s="114" t="s">
        <v>2325</v>
      </c>
      <c r="AB74" s="114">
        <f>$AO$27/4</f>
        <v>18.899999999999999</v>
      </c>
    </row>
    <row r="75" spans="2:31" s="29" customFormat="1" x14ac:dyDescent="0.25">
      <c r="B75" s="30"/>
      <c r="C75" s="990"/>
      <c r="D75" s="990"/>
      <c r="E75" s="990"/>
      <c r="F75" s="991"/>
      <c r="G75" s="991"/>
      <c r="H75" s="991"/>
      <c r="I75" s="991"/>
      <c r="J75" s="991"/>
      <c r="K75" s="30"/>
      <c r="L75" s="30"/>
      <c r="M75" s="30"/>
      <c r="N75" s="30"/>
      <c r="O75" s="30"/>
      <c r="P75" s="30"/>
      <c r="Q75" s="114" t="s">
        <v>1684</v>
      </c>
      <c r="R75" s="114">
        <f>$AL$29</f>
        <v>69.543532482306858</v>
      </c>
      <c r="AA75" s="114" t="s">
        <v>1684</v>
      </c>
      <c r="AB75" s="114">
        <f>$AO$29</f>
        <v>1547.3435977313275</v>
      </c>
    </row>
    <row r="76" spans="2:31" s="29" customFormat="1" x14ac:dyDescent="0.25">
      <c r="B76" s="30"/>
      <c r="C76" s="990"/>
      <c r="D76" s="990"/>
      <c r="E76" s="990"/>
      <c r="F76" s="991"/>
      <c r="G76" s="991"/>
      <c r="H76" s="991"/>
      <c r="I76" s="991"/>
      <c r="J76" s="991"/>
      <c r="K76" s="30"/>
      <c r="L76" s="30"/>
      <c r="M76" s="30"/>
      <c r="N76" s="30"/>
      <c r="O76" s="30"/>
      <c r="P76" s="30"/>
      <c r="Q76" s="114" t="s">
        <v>1685</v>
      </c>
      <c r="R76" s="114">
        <v>0.6</v>
      </c>
      <c r="AA76" s="114" t="s">
        <v>1685</v>
      </c>
      <c r="AB76" s="114">
        <v>0.6</v>
      </c>
    </row>
    <row r="77" spans="2:31" s="29" customFormat="1" x14ac:dyDescent="0.25">
      <c r="B77" s="30"/>
      <c r="C77" s="990" t="s">
        <v>7</v>
      </c>
      <c r="D77" s="990"/>
      <c r="E77" s="990"/>
      <c r="F77" s="992" t="s">
        <v>548</v>
      </c>
      <c r="G77" s="991"/>
      <c r="H77" s="991"/>
      <c r="I77" s="991"/>
      <c r="J77" s="991"/>
      <c r="K77" s="30"/>
      <c r="L77" s="30"/>
      <c r="M77" s="30"/>
      <c r="N77" s="30"/>
      <c r="O77" s="30"/>
      <c r="P77" s="30"/>
      <c r="Q77" s="114" t="s">
        <v>1708</v>
      </c>
      <c r="R77" s="114">
        <f>(SUM(R72:R75)*R76)+SUM(R72:R75)</f>
        <v>23811.026248524395</v>
      </c>
      <c r="T77" s="29" t="s">
        <v>1645</v>
      </c>
      <c r="AA77" s="114" t="s">
        <v>1708</v>
      </c>
      <c r="AB77" s="114">
        <f>(SUM(AB72:AB75)*AB76)+SUM(AB72:AB75)</f>
        <v>12780.636395523146</v>
      </c>
    </row>
    <row r="78" spans="2:31" s="29" customFormat="1" x14ac:dyDescent="0.25">
      <c r="B78" s="30"/>
      <c r="C78" s="990"/>
      <c r="D78" s="990"/>
      <c r="E78" s="990"/>
      <c r="F78" s="991"/>
      <c r="G78" s="991"/>
      <c r="H78" s="991"/>
      <c r="I78" s="991"/>
      <c r="J78" s="991"/>
      <c r="K78" s="30"/>
      <c r="L78" s="30"/>
      <c r="M78" s="30"/>
      <c r="N78" s="30"/>
      <c r="O78" s="30"/>
      <c r="P78" s="30"/>
      <c r="Q78" s="114" t="s">
        <v>2130</v>
      </c>
      <c r="R78" s="114">
        <f>R77*0.08</f>
        <v>1904.8820998819517</v>
      </c>
      <c r="AA78" s="114" t="s">
        <v>2130</v>
      </c>
      <c r="AB78" s="114">
        <f>AB77*0.08</f>
        <v>1022.4509116418517</v>
      </c>
    </row>
    <row r="79" spans="2:31" s="29" customFormat="1" x14ac:dyDescent="0.25">
      <c r="B79" s="30"/>
      <c r="C79" s="990"/>
      <c r="D79" s="990"/>
      <c r="E79" s="990"/>
      <c r="F79" s="991"/>
      <c r="G79" s="991"/>
      <c r="H79" s="991"/>
      <c r="I79" s="991"/>
      <c r="J79" s="991"/>
      <c r="K79" s="30"/>
      <c r="L79" s="30"/>
      <c r="M79" s="30"/>
      <c r="N79" s="30"/>
      <c r="O79" s="30"/>
      <c r="P79" s="30"/>
      <c r="Q79" s="114" t="s">
        <v>1686</v>
      </c>
      <c r="R79" s="114">
        <f>SUM(R77+R78)</f>
        <v>25715.908348406345</v>
      </c>
      <c r="AA79" s="114" t="s">
        <v>1686</v>
      </c>
      <c r="AB79" s="114">
        <f>SUM(AB77+AB78)</f>
        <v>13803.087307164998</v>
      </c>
    </row>
    <row r="80" spans="2:31" s="29" customFormat="1" ht="15.75" customHeight="1" x14ac:dyDescent="0.25">
      <c r="B80" s="30"/>
      <c r="C80" s="35"/>
      <c r="D80" s="35"/>
      <c r="E80" s="35"/>
      <c r="F80" s="36"/>
      <c r="G80" s="36"/>
      <c r="H80" s="36"/>
      <c r="I80" s="36"/>
      <c r="J80" s="36"/>
      <c r="K80" s="30"/>
      <c r="L80" s="30"/>
      <c r="M80" s="30"/>
      <c r="N80" s="30"/>
      <c r="O80" s="30"/>
      <c r="P80" s="30"/>
      <c r="Q80" s="30"/>
    </row>
    <row r="81" spans="2:31" s="29" customFormat="1" x14ac:dyDescent="0.25">
      <c r="B81" s="30"/>
      <c r="C81" s="35"/>
      <c r="D81" s="35"/>
      <c r="E81" s="35"/>
      <c r="F81" s="36"/>
      <c r="G81" s="36"/>
      <c r="H81" s="36"/>
      <c r="I81" s="36"/>
      <c r="J81" s="36"/>
      <c r="K81" s="30"/>
      <c r="L81" s="30"/>
      <c r="M81" s="30"/>
      <c r="N81" s="30"/>
      <c r="O81" s="30"/>
      <c r="P81" s="30"/>
      <c r="Q81" s="30"/>
    </row>
    <row r="82" spans="2:31" s="29" customFormat="1" x14ac:dyDescent="0.25">
      <c r="B82" s="30"/>
      <c r="C82" s="993" t="s">
        <v>8</v>
      </c>
      <c r="D82" s="993"/>
      <c r="E82" s="993"/>
      <c r="F82" s="993"/>
      <c r="G82" s="993"/>
      <c r="H82" s="993"/>
      <c r="I82" s="993"/>
      <c r="J82" s="993"/>
      <c r="K82" s="30"/>
      <c r="L82" s="30"/>
      <c r="M82" s="30"/>
      <c r="N82" s="30"/>
      <c r="O82" s="30"/>
      <c r="P82" s="30"/>
      <c r="Q82" s="30"/>
    </row>
    <row r="83" spans="2:31" s="29" customFormat="1" x14ac:dyDescent="0.25">
      <c r="B83" s="30"/>
      <c r="C83" s="989" t="s">
        <v>0</v>
      </c>
      <c r="D83" s="989"/>
      <c r="E83" s="989"/>
      <c r="F83" s="989" t="s">
        <v>1</v>
      </c>
      <c r="G83" s="989"/>
      <c r="H83" s="989"/>
      <c r="I83" s="989"/>
      <c r="J83" s="989"/>
      <c r="K83" s="30"/>
      <c r="L83" s="30"/>
      <c r="M83" s="30"/>
      <c r="N83" s="30"/>
      <c r="O83" s="30"/>
      <c r="P83" s="30"/>
      <c r="Q83" s="30"/>
    </row>
    <row r="84" spans="2:31" s="29" customFormat="1" x14ac:dyDescent="0.25">
      <c r="B84" s="30"/>
      <c r="C84" s="990" t="s">
        <v>2</v>
      </c>
      <c r="D84" s="990"/>
      <c r="E84" s="990"/>
      <c r="F84" s="991" t="s">
        <v>11</v>
      </c>
      <c r="G84" s="991"/>
      <c r="H84" s="991"/>
      <c r="I84" s="991"/>
      <c r="J84" s="991"/>
      <c r="K84" s="30"/>
      <c r="L84" s="30"/>
      <c r="M84" s="113" t="s">
        <v>336</v>
      </c>
      <c r="N84" s="113" t="s">
        <v>174</v>
      </c>
      <c r="O84" s="113" t="s">
        <v>248</v>
      </c>
      <c r="P84" s="113" t="s">
        <v>176</v>
      </c>
      <c r="Q84" s="113" t="s">
        <v>337</v>
      </c>
      <c r="R84" s="113" t="s">
        <v>1641</v>
      </c>
      <c r="S84" s="113" t="s">
        <v>1642</v>
      </c>
      <c r="T84" s="113" t="s">
        <v>1643</v>
      </c>
      <c r="U84" s="113" t="s">
        <v>1644</v>
      </c>
      <c r="W84" s="994" t="s">
        <v>1457</v>
      </c>
      <c r="X84" s="994"/>
      <c r="Y84" s="994"/>
      <c r="Z84" s="994"/>
      <c r="AA84" s="994"/>
      <c r="AB84" s="994"/>
      <c r="AC84" s="994"/>
      <c r="AD84" s="994"/>
      <c r="AE84" s="994"/>
    </row>
    <row r="85" spans="2:31" s="29" customFormat="1" x14ac:dyDescent="0.25">
      <c r="B85" s="30"/>
      <c r="C85" s="990"/>
      <c r="D85" s="990"/>
      <c r="E85" s="990"/>
      <c r="F85" s="991"/>
      <c r="G85" s="991"/>
      <c r="H85" s="991"/>
      <c r="I85" s="991"/>
      <c r="J85" s="991"/>
      <c r="K85" s="30"/>
      <c r="L85" s="30"/>
      <c r="M85" s="114" t="s">
        <v>344</v>
      </c>
      <c r="N85" s="114">
        <f>E23</f>
        <v>2099.0723984875517</v>
      </c>
      <c r="O85" s="114" t="str">
        <f>D23</f>
        <v>g</v>
      </c>
      <c r="P85" s="114">
        <v>100</v>
      </c>
      <c r="Q85" s="114">
        <f>N85</f>
        <v>2099.0723984875517</v>
      </c>
      <c r="R85" s="114">
        <v>0</v>
      </c>
      <c r="S85" s="114">
        <f>P85*R85</f>
        <v>0</v>
      </c>
      <c r="T85" s="114">
        <f>P85-S85</f>
        <v>100</v>
      </c>
      <c r="U85" s="114">
        <f>Q85+((S85*Q85)/P85)</f>
        <v>2099.0723984875517</v>
      </c>
      <c r="W85" s="113" t="s">
        <v>336</v>
      </c>
      <c r="X85" s="113" t="s">
        <v>174</v>
      </c>
      <c r="Y85" s="113" t="s">
        <v>248</v>
      </c>
      <c r="Z85" s="113" t="s">
        <v>176</v>
      </c>
      <c r="AA85" s="113" t="s">
        <v>337</v>
      </c>
      <c r="AB85" s="113" t="s">
        <v>1641</v>
      </c>
      <c r="AC85" s="113" t="s">
        <v>1642</v>
      </c>
      <c r="AD85" s="113" t="s">
        <v>1643</v>
      </c>
      <c r="AE85" s="113" t="s">
        <v>1644</v>
      </c>
    </row>
    <row r="86" spans="2:31" s="29" customFormat="1" ht="15.75" customHeight="1" x14ac:dyDescent="0.25">
      <c r="B86" s="30"/>
      <c r="C86" s="990"/>
      <c r="D86" s="990"/>
      <c r="E86" s="990"/>
      <c r="F86" s="991"/>
      <c r="G86" s="991"/>
      <c r="H86" s="991"/>
      <c r="I86" s="991"/>
      <c r="J86" s="991"/>
      <c r="K86" s="30"/>
      <c r="L86" s="30"/>
      <c r="M86" s="114" t="s">
        <v>340</v>
      </c>
      <c r="N86" s="114">
        <f>Y20</f>
        <v>0.64</v>
      </c>
      <c r="O86" s="114" t="str">
        <f>X20</f>
        <v>g</v>
      </c>
      <c r="P86" s="114">
        <v>2</v>
      </c>
      <c r="Q86" s="114">
        <f>N86*P86</f>
        <v>1.28</v>
      </c>
      <c r="R86" s="114">
        <v>0</v>
      </c>
      <c r="S86" s="114">
        <f>P86*R86</f>
        <v>0</v>
      </c>
      <c r="T86" s="114">
        <f>P86-S86</f>
        <v>2</v>
      </c>
      <c r="U86" s="114">
        <f>Q86+((S86*Q86)/P86)</f>
        <v>1.28</v>
      </c>
      <c r="W86" s="114" t="s">
        <v>550</v>
      </c>
      <c r="X86" s="114">
        <f>AE5</f>
        <v>2.04</v>
      </c>
      <c r="Y86" s="114" t="str">
        <f>AD5</f>
        <v>g</v>
      </c>
      <c r="Z86" s="114">
        <v>20</v>
      </c>
      <c r="AA86" s="114">
        <f>X86*Z86</f>
        <v>40.799999999999997</v>
      </c>
      <c r="AB86" s="114">
        <v>0</v>
      </c>
      <c r="AC86" s="114">
        <f>Z86*AB86</f>
        <v>0</v>
      </c>
      <c r="AD86" s="114">
        <f>Z86-AC86</f>
        <v>20</v>
      </c>
      <c r="AE86" s="114">
        <f>AA86+((AC86*AA86)/Z86)</f>
        <v>40.799999999999997</v>
      </c>
    </row>
    <row r="87" spans="2:31" s="29" customFormat="1" x14ac:dyDescent="0.25">
      <c r="B87" s="30"/>
      <c r="C87" s="989" t="s">
        <v>0</v>
      </c>
      <c r="D87" s="989"/>
      <c r="E87" s="989"/>
      <c r="F87" s="989" t="s">
        <v>1</v>
      </c>
      <c r="G87" s="989"/>
      <c r="H87" s="989"/>
      <c r="I87" s="989"/>
      <c r="J87" s="989"/>
      <c r="K87" s="30"/>
      <c r="L87" s="30"/>
      <c r="M87" s="114" t="s">
        <v>346</v>
      </c>
      <c r="N87" s="114">
        <f>P3</f>
        <v>7</v>
      </c>
      <c r="O87" s="114" t="str">
        <f>O3</f>
        <v>g</v>
      </c>
      <c r="P87" s="114">
        <v>6</v>
      </c>
      <c r="Q87" s="114">
        <f>N87*P87</f>
        <v>42</v>
      </c>
      <c r="R87" s="114">
        <f>AJ2</f>
        <v>0.23</v>
      </c>
      <c r="S87" s="114">
        <f>P87*R87</f>
        <v>1.3800000000000001</v>
      </c>
      <c r="T87" s="114">
        <f>P87-S87</f>
        <v>4.62</v>
      </c>
      <c r="U87" s="114">
        <f>Q87+((S87*Q87)/P87)</f>
        <v>51.660000000000004</v>
      </c>
      <c r="W87" s="114" t="s">
        <v>551</v>
      </c>
      <c r="X87" s="114">
        <f>V4</f>
        <v>3.08</v>
      </c>
      <c r="Y87" s="114" t="str">
        <f>U4</f>
        <v>mL</v>
      </c>
      <c r="Z87" s="114">
        <v>100</v>
      </c>
      <c r="AA87" s="114">
        <f>X87*Z87</f>
        <v>308</v>
      </c>
      <c r="AB87" s="114">
        <v>0</v>
      </c>
      <c r="AC87" s="114">
        <f>Z87*AB87</f>
        <v>0</v>
      </c>
      <c r="AD87" s="114">
        <f>Z87-AC87</f>
        <v>100</v>
      </c>
      <c r="AE87" s="114">
        <f>AA87+((AC87*AA87)/Z87)</f>
        <v>308</v>
      </c>
    </row>
    <row r="88" spans="2:31" s="29" customFormat="1" x14ac:dyDescent="0.25">
      <c r="B88" s="30"/>
      <c r="C88" s="990" t="s">
        <v>3</v>
      </c>
      <c r="D88" s="990"/>
      <c r="E88" s="990"/>
      <c r="F88" s="992" t="s">
        <v>289</v>
      </c>
      <c r="G88" s="991"/>
      <c r="H88" s="991"/>
      <c r="I88" s="991"/>
      <c r="J88" s="991"/>
      <c r="K88" s="30"/>
      <c r="L88" s="30"/>
      <c r="M88" s="114" t="s">
        <v>355</v>
      </c>
      <c r="N88" s="114">
        <f>AE91</f>
        <v>1320.04</v>
      </c>
      <c r="O88" s="114" t="s">
        <v>1388</v>
      </c>
      <c r="P88" s="114">
        <v>120</v>
      </c>
      <c r="Q88" s="114">
        <f>N88</f>
        <v>1320.04</v>
      </c>
      <c r="R88" s="114">
        <v>0</v>
      </c>
      <c r="S88" s="114">
        <f>P88*R88</f>
        <v>0</v>
      </c>
      <c r="T88" s="114">
        <f>P88-S88</f>
        <v>120</v>
      </c>
      <c r="U88" s="114">
        <f>Q88+((S88*Q88)/P88)</f>
        <v>1320.04</v>
      </c>
      <c r="W88" s="114" t="s">
        <v>347</v>
      </c>
      <c r="X88" s="114">
        <f>V6</f>
        <v>28.76</v>
      </c>
      <c r="Y88" s="114" t="str">
        <f>U6</f>
        <v>g</v>
      </c>
      <c r="Z88" s="114">
        <v>20</v>
      </c>
      <c r="AA88" s="114">
        <f>X88*Z88</f>
        <v>575.20000000000005</v>
      </c>
      <c r="AB88" s="114">
        <v>0</v>
      </c>
      <c r="AC88" s="114">
        <f>Z88*AB88</f>
        <v>0</v>
      </c>
      <c r="AD88" s="114">
        <f>Z88-AC88</f>
        <v>20</v>
      </c>
      <c r="AE88" s="114">
        <f>AA88+((AC88*AA88)/Z88)</f>
        <v>575.20000000000005</v>
      </c>
    </row>
    <row r="89" spans="2:31" s="29" customFormat="1" x14ac:dyDescent="0.25">
      <c r="B89" s="30"/>
      <c r="C89" s="990"/>
      <c r="D89" s="990"/>
      <c r="E89" s="990"/>
      <c r="F89" s="991"/>
      <c r="G89" s="991"/>
      <c r="H89" s="991"/>
      <c r="I89" s="991"/>
      <c r="J89" s="991"/>
      <c r="K89" s="30"/>
      <c r="L89" s="30"/>
      <c r="M89" s="114" t="s">
        <v>349</v>
      </c>
      <c r="N89" s="114">
        <f>S15</f>
        <v>41</v>
      </c>
      <c r="O89" s="114" t="str">
        <f>R15</f>
        <v>g</v>
      </c>
      <c r="P89" s="114">
        <v>80</v>
      </c>
      <c r="Q89" s="114">
        <f>N89*P89</f>
        <v>3280</v>
      </c>
      <c r="R89" s="114">
        <f>AN3</f>
        <v>0.47</v>
      </c>
      <c r="S89" s="114">
        <f>P89*R89</f>
        <v>37.599999999999994</v>
      </c>
      <c r="T89" s="114">
        <f>P89-S89</f>
        <v>42.400000000000006</v>
      </c>
      <c r="U89" s="114">
        <f>Q89+((S89*Q89)/P89)</f>
        <v>4821.6000000000004</v>
      </c>
      <c r="W89" s="114" t="s">
        <v>340</v>
      </c>
      <c r="X89" s="114">
        <f>Y20</f>
        <v>0.64</v>
      </c>
      <c r="Y89" s="114" t="str">
        <f>X20</f>
        <v>g</v>
      </c>
      <c r="Z89" s="114">
        <v>1</v>
      </c>
      <c r="AA89" s="114">
        <f>X89*Z89</f>
        <v>0.64</v>
      </c>
      <c r="AB89" s="114">
        <v>0</v>
      </c>
      <c r="AC89" s="114">
        <f>Z89*AB89</f>
        <v>0</v>
      </c>
      <c r="AD89" s="114">
        <f>Z89-AC89</f>
        <v>1</v>
      </c>
      <c r="AE89" s="114">
        <f>AA89+((AC89*AA89)/Z89)</f>
        <v>0.64</v>
      </c>
    </row>
    <row r="90" spans="2:31" s="29" customFormat="1" x14ac:dyDescent="0.25">
      <c r="B90" s="30"/>
      <c r="C90" s="990"/>
      <c r="D90" s="990"/>
      <c r="E90" s="990"/>
      <c r="F90" s="991"/>
      <c r="G90" s="991"/>
      <c r="H90" s="991"/>
      <c r="I90" s="991"/>
      <c r="J90" s="991"/>
      <c r="K90" s="30"/>
      <c r="L90" s="30"/>
      <c r="M90" s="114"/>
      <c r="N90" s="114"/>
      <c r="O90" s="114"/>
      <c r="P90" s="114"/>
      <c r="Q90" s="114"/>
      <c r="R90" s="114"/>
      <c r="S90" s="114"/>
      <c r="T90" s="114"/>
      <c r="U90" s="114"/>
      <c r="W90" s="114" t="s">
        <v>356</v>
      </c>
      <c r="X90" s="114">
        <f>Y14</f>
        <v>131.80000000000001</v>
      </c>
      <c r="Y90" s="114" t="str">
        <f>X14</f>
        <v>g</v>
      </c>
      <c r="Z90" s="114">
        <v>3</v>
      </c>
      <c r="AA90" s="114">
        <f>X90*Z90</f>
        <v>395.40000000000003</v>
      </c>
      <c r="AB90" s="114">
        <v>0</v>
      </c>
      <c r="AC90" s="114">
        <f>Z90*AB90</f>
        <v>0</v>
      </c>
      <c r="AD90" s="114">
        <f>Z90-AC90</f>
        <v>3</v>
      </c>
      <c r="AE90" s="114">
        <f>AA90+((AC90*AA90)/Z90)</f>
        <v>395.40000000000003</v>
      </c>
    </row>
    <row r="91" spans="2:31" s="29" customFormat="1" x14ac:dyDescent="0.25">
      <c r="B91" s="30"/>
      <c r="C91" s="990" t="s">
        <v>4</v>
      </c>
      <c r="D91" s="990"/>
      <c r="E91" s="990"/>
      <c r="F91" s="991" t="s">
        <v>15</v>
      </c>
      <c r="G91" s="991"/>
      <c r="H91" s="991"/>
      <c r="I91" s="991"/>
      <c r="J91" s="991"/>
      <c r="K91" s="30"/>
      <c r="L91" s="30"/>
      <c r="M91" s="114"/>
      <c r="N91" s="114"/>
      <c r="O91" s="114"/>
      <c r="P91" s="114"/>
      <c r="Q91" s="114"/>
      <c r="R91" s="114"/>
      <c r="S91" s="114"/>
      <c r="T91" s="114"/>
      <c r="U91" s="114"/>
      <c r="W91" s="114" t="s">
        <v>337</v>
      </c>
      <c r="X91" s="114">
        <f>SUM(X86:X90)</f>
        <v>166.32000000000002</v>
      </c>
      <c r="Y91" s="114"/>
      <c r="Z91" s="114">
        <f>SUM(Z86:Z90)</f>
        <v>144</v>
      </c>
      <c r="AA91" s="114">
        <f>SUM(AA86:AA90)</f>
        <v>1320.04</v>
      </c>
      <c r="AB91" s="114"/>
      <c r="AC91" s="114"/>
      <c r="AD91" s="114"/>
      <c r="AE91" s="114">
        <f>SUM(AE86:AE90)</f>
        <v>1320.04</v>
      </c>
    </row>
    <row r="92" spans="2:31" s="29" customFormat="1" x14ac:dyDescent="0.25">
      <c r="B92" s="30"/>
      <c r="C92" s="990"/>
      <c r="D92" s="990"/>
      <c r="E92" s="990"/>
      <c r="F92" s="991"/>
      <c r="G92" s="991"/>
      <c r="H92" s="991"/>
      <c r="I92" s="991"/>
      <c r="J92" s="991"/>
      <c r="K92" s="30"/>
      <c r="L92" s="30"/>
      <c r="M92" s="114"/>
      <c r="N92" s="114"/>
      <c r="O92" s="114"/>
      <c r="P92" s="114"/>
      <c r="Q92" s="114"/>
      <c r="R92" s="114"/>
      <c r="S92" s="114"/>
      <c r="T92" s="114"/>
      <c r="U92" s="114"/>
      <c r="W92" s="29" t="s">
        <v>552</v>
      </c>
    </row>
    <row r="93" spans="2:31" s="29" customFormat="1" x14ac:dyDescent="0.25">
      <c r="B93" s="30"/>
      <c r="C93" s="990"/>
      <c r="D93" s="990"/>
      <c r="E93" s="990"/>
      <c r="F93" s="991"/>
      <c r="G93" s="991"/>
      <c r="H93" s="991"/>
      <c r="I93" s="991"/>
      <c r="J93" s="991"/>
      <c r="K93" s="30"/>
      <c r="L93" s="30"/>
      <c r="M93" s="114" t="s">
        <v>337</v>
      </c>
      <c r="N93" s="114">
        <f>SUM(N85:N92)</f>
        <v>3467.7523984875515</v>
      </c>
      <c r="O93" s="114"/>
      <c r="P93" s="114">
        <f>SUM(P85:P92)</f>
        <v>308</v>
      </c>
      <c r="Q93" s="114">
        <f>SUM(Q85:Q92)</f>
        <v>6742.3923984875519</v>
      </c>
      <c r="R93" s="114"/>
      <c r="S93" s="114"/>
      <c r="T93" s="114"/>
      <c r="U93" s="114">
        <f>SUM(U85:U92)</f>
        <v>8293.652398487553</v>
      </c>
      <c r="AA93" s="114" t="s">
        <v>1681</v>
      </c>
      <c r="AB93" s="114">
        <f>AE91</f>
        <v>1320.04</v>
      </c>
      <c r="AC93" s="608" t="s">
        <v>2142</v>
      </c>
      <c r="AD93" s="608">
        <f>(AB93*100)/AB100</f>
        <v>22.714130423188919</v>
      </c>
    </row>
    <row r="94" spans="2:31" s="29" customFormat="1" x14ac:dyDescent="0.25">
      <c r="B94" s="30"/>
      <c r="C94" s="990" t="s">
        <v>5</v>
      </c>
      <c r="D94" s="990"/>
      <c r="E94" s="990"/>
      <c r="F94" s="992" t="s">
        <v>13</v>
      </c>
      <c r="G94" s="991"/>
      <c r="H94" s="991"/>
      <c r="I94" s="991"/>
      <c r="J94" s="991"/>
      <c r="K94" s="30"/>
      <c r="L94" s="30"/>
      <c r="M94" s="30"/>
      <c r="N94" s="30"/>
      <c r="O94" s="30"/>
      <c r="P94" s="30"/>
      <c r="Q94" s="30"/>
      <c r="AA94" s="114" t="s">
        <v>2326</v>
      </c>
      <c r="AB94" s="114">
        <f>$AO$26/2</f>
        <v>476.87414947063905</v>
      </c>
    </row>
    <row r="95" spans="2:31" s="29" customFormat="1" x14ac:dyDescent="0.25">
      <c r="C95" s="990"/>
      <c r="D95" s="990"/>
      <c r="E95" s="990"/>
      <c r="F95" s="991"/>
      <c r="G95" s="991"/>
      <c r="H95" s="991"/>
      <c r="I95" s="991"/>
      <c r="J95" s="991"/>
      <c r="Q95" s="114" t="s">
        <v>1681</v>
      </c>
      <c r="R95" s="114">
        <f>U93</f>
        <v>8293.652398487553</v>
      </c>
      <c r="S95" s="608" t="s">
        <v>2142</v>
      </c>
      <c r="T95" s="608">
        <f>(R95*100)/R102</f>
        <v>46.868434302400374</v>
      </c>
      <c r="AA95" s="114" t="s">
        <v>2325</v>
      </c>
      <c r="AB95" s="114">
        <f>$AO$27/4</f>
        <v>18.899999999999999</v>
      </c>
    </row>
    <row r="96" spans="2:31" s="29" customFormat="1" x14ac:dyDescent="0.25">
      <c r="C96" s="990"/>
      <c r="D96" s="990"/>
      <c r="E96" s="990"/>
      <c r="F96" s="991"/>
      <c r="G96" s="991"/>
      <c r="H96" s="991"/>
      <c r="I96" s="991"/>
      <c r="J96" s="991"/>
      <c r="Q96" s="114" t="s">
        <v>2326</v>
      </c>
      <c r="R96" s="114">
        <f>$AL$26</f>
        <v>1801.715474357886</v>
      </c>
      <c r="AA96" s="114" t="s">
        <v>1684</v>
      </c>
      <c r="AB96" s="114">
        <f>$AO$29</f>
        <v>1547.3435977313275</v>
      </c>
    </row>
    <row r="97" spans="3:31" s="29" customFormat="1" x14ac:dyDescent="0.25">
      <c r="C97" s="990" t="s">
        <v>6</v>
      </c>
      <c r="D97" s="990"/>
      <c r="E97" s="990"/>
      <c r="F97" s="991" t="s">
        <v>9</v>
      </c>
      <c r="G97" s="991"/>
      <c r="H97" s="991"/>
      <c r="I97" s="991"/>
      <c r="J97" s="991"/>
      <c r="Q97" s="114" t="s">
        <v>2325</v>
      </c>
      <c r="R97" s="114">
        <f>$AL$27</f>
        <v>75.599999999999994</v>
      </c>
      <c r="AA97" s="114" t="s">
        <v>1685</v>
      </c>
      <c r="AB97" s="114">
        <v>0.6</v>
      </c>
    </row>
    <row r="98" spans="3:31" s="29" customFormat="1" x14ac:dyDescent="0.25">
      <c r="C98" s="990"/>
      <c r="D98" s="990"/>
      <c r="E98" s="990"/>
      <c r="F98" s="991"/>
      <c r="G98" s="991"/>
      <c r="H98" s="991"/>
      <c r="I98" s="991"/>
      <c r="J98" s="991"/>
      <c r="Q98" s="114" t="s">
        <v>1684</v>
      </c>
      <c r="R98" s="114">
        <f>$AL$29</f>
        <v>69.543532482306858</v>
      </c>
      <c r="AA98" s="114" t="s">
        <v>1708</v>
      </c>
      <c r="AB98" s="114">
        <f>(SUM(AB93:AB96)*AB97)+SUM(AB93:AB96)</f>
        <v>5381.0523955231465</v>
      </c>
    </row>
    <row r="99" spans="3:31" s="29" customFormat="1" x14ac:dyDescent="0.25">
      <c r="C99" s="990"/>
      <c r="D99" s="990"/>
      <c r="E99" s="990"/>
      <c r="F99" s="991"/>
      <c r="G99" s="991"/>
      <c r="H99" s="991"/>
      <c r="I99" s="991"/>
      <c r="J99" s="991"/>
      <c r="Q99" s="114" t="s">
        <v>1685</v>
      </c>
      <c r="R99" s="114">
        <v>0.6</v>
      </c>
      <c r="AA99" s="114" t="s">
        <v>2130</v>
      </c>
      <c r="AB99" s="114">
        <f>AB98*0.08</f>
        <v>430.48419164185174</v>
      </c>
    </row>
    <row r="100" spans="3:31" s="29" customFormat="1" x14ac:dyDescent="0.25">
      <c r="C100" s="990" t="s">
        <v>7</v>
      </c>
      <c r="D100" s="990"/>
      <c r="E100" s="990"/>
      <c r="F100" s="992" t="s">
        <v>553</v>
      </c>
      <c r="G100" s="991"/>
      <c r="H100" s="991"/>
      <c r="I100" s="991"/>
      <c r="J100" s="991"/>
      <c r="Q100" s="114" t="s">
        <v>1708</v>
      </c>
      <c r="R100" s="114">
        <f>(SUM(R95:R98)*R99)+SUM(R95:R98)</f>
        <v>16384.818248524396</v>
      </c>
      <c r="AA100" s="114" t="s">
        <v>1686</v>
      </c>
      <c r="AB100" s="114">
        <f>SUM(AB98+AB99)</f>
        <v>5811.5365871649983</v>
      </c>
    </row>
    <row r="101" spans="3:31" s="29" customFormat="1" x14ac:dyDescent="0.25">
      <c r="C101" s="990"/>
      <c r="D101" s="990"/>
      <c r="E101" s="990"/>
      <c r="F101" s="991"/>
      <c r="G101" s="991"/>
      <c r="H101" s="991"/>
      <c r="I101" s="991"/>
      <c r="J101" s="991"/>
      <c r="Q101" s="114" t="s">
        <v>2130</v>
      </c>
      <c r="R101" s="114">
        <f>R100*0.08</f>
        <v>1310.7854598819517</v>
      </c>
    </row>
    <row r="102" spans="3:31" s="29" customFormat="1" x14ac:dyDescent="0.25">
      <c r="C102" s="990"/>
      <c r="D102" s="990"/>
      <c r="E102" s="990"/>
      <c r="F102" s="991"/>
      <c r="G102" s="991"/>
      <c r="H102" s="991"/>
      <c r="I102" s="991"/>
      <c r="J102" s="991"/>
      <c r="Q102" s="114" t="s">
        <v>1686</v>
      </c>
      <c r="R102" s="114">
        <f>SUM(R100+R101)</f>
        <v>17695.603708406346</v>
      </c>
    </row>
    <row r="103" spans="3:31" s="29" customFormat="1" x14ac:dyDescent="0.25"/>
    <row r="104" spans="3:31" s="29" customFormat="1" x14ac:dyDescent="0.25"/>
    <row r="105" spans="3:31" s="29" customFormat="1" x14ac:dyDescent="0.25">
      <c r="C105" s="993" t="s">
        <v>8</v>
      </c>
      <c r="D105" s="993"/>
      <c r="E105" s="993"/>
      <c r="F105" s="993"/>
      <c r="G105" s="993"/>
      <c r="H105" s="993"/>
      <c r="I105" s="993"/>
      <c r="J105" s="993"/>
    </row>
    <row r="106" spans="3:31" s="29" customFormat="1" x14ac:dyDescent="0.25">
      <c r="C106" s="989" t="s">
        <v>0</v>
      </c>
      <c r="D106" s="989"/>
      <c r="E106" s="989"/>
      <c r="F106" s="989" t="s">
        <v>1</v>
      </c>
      <c r="G106" s="989"/>
      <c r="H106" s="989"/>
      <c r="I106" s="989"/>
      <c r="J106" s="989"/>
    </row>
    <row r="107" spans="3:31" s="29" customFormat="1" x14ac:dyDescent="0.25">
      <c r="C107" s="990" t="s">
        <v>2</v>
      </c>
      <c r="D107" s="990"/>
      <c r="E107" s="990"/>
      <c r="F107" s="991" t="s">
        <v>14</v>
      </c>
      <c r="G107" s="991"/>
      <c r="H107" s="991"/>
      <c r="I107" s="991"/>
      <c r="J107" s="991"/>
      <c r="M107" s="113" t="s">
        <v>336</v>
      </c>
      <c r="N107" s="113" t="s">
        <v>174</v>
      </c>
      <c r="O107" s="113" t="s">
        <v>248</v>
      </c>
      <c r="P107" s="113" t="s">
        <v>176</v>
      </c>
      <c r="Q107" s="113" t="s">
        <v>337</v>
      </c>
      <c r="R107" s="113" t="s">
        <v>1641</v>
      </c>
      <c r="S107" s="113" t="s">
        <v>1642</v>
      </c>
      <c r="T107" s="113" t="s">
        <v>1643</v>
      </c>
      <c r="U107" s="113" t="s">
        <v>1644</v>
      </c>
      <c r="W107" s="994" t="s">
        <v>1458</v>
      </c>
      <c r="X107" s="994"/>
      <c r="Y107" s="994"/>
      <c r="Z107" s="994"/>
      <c r="AA107" s="994"/>
      <c r="AB107" s="994"/>
      <c r="AC107" s="994"/>
      <c r="AD107" s="994"/>
      <c r="AE107" s="994"/>
    </row>
    <row r="108" spans="3:31" s="29" customFormat="1" x14ac:dyDescent="0.25">
      <c r="C108" s="990"/>
      <c r="D108" s="990"/>
      <c r="E108" s="990"/>
      <c r="F108" s="991"/>
      <c r="G108" s="991"/>
      <c r="H108" s="991"/>
      <c r="I108" s="991"/>
      <c r="J108" s="991"/>
      <c r="M108" s="114" t="s">
        <v>344</v>
      </c>
      <c r="N108" s="114">
        <f>E23</f>
        <v>2099.0723984875517</v>
      </c>
      <c r="O108" s="114" t="str">
        <f>D23</f>
        <v>g</v>
      </c>
      <c r="P108" s="114">
        <v>100</v>
      </c>
      <c r="Q108" s="114">
        <f>N108</f>
        <v>2099.0723984875517</v>
      </c>
      <c r="R108" s="114">
        <v>0</v>
      </c>
      <c r="S108" s="114">
        <f t="shared" ref="S108:S113" si="13">P108*R108</f>
        <v>0</v>
      </c>
      <c r="T108" s="114">
        <f t="shared" ref="T108:T113" si="14">P108-S108</f>
        <v>100</v>
      </c>
      <c r="U108" s="114">
        <f t="shared" ref="U108:U113" si="15">Q108+((S108*Q108)/P108)</f>
        <v>2099.0723984875517</v>
      </c>
      <c r="W108" s="113" t="s">
        <v>336</v>
      </c>
      <c r="X108" s="113" t="s">
        <v>174</v>
      </c>
      <c r="Y108" s="113" t="s">
        <v>248</v>
      </c>
      <c r="Z108" s="113" t="s">
        <v>176</v>
      </c>
      <c r="AA108" s="113" t="s">
        <v>337</v>
      </c>
      <c r="AB108" s="113" t="s">
        <v>1641</v>
      </c>
      <c r="AC108" s="113" t="s">
        <v>1642</v>
      </c>
      <c r="AD108" s="113" t="s">
        <v>1643</v>
      </c>
      <c r="AE108" s="113" t="s">
        <v>1644</v>
      </c>
    </row>
    <row r="109" spans="3:31" s="29" customFormat="1" x14ac:dyDescent="0.25">
      <c r="C109" s="990"/>
      <c r="D109" s="990"/>
      <c r="E109" s="990"/>
      <c r="F109" s="991"/>
      <c r="G109" s="991"/>
      <c r="H109" s="991"/>
      <c r="I109" s="991"/>
      <c r="J109" s="991"/>
      <c r="M109" s="114" t="s">
        <v>340</v>
      </c>
      <c r="N109" s="114">
        <f>Y20</f>
        <v>0.64</v>
      </c>
      <c r="O109" s="114" t="str">
        <f>X20</f>
        <v>g</v>
      </c>
      <c r="P109" s="114">
        <v>2</v>
      </c>
      <c r="Q109" s="114">
        <f>N109*P109</f>
        <v>1.28</v>
      </c>
      <c r="R109" s="114">
        <v>0</v>
      </c>
      <c r="S109" s="114">
        <f t="shared" si="13"/>
        <v>0</v>
      </c>
      <c r="T109" s="114">
        <f t="shared" si="14"/>
        <v>2</v>
      </c>
      <c r="U109" s="114">
        <f t="shared" si="15"/>
        <v>1.28</v>
      </c>
      <c r="W109" s="114" t="s">
        <v>429</v>
      </c>
      <c r="X109" s="114">
        <f>P29</f>
        <v>1.8</v>
      </c>
      <c r="Y109" s="114" t="str">
        <f>O29</f>
        <v>g</v>
      </c>
      <c r="Z109" s="114">
        <v>60</v>
      </c>
      <c r="AA109" s="114">
        <f t="shared" ref="AA109:AA115" si="16">X109*Z109</f>
        <v>108</v>
      </c>
      <c r="AB109" s="114">
        <f>AJ18</f>
        <v>0.05</v>
      </c>
      <c r="AC109" s="114">
        <f>Z109*AB109</f>
        <v>3</v>
      </c>
      <c r="AD109" s="114">
        <f>Z109-AC109</f>
        <v>57</v>
      </c>
      <c r="AE109" s="114">
        <f>AA109+((AC109*AA109)/Z109)</f>
        <v>113.4</v>
      </c>
    </row>
    <row r="110" spans="3:31" s="29" customFormat="1" x14ac:dyDescent="0.25">
      <c r="C110" s="989" t="s">
        <v>0</v>
      </c>
      <c r="D110" s="989"/>
      <c r="E110" s="989"/>
      <c r="F110" s="989" t="s">
        <v>1</v>
      </c>
      <c r="G110" s="989"/>
      <c r="H110" s="989"/>
      <c r="I110" s="989"/>
      <c r="J110" s="989"/>
      <c r="M110" s="114" t="s">
        <v>346</v>
      </c>
      <c r="N110" s="114">
        <f>P3</f>
        <v>7</v>
      </c>
      <c r="O110" s="114" t="str">
        <f>O3</f>
        <v>g</v>
      </c>
      <c r="P110" s="114">
        <v>6</v>
      </c>
      <c r="Q110" s="114">
        <f>N110*P110</f>
        <v>42</v>
      </c>
      <c r="R110" s="114">
        <f>AJ2</f>
        <v>0.23</v>
      </c>
      <c r="S110" s="114">
        <f t="shared" si="13"/>
        <v>1.3800000000000001</v>
      </c>
      <c r="T110" s="114">
        <f t="shared" si="14"/>
        <v>4.62</v>
      </c>
      <c r="U110" s="114">
        <f t="shared" si="15"/>
        <v>51.660000000000004</v>
      </c>
      <c r="W110" s="114" t="s">
        <v>430</v>
      </c>
      <c r="X110" s="114">
        <f>P10</f>
        <v>0.7</v>
      </c>
      <c r="Y110" s="114" t="str">
        <f>O10</f>
        <v>g</v>
      </c>
      <c r="Z110" s="114">
        <v>30</v>
      </c>
      <c r="AA110" s="114">
        <f t="shared" si="16"/>
        <v>21</v>
      </c>
      <c r="AB110" s="114">
        <f>AJ7</f>
        <v>0.15</v>
      </c>
      <c r="AC110" s="114">
        <f t="shared" ref="AC110:AC115" si="17">Z110*AB110</f>
        <v>4.5</v>
      </c>
      <c r="AD110" s="114">
        <f t="shared" ref="AD110:AD115" si="18">Z110-AC110</f>
        <v>25.5</v>
      </c>
      <c r="AE110" s="114">
        <f t="shared" ref="AE110:AE115" si="19">AA110+((AC110*AA110)/Z110)</f>
        <v>24.15</v>
      </c>
    </row>
    <row r="111" spans="3:31" s="29" customFormat="1" x14ac:dyDescent="0.25">
      <c r="C111" s="990" t="s">
        <v>3</v>
      </c>
      <c r="D111" s="990"/>
      <c r="E111" s="990"/>
      <c r="F111" s="992" t="s">
        <v>24</v>
      </c>
      <c r="G111" s="991"/>
      <c r="H111" s="991"/>
      <c r="I111" s="991"/>
      <c r="J111" s="991"/>
      <c r="M111" s="114" t="s">
        <v>427</v>
      </c>
      <c r="N111" s="114">
        <f>S8</f>
        <v>59</v>
      </c>
      <c r="O111" s="114" t="str">
        <f>R8</f>
        <v>g</v>
      </c>
      <c r="P111" s="114">
        <v>80</v>
      </c>
      <c r="Q111" s="114">
        <f>N111*P111</f>
        <v>4720</v>
      </c>
      <c r="R111" s="114">
        <f>AN4</f>
        <v>0.41</v>
      </c>
      <c r="S111" s="114">
        <f t="shared" si="13"/>
        <v>32.799999999999997</v>
      </c>
      <c r="T111" s="114">
        <f t="shared" si="14"/>
        <v>47.2</v>
      </c>
      <c r="U111" s="114">
        <f t="shared" si="15"/>
        <v>6655.2</v>
      </c>
      <c r="W111" s="114" t="s">
        <v>431</v>
      </c>
      <c r="X111" s="114">
        <f>P19</f>
        <v>10.28</v>
      </c>
      <c r="Y111" s="114" t="str">
        <f>O19</f>
        <v>g</v>
      </c>
      <c r="Z111" s="114">
        <v>4</v>
      </c>
      <c r="AA111" s="114">
        <f t="shared" si="16"/>
        <v>41.12</v>
      </c>
      <c r="AB111" s="114">
        <f>AJ15</f>
        <v>0.26</v>
      </c>
      <c r="AC111" s="114">
        <f t="shared" si="17"/>
        <v>1.04</v>
      </c>
      <c r="AD111" s="114">
        <f t="shared" si="18"/>
        <v>2.96</v>
      </c>
      <c r="AE111" s="114">
        <f t="shared" si="19"/>
        <v>51.811199999999999</v>
      </c>
    </row>
    <row r="112" spans="3:31" s="29" customFormat="1" x14ac:dyDescent="0.25">
      <c r="C112" s="990"/>
      <c r="D112" s="990"/>
      <c r="E112" s="990"/>
      <c r="F112" s="991"/>
      <c r="G112" s="991"/>
      <c r="H112" s="991"/>
      <c r="I112" s="991"/>
      <c r="J112" s="991"/>
      <c r="M112" s="114" t="s">
        <v>428</v>
      </c>
      <c r="N112" s="114">
        <f>AE116</f>
        <v>6728.0612000000001</v>
      </c>
      <c r="O112" s="114" t="s">
        <v>1388</v>
      </c>
      <c r="P112" s="114">
        <v>120</v>
      </c>
      <c r="Q112" s="114">
        <f>N112</f>
        <v>6728.0612000000001</v>
      </c>
      <c r="R112" s="114">
        <v>0</v>
      </c>
      <c r="S112" s="114">
        <f t="shared" si="13"/>
        <v>0</v>
      </c>
      <c r="T112" s="114">
        <f t="shared" si="14"/>
        <v>120</v>
      </c>
      <c r="U112" s="114">
        <f t="shared" si="15"/>
        <v>6728.0612000000001</v>
      </c>
      <c r="W112" s="114" t="s">
        <v>432</v>
      </c>
      <c r="X112" s="114">
        <f>S8</f>
        <v>59</v>
      </c>
      <c r="Y112" s="114" t="str">
        <f>R8</f>
        <v>g</v>
      </c>
      <c r="Z112" s="114">
        <v>40</v>
      </c>
      <c r="AA112" s="114">
        <f t="shared" si="16"/>
        <v>2360</v>
      </c>
      <c r="AB112" s="114">
        <f>AN4</f>
        <v>0.41</v>
      </c>
      <c r="AC112" s="114">
        <f t="shared" si="17"/>
        <v>16.399999999999999</v>
      </c>
      <c r="AD112" s="114">
        <f t="shared" si="18"/>
        <v>23.6</v>
      </c>
      <c r="AE112" s="114">
        <f t="shared" si="19"/>
        <v>3327.6</v>
      </c>
    </row>
    <row r="113" spans="3:31" s="29" customFormat="1" x14ac:dyDescent="0.25">
      <c r="C113" s="990"/>
      <c r="D113" s="990"/>
      <c r="E113" s="990"/>
      <c r="F113" s="991"/>
      <c r="G113" s="991"/>
      <c r="H113" s="991"/>
      <c r="I113" s="991"/>
      <c r="J113" s="991"/>
      <c r="M113" s="114" t="s">
        <v>547</v>
      </c>
      <c r="N113" s="114">
        <f>V13</f>
        <v>81.900000000000006</v>
      </c>
      <c r="O113" s="114" t="str">
        <f>U13</f>
        <v>g</v>
      </c>
      <c r="P113" s="114">
        <v>30</v>
      </c>
      <c r="Q113" s="114">
        <f>N113*P113</f>
        <v>2457</v>
      </c>
      <c r="R113" s="114">
        <v>0</v>
      </c>
      <c r="S113" s="114">
        <f t="shared" si="13"/>
        <v>0</v>
      </c>
      <c r="T113" s="114">
        <f t="shared" si="14"/>
        <v>30</v>
      </c>
      <c r="U113" s="114">
        <f t="shared" si="15"/>
        <v>2457</v>
      </c>
      <c r="W113" s="114" t="s">
        <v>546</v>
      </c>
      <c r="X113" s="114">
        <f>AE3</f>
        <v>49.18</v>
      </c>
      <c r="Y113" s="114" t="str">
        <f>AD3</f>
        <v>mL</v>
      </c>
      <c r="Z113" s="114">
        <v>5</v>
      </c>
      <c r="AA113" s="114">
        <f t="shared" si="16"/>
        <v>245.9</v>
      </c>
      <c r="AB113" s="114">
        <v>0</v>
      </c>
      <c r="AC113" s="114">
        <f t="shared" si="17"/>
        <v>0</v>
      </c>
      <c r="AD113" s="114">
        <f t="shared" si="18"/>
        <v>5</v>
      </c>
      <c r="AE113" s="114">
        <f t="shared" si="19"/>
        <v>245.9</v>
      </c>
    </row>
    <row r="114" spans="3:31" s="29" customFormat="1" x14ac:dyDescent="0.25">
      <c r="C114" s="990" t="s">
        <v>4</v>
      </c>
      <c r="D114" s="990"/>
      <c r="E114" s="990"/>
      <c r="F114" s="991" t="s">
        <v>15</v>
      </c>
      <c r="G114" s="991"/>
      <c r="H114" s="991"/>
      <c r="I114" s="991"/>
      <c r="J114" s="991"/>
      <c r="M114" s="114"/>
      <c r="N114" s="114"/>
      <c r="O114" s="114"/>
      <c r="P114" s="114"/>
      <c r="Q114" s="114"/>
      <c r="R114" s="114"/>
      <c r="S114" s="114"/>
      <c r="T114" s="114"/>
      <c r="U114" s="114"/>
      <c r="W114" s="114" t="s">
        <v>433</v>
      </c>
      <c r="X114" s="114">
        <f>Y18</f>
        <v>223.57</v>
      </c>
      <c r="Y114" s="114" t="str">
        <f>X18</f>
        <v>g</v>
      </c>
      <c r="Z114" s="114">
        <v>10</v>
      </c>
      <c r="AA114" s="114">
        <f t="shared" si="16"/>
        <v>2235.6999999999998</v>
      </c>
      <c r="AB114" s="114">
        <v>0</v>
      </c>
      <c r="AC114" s="114">
        <f t="shared" si="17"/>
        <v>0</v>
      </c>
      <c r="AD114" s="114">
        <f t="shared" si="18"/>
        <v>10</v>
      </c>
      <c r="AE114" s="114">
        <f t="shared" si="19"/>
        <v>2235.6999999999998</v>
      </c>
    </row>
    <row r="115" spans="3:31" s="29" customFormat="1" x14ac:dyDescent="0.25">
      <c r="C115" s="990"/>
      <c r="D115" s="990"/>
      <c r="E115" s="990"/>
      <c r="F115" s="991"/>
      <c r="G115" s="991"/>
      <c r="H115" s="991"/>
      <c r="I115" s="991"/>
      <c r="J115" s="991"/>
      <c r="M115" s="114"/>
      <c r="N115" s="114"/>
      <c r="O115" s="114"/>
      <c r="P115" s="114"/>
      <c r="Q115" s="114"/>
      <c r="R115" s="114"/>
      <c r="S115" s="114"/>
      <c r="T115" s="114"/>
      <c r="U115" s="114"/>
      <c r="W115" s="114" t="s">
        <v>438</v>
      </c>
      <c r="X115" s="114">
        <f>S14</f>
        <v>72.95</v>
      </c>
      <c r="Y115" s="114" t="str">
        <f>R14</f>
        <v>g</v>
      </c>
      <c r="Z115" s="114">
        <v>10</v>
      </c>
      <c r="AA115" s="114">
        <f t="shared" si="16"/>
        <v>729.5</v>
      </c>
      <c r="AB115" s="114">
        <v>0</v>
      </c>
      <c r="AC115" s="114">
        <f t="shared" si="17"/>
        <v>0</v>
      </c>
      <c r="AD115" s="114">
        <f t="shared" si="18"/>
        <v>10</v>
      </c>
      <c r="AE115" s="114">
        <f t="shared" si="19"/>
        <v>729.5</v>
      </c>
    </row>
    <row r="116" spans="3:31" s="29" customFormat="1" x14ac:dyDescent="0.25">
      <c r="C116" s="990"/>
      <c r="D116" s="990"/>
      <c r="E116" s="990"/>
      <c r="F116" s="991"/>
      <c r="G116" s="991"/>
      <c r="H116" s="991"/>
      <c r="I116" s="991"/>
      <c r="J116" s="991"/>
      <c r="M116" s="114" t="s">
        <v>337</v>
      </c>
      <c r="N116" s="114">
        <f>SUM(N108:N115)</f>
        <v>8975.6735984875504</v>
      </c>
      <c r="O116" s="114"/>
      <c r="P116" s="114">
        <f>SUM(P108:P115)</f>
        <v>338</v>
      </c>
      <c r="Q116" s="114">
        <f>SUM(Q108:Q115)</f>
        <v>16047.413598487552</v>
      </c>
      <c r="R116" s="114"/>
      <c r="S116" s="114"/>
      <c r="T116" s="114"/>
      <c r="U116" s="114">
        <f>SUM(U108:U115)</f>
        <v>17992.273598487551</v>
      </c>
      <c r="W116" s="114" t="s">
        <v>337</v>
      </c>
      <c r="X116" s="114">
        <f>SUM(X109:X115)</f>
        <v>417.47999999999996</v>
      </c>
      <c r="Y116" s="114"/>
      <c r="Z116" s="114">
        <f>SUM(Z109:Z115)</f>
        <v>159</v>
      </c>
      <c r="AA116" s="114">
        <f>SUM(AA109:AA115)</f>
        <v>5741.2199999999993</v>
      </c>
      <c r="AB116" s="114"/>
      <c r="AC116" s="114"/>
      <c r="AD116" s="114"/>
      <c r="AE116" s="114">
        <f>SUM(AE109:AE115)</f>
        <v>6728.0612000000001</v>
      </c>
    </row>
    <row r="117" spans="3:31" s="29" customFormat="1" x14ac:dyDescent="0.25">
      <c r="C117" s="990" t="s">
        <v>5</v>
      </c>
      <c r="D117" s="990"/>
      <c r="E117" s="990"/>
      <c r="F117" s="992" t="s">
        <v>16</v>
      </c>
      <c r="G117" s="991"/>
      <c r="H117" s="991"/>
      <c r="I117" s="991"/>
      <c r="J117" s="991"/>
      <c r="W117" s="29" t="s">
        <v>763</v>
      </c>
    </row>
    <row r="118" spans="3:31" s="29" customFormat="1" x14ac:dyDescent="0.25">
      <c r="C118" s="990"/>
      <c r="D118" s="990"/>
      <c r="E118" s="990"/>
      <c r="F118" s="991"/>
      <c r="G118" s="991"/>
      <c r="H118" s="991"/>
      <c r="I118" s="991"/>
      <c r="J118" s="991"/>
      <c r="Q118" s="114" t="s">
        <v>1681</v>
      </c>
      <c r="R118" s="114">
        <f>U116</f>
        <v>17992.273598487551</v>
      </c>
      <c r="S118" s="608" t="s">
        <v>2142</v>
      </c>
      <c r="T118" s="608">
        <f>(R118*100)/R125</f>
        <v>52.219901314628736</v>
      </c>
      <c r="AA118" s="114" t="s">
        <v>1681</v>
      </c>
      <c r="AB118" s="114">
        <f>AE116</f>
        <v>6728.0612000000001</v>
      </c>
      <c r="AC118" s="608" t="s">
        <v>2142</v>
      </c>
      <c r="AD118" s="608">
        <f>(AB118*100)/AB125</f>
        <v>44.39031467288946</v>
      </c>
    </row>
    <row r="119" spans="3:31" s="29" customFormat="1" x14ac:dyDescent="0.25">
      <c r="C119" s="990"/>
      <c r="D119" s="990"/>
      <c r="E119" s="990"/>
      <c r="F119" s="991"/>
      <c r="G119" s="991"/>
      <c r="H119" s="991"/>
      <c r="I119" s="991"/>
      <c r="J119" s="991"/>
      <c r="Q119" s="114" t="s">
        <v>2326</v>
      </c>
      <c r="R119" s="114">
        <f>$AL$26</f>
        <v>1801.715474357886</v>
      </c>
      <c r="AA119" s="114" t="s">
        <v>2326</v>
      </c>
      <c r="AB119" s="114">
        <f>$AO$26/2</f>
        <v>476.87414947063905</v>
      </c>
    </row>
    <row r="120" spans="3:31" s="29" customFormat="1" x14ac:dyDescent="0.25">
      <c r="C120" s="990" t="s">
        <v>6</v>
      </c>
      <c r="D120" s="990"/>
      <c r="E120" s="990"/>
      <c r="F120" s="991" t="s">
        <v>9</v>
      </c>
      <c r="G120" s="991"/>
      <c r="H120" s="991"/>
      <c r="I120" s="991"/>
      <c r="J120" s="991"/>
      <c r="Q120" s="114" t="s">
        <v>2325</v>
      </c>
      <c r="R120" s="114">
        <f>$AL$27</f>
        <v>75.599999999999994</v>
      </c>
      <c r="AA120" s="114" t="s">
        <v>2325</v>
      </c>
      <c r="AB120" s="114">
        <f>$AO$27/4</f>
        <v>18.899999999999999</v>
      </c>
    </row>
    <row r="121" spans="3:31" s="29" customFormat="1" x14ac:dyDescent="0.25">
      <c r="C121" s="990"/>
      <c r="D121" s="990"/>
      <c r="E121" s="990"/>
      <c r="F121" s="991"/>
      <c r="G121" s="991"/>
      <c r="H121" s="991"/>
      <c r="I121" s="991"/>
      <c r="J121" s="991"/>
      <c r="Q121" s="114" t="s">
        <v>1684</v>
      </c>
      <c r="R121" s="114">
        <f>$AL$29</f>
        <v>69.543532482306858</v>
      </c>
      <c r="AA121" s="114" t="s">
        <v>1684</v>
      </c>
      <c r="AB121" s="114">
        <f>$AO$29</f>
        <v>1547.3435977313275</v>
      </c>
    </row>
    <row r="122" spans="3:31" s="29" customFormat="1" x14ac:dyDescent="0.25">
      <c r="C122" s="990"/>
      <c r="D122" s="990"/>
      <c r="E122" s="990"/>
      <c r="F122" s="991"/>
      <c r="G122" s="991"/>
      <c r="H122" s="991"/>
      <c r="I122" s="991"/>
      <c r="J122" s="991"/>
      <c r="Q122" s="114" t="s">
        <v>1685</v>
      </c>
      <c r="R122" s="114">
        <v>0.6</v>
      </c>
      <c r="AA122" s="114" t="s">
        <v>1685</v>
      </c>
      <c r="AB122" s="114">
        <v>0.6</v>
      </c>
    </row>
    <row r="123" spans="3:31" s="29" customFormat="1" x14ac:dyDescent="0.25">
      <c r="C123" s="990" t="s">
        <v>7</v>
      </c>
      <c r="D123" s="990"/>
      <c r="E123" s="990"/>
      <c r="F123" s="992" t="s">
        <v>554</v>
      </c>
      <c r="G123" s="991"/>
      <c r="H123" s="991"/>
      <c r="I123" s="991"/>
      <c r="J123" s="991"/>
      <c r="Q123" s="114" t="s">
        <v>1708</v>
      </c>
      <c r="R123" s="114">
        <f>(SUM(R118:R121)*R122)+SUM(R118:R121)</f>
        <v>31902.612168524392</v>
      </c>
      <c r="AA123" s="114" t="s">
        <v>1708</v>
      </c>
      <c r="AB123" s="114">
        <f>(SUM(AB118:AB121)*AB122)+SUM(AB118:AB121)</f>
        <v>14033.886315523145</v>
      </c>
    </row>
    <row r="124" spans="3:31" s="29" customFormat="1" x14ac:dyDescent="0.25">
      <c r="C124" s="990"/>
      <c r="D124" s="990"/>
      <c r="E124" s="990"/>
      <c r="F124" s="991"/>
      <c r="G124" s="991"/>
      <c r="H124" s="991"/>
      <c r="I124" s="991"/>
      <c r="J124" s="991"/>
      <c r="Q124" s="114" t="s">
        <v>2130</v>
      </c>
      <c r="R124" s="114">
        <f>R123*0.08</f>
        <v>2552.2089734819515</v>
      </c>
      <c r="AA124" s="114" t="s">
        <v>2130</v>
      </c>
      <c r="AB124" s="114">
        <f>AB123*0.08</f>
        <v>1122.7109052418516</v>
      </c>
    </row>
    <row r="125" spans="3:31" s="29" customFormat="1" x14ac:dyDescent="0.25">
      <c r="C125" s="990"/>
      <c r="D125" s="990"/>
      <c r="E125" s="990"/>
      <c r="F125" s="991"/>
      <c r="G125" s="991"/>
      <c r="H125" s="991"/>
      <c r="I125" s="991"/>
      <c r="J125" s="991"/>
      <c r="Q125" s="114" t="s">
        <v>1686</v>
      </c>
      <c r="R125" s="114">
        <f>SUM(R123+R124)</f>
        <v>34454.821142006345</v>
      </c>
      <c r="AA125" s="114" t="s">
        <v>1686</v>
      </c>
      <c r="AB125" s="114">
        <f>SUM(AB123+AB124)</f>
        <v>15156.597220764996</v>
      </c>
    </row>
    <row r="126" spans="3:31" s="29" customFormat="1" x14ac:dyDescent="0.25"/>
    <row r="127" spans="3:31" s="29" customFormat="1" x14ac:dyDescent="0.25"/>
    <row r="128" spans="3:31" s="29" customFormat="1" x14ac:dyDescent="0.25">
      <c r="C128" s="993" t="s">
        <v>8</v>
      </c>
      <c r="D128" s="993"/>
      <c r="E128" s="993"/>
      <c r="F128" s="993"/>
      <c r="G128" s="993"/>
      <c r="H128" s="993"/>
      <c r="I128" s="993"/>
      <c r="J128" s="993"/>
    </row>
    <row r="129" spans="3:31" s="29" customFormat="1" x14ac:dyDescent="0.25">
      <c r="C129" s="989" t="s">
        <v>0</v>
      </c>
      <c r="D129" s="989"/>
      <c r="E129" s="989"/>
      <c r="F129" s="989" t="s">
        <v>1</v>
      </c>
      <c r="G129" s="989"/>
      <c r="H129" s="989"/>
      <c r="I129" s="989"/>
      <c r="J129" s="989"/>
    </row>
    <row r="130" spans="3:31" s="29" customFormat="1" x14ac:dyDescent="0.25">
      <c r="C130" s="990" t="s">
        <v>2</v>
      </c>
      <c r="D130" s="990"/>
      <c r="E130" s="990"/>
      <c r="F130" s="991" t="s">
        <v>20</v>
      </c>
      <c r="G130" s="991"/>
      <c r="H130" s="991"/>
      <c r="I130" s="991"/>
      <c r="J130" s="991"/>
      <c r="M130" s="113" t="s">
        <v>336</v>
      </c>
      <c r="N130" s="113" t="s">
        <v>174</v>
      </c>
      <c r="O130" s="113" t="s">
        <v>248</v>
      </c>
      <c r="P130" s="113" t="s">
        <v>176</v>
      </c>
      <c r="Q130" s="113" t="s">
        <v>337</v>
      </c>
      <c r="R130" s="113" t="s">
        <v>1641</v>
      </c>
      <c r="S130" s="113" t="s">
        <v>1642</v>
      </c>
      <c r="T130" s="113" t="s">
        <v>1643</v>
      </c>
      <c r="U130" s="113" t="s">
        <v>1644</v>
      </c>
      <c r="W130" s="994" t="s">
        <v>1459</v>
      </c>
      <c r="X130" s="994"/>
      <c r="Y130" s="994"/>
      <c r="Z130" s="994"/>
      <c r="AA130" s="994"/>
      <c r="AB130" s="994"/>
      <c r="AC130" s="994"/>
      <c r="AD130" s="994"/>
      <c r="AE130" s="994"/>
    </row>
    <row r="131" spans="3:31" s="29" customFormat="1" x14ac:dyDescent="0.25">
      <c r="C131" s="990"/>
      <c r="D131" s="990"/>
      <c r="E131" s="990"/>
      <c r="F131" s="991"/>
      <c r="G131" s="991"/>
      <c r="H131" s="991"/>
      <c r="I131" s="991"/>
      <c r="J131" s="991"/>
      <c r="M131" s="114" t="s">
        <v>344</v>
      </c>
      <c r="N131" s="114">
        <f>E23</f>
        <v>2099.0723984875517</v>
      </c>
      <c r="O131" s="114" t="str">
        <f>D23</f>
        <v>g</v>
      </c>
      <c r="P131" s="114">
        <v>100</v>
      </c>
      <c r="Q131" s="114">
        <f>N131</f>
        <v>2099.0723984875517</v>
      </c>
      <c r="R131" s="114">
        <v>0</v>
      </c>
      <c r="S131" s="114">
        <f>P131*R131</f>
        <v>0</v>
      </c>
      <c r="T131" s="114">
        <f>P131-S131</f>
        <v>100</v>
      </c>
      <c r="U131" s="114">
        <f>Q131+((S131*Q131)/P131)</f>
        <v>2099.0723984875517</v>
      </c>
      <c r="W131" s="113" t="s">
        <v>336</v>
      </c>
      <c r="X131" s="113" t="s">
        <v>174</v>
      </c>
      <c r="Y131" s="113" t="s">
        <v>248</v>
      </c>
      <c r="Z131" s="113" t="s">
        <v>176</v>
      </c>
      <c r="AA131" s="113" t="s">
        <v>337</v>
      </c>
      <c r="AB131" s="113" t="s">
        <v>1641</v>
      </c>
      <c r="AC131" s="113" t="s">
        <v>1642</v>
      </c>
      <c r="AD131" s="113" t="s">
        <v>1643</v>
      </c>
      <c r="AE131" s="113" t="s">
        <v>1644</v>
      </c>
    </row>
    <row r="132" spans="3:31" s="29" customFormat="1" x14ac:dyDescent="0.25">
      <c r="C132" s="990"/>
      <c r="D132" s="990"/>
      <c r="E132" s="990"/>
      <c r="F132" s="991"/>
      <c r="G132" s="991"/>
      <c r="H132" s="991"/>
      <c r="I132" s="991"/>
      <c r="J132" s="991"/>
      <c r="M132" s="114" t="s">
        <v>340</v>
      </c>
      <c r="N132" s="114">
        <f>Y20</f>
        <v>0.64</v>
      </c>
      <c r="O132" s="114" t="str">
        <f>X20</f>
        <v>g</v>
      </c>
      <c r="P132" s="114">
        <v>2</v>
      </c>
      <c r="Q132" s="114">
        <f t="shared" ref="Q132:Q137" si="20">N132*P132</f>
        <v>1.28</v>
      </c>
      <c r="R132" s="114">
        <v>0</v>
      </c>
      <c r="S132" s="114">
        <f t="shared" ref="S132:S137" si="21">P132*R132</f>
        <v>0</v>
      </c>
      <c r="T132" s="114">
        <f t="shared" ref="T132:T137" si="22">P132-S132</f>
        <v>2</v>
      </c>
      <c r="U132" s="114">
        <f t="shared" ref="U132:U137" si="23">Q132+((S132*Q132)/P132)</f>
        <v>1.28</v>
      </c>
      <c r="W132" s="114" t="s">
        <v>430</v>
      </c>
      <c r="X132" s="114">
        <f>P10</f>
        <v>0.7</v>
      </c>
      <c r="Y132" s="114" t="str">
        <f>O10</f>
        <v>g</v>
      </c>
      <c r="Z132" s="114">
        <v>20</v>
      </c>
      <c r="AA132" s="114">
        <f t="shared" ref="AA132:AA137" si="24">X132*Z132</f>
        <v>14</v>
      </c>
      <c r="AB132" s="114">
        <f>AJ7</f>
        <v>0.15</v>
      </c>
      <c r="AC132" s="114">
        <f>Z132*AB132</f>
        <v>3</v>
      </c>
      <c r="AD132" s="114">
        <f>Z132-AC132</f>
        <v>17</v>
      </c>
      <c r="AE132" s="114">
        <f>AA132+((AC132*AA132)/Z132)</f>
        <v>16.100000000000001</v>
      </c>
    </row>
    <row r="133" spans="3:31" s="29" customFormat="1" x14ac:dyDescent="0.25">
      <c r="C133" s="989" t="s">
        <v>0</v>
      </c>
      <c r="D133" s="989"/>
      <c r="E133" s="989"/>
      <c r="F133" s="989" t="s">
        <v>1</v>
      </c>
      <c r="G133" s="989"/>
      <c r="H133" s="989"/>
      <c r="I133" s="989"/>
      <c r="J133" s="989"/>
      <c r="M133" s="114" t="s">
        <v>346</v>
      </c>
      <c r="N133" s="114">
        <f>P3</f>
        <v>7</v>
      </c>
      <c r="O133" s="114" t="str">
        <f>O3</f>
        <v>g</v>
      </c>
      <c r="P133" s="114">
        <v>6</v>
      </c>
      <c r="Q133" s="114">
        <f t="shared" si="20"/>
        <v>42</v>
      </c>
      <c r="R133" s="114">
        <f>AJ2</f>
        <v>0.23</v>
      </c>
      <c r="S133" s="114">
        <f t="shared" si="21"/>
        <v>1.3800000000000001</v>
      </c>
      <c r="T133" s="114">
        <f t="shared" si="22"/>
        <v>4.62</v>
      </c>
      <c r="U133" s="114">
        <f t="shared" si="23"/>
        <v>51.660000000000004</v>
      </c>
      <c r="W133" s="114" t="s">
        <v>436</v>
      </c>
      <c r="X133" s="114">
        <f>P31</f>
        <v>2.6</v>
      </c>
      <c r="Y133" s="114" t="str">
        <f>O31</f>
        <v>g</v>
      </c>
      <c r="Z133" s="114">
        <v>15</v>
      </c>
      <c r="AA133" s="114">
        <f t="shared" si="24"/>
        <v>39</v>
      </c>
      <c r="AB133" s="114">
        <f>AJ19</f>
        <v>0.37</v>
      </c>
      <c r="AC133" s="114">
        <f t="shared" ref="AC133:AC137" si="25">Z133*AB133</f>
        <v>5.55</v>
      </c>
      <c r="AD133" s="114">
        <f t="shared" ref="AD133:AD137" si="26">Z133-AC133</f>
        <v>9.4499999999999993</v>
      </c>
      <c r="AE133" s="114">
        <f t="shared" ref="AE133:AE137" si="27">AA133+((AC133*AA133)/Z133)</f>
        <v>53.43</v>
      </c>
    </row>
    <row r="134" spans="3:31" s="29" customFormat="1" x14ac:dyDescent="0.25">
      <c r="C134" s="990" t="s">
        <v>3</v>
      </c>
      <c r="D134" s="990"/>
      <c r="E134" s="990"/>
      <c r="F134" s="992" t="s">
        <v>18</v>
      </c>
      <c r="G134" s="991"/>
      <c r="H134" s="991"/>
      <c r="I134" s="991"/>
      <c r="J134" s="991"/>
      <c r="M134" s="114" t="s">
        <v>546</v>
      </c>
      <c r="N134" s="114">
        <f>AE3</f>
        <v>49.18</v>
      </c>
      <c r="O134" s="114" t="str">
        <f>AD3</f>
        <v>mL</v>
      </c>
      <c r="P134" s="114">
        <v>5</v>
      </c>
      <c r="Q134" s="114">
        <f t="shared" si="20"/>
        <v>245.9</v>
      </c>
      <c r="R134" s="114">
        <v>0</v>
      </c>
      <c r="S134" s="114">
        <f t="shared" si="21"/>
        <v>0</v>
      </c>
      <c r="T134" s="114">
        <f t="shared" si="22"/>
        <v>5</v>
      </c>
      <c r="U134" s="114">
        <f t="shared" si="23"/>
        <v>245.9</v>
      </c>
      <c r="W134" s="114" t="s">
        <v>435</v>
      </c>
      <c r="X134" s="114">
        <f>P5</f>
        <v>2.5</v>
      </c>
      <c r="Y134" s="114" t="str">
        <f>O5</f>
        <v>g</v>
      </c>
      <c r="Z134" s="114">
        <v>8</v>
      </c>
      <c r="AA134" s="114">
        <f t="shared" si="24"/>
        <v>20</v>
      </c>
      <c r="AB134" s="114">
        <f>AJ3</f>
        <v>0.37</v>
      </c>
      <c r="AC134" s="114">
        <f t="shared" si="25"/>
        <v>2.96</v>
      </c>
      <c r="AD134" s="114">
        <f t="shared" si="26"/>
        <v>5.04</v>
      </c>
      <c r="AE134" s="114">
        <f t="shared" si="27"/>
        <v>27.4</v>
      </c>
    </row>
    <row r="135" spans="3:31" s="29" customFormat="1" x14ac:dyDescent="0.25">
      <c r="C135" s="990"/>
      <c r="D135" s="990"/>
      <c r="E135" s="990"/>
      <c r="F135" s="991"/>
      <c r="G135" s="991"/>
      <c r="H135" s="991"/>
      <c r="I135" s="991"/>
      <c r="J135" s="991"/>
      <c r="M135" s="114" t="s">
        <v>433</v>
      </c>
      <c r="N135" s="114">
        <f>Y18</f>
        <v>223.57</v>
      </c>
      <c r="O135" s="114" t="str">
        <f>X18</f>
        <v>g</v>
      </c>
      <c r="P135" s="114">
        <v>10</v>
      </c>
      <c r="Q135" s="114">
        <f t="shared" si="20"/>
        <v>2235.6999999999998</v>
      </c>
      <c r="R135" s="114">
        <v>0</v>
      </c>
      <c r="S135" s="114">
        <f t="shared" si="21"/>
        <v>0</v>
      </c>
      <c r="T135" s="114">
        <f t="shared" si="22"/>
        <v>10</v>
      </c>
      <c r="U135" s="114">
        <f t="shared" si="23"/>
        <v>2235.6999999999998</v>
      </c>
      <c r="W135" s="114" t="s">
        <v>429</v>
      </c>
      <c r="X135" s="114">
        <f>P29</f>
        <v>1.8</v>
      </c>
      <c r="Y135" s="114" t="str">
        <f>O29</f>
        <v>g</v>
      </c>
      <c r="Z135" s="114">
        <v>40</v>
      </c>
      <c r="AA135" s="114">
        <f t="shared" si="24"/>
        <v>72</v>
      </c>
      <c r="AB135" s="114">
        <f>AJ18</f>
        <v>0.05</v>
      </c>
      <c r="AC135" s="114">
        <f t="shared" si="25"/>
        <v>2</v>
      </c>
      <c r="AD135" s="114">
        <f t="shared" si="26"/>
        <v>38</v>
      </c>
      <c r="AE135" s="114">
        <f t="shared" si="27"/>
        <v>75.599999999999994</v>
      </c>
    </row>
    <row r="136" spans="3:31" s="29" customFormat="1" x14ac:dyDescent="0.25">
      <c r="C136" s="990"/>
      <c r="D136" s="990"/>
      <c r="E136" s="990"/>
      <c r="F136" s="991"/>
      <c r="G136" s="991"/>
      <c r="H136" s="991"/>
      <c r="I136" s="991"/>
      <c r="J136" s="991"/>
      <c r="M136" s="114" t="s">
        <v>500</v>
      </c>
      <c r="N136" s="114">
        <f>AE139</f>
        <v>4123.38</v>
      </c>
      <c r="O136" s="114" t="s">
        <v>1388</v>
      </c>
      <c r="P136" s="114">
        <v>120</v>
      </c>
      <c r="Q136" s="114">
        <f>N136</f>
        <v>4123.38</v>
      </c>
      <c r="R136" s="114">
        <v>0</v>
      </c>
      <c r="S136" s="114">
        <f t="shared" si="21"/>
        <v>0</v>
      </c>
      <c r="T136" s="114">
        <f t="shared" si="22"/>
        <v>120</v>
      </c>
      <c r="U136" s="114">
        <f t="shared" si="23"/>
        <v>4123.38</v>
      </c>
      <c r="W136" s="114" t="s">
        <v>432</v>
      </c>
      <c r="X136" s="114">
        <f>S8</f>
        <v>59</v>
      </c>
      <c r="Y136" s="114" t="str">
        <f>R8</f>
        <v>g</v>
      </c>
      <c r="Z136" s="114">
        <v>35</v>
      </c>
      <c r="AA136" s="114">
        <f t="shared" si="24"/>
        <v>2065</v>
      </c>
      <c r="AB136" s="114">
        <f>AN4</f>
        <v>0.41</v>
      </c>
      <c r="AC136" s="114">
        <f t="shared" si="25"/>
        <v>14.35</v>
      </c>
      <c r="AD136" s="114">
        <f t="shared" si="26"/>
        <v>20.65</v>
      </c>
      <c r="AE136" s="114">
        <f t="shared" si="27"/>
        <v>2911.65</v>
      </c>
    </row>
    <row r="137" spans="3:31" s="29" customFormat="1" x14ac:dyDescent="0.25">
      <c r="C137" s="990" t="s">
        <v>4</v>
      </c>
      <c r="D137" s="990"/>
      <c r="E137" s="990"/>
      <c r="F137" s="991" t="s">
        <v>15</v>
      </c>
      <c r="G137" s="991"/>
      <c r="H137" s="991"/>
      <c r="I137" s="991"/>
      <c r="J137" s="991"/>
      <c r="M137" s="114" t="s">
        <v>427</v>
      </c>
      <c r="N137" s="114">
        <f>S8</f>
        <v>59</v>
      </c>
      <c r="O137" s="114" t="str">
        <f>R8</f>
        <v>g</v>
      </c>
      <c r="P137" s="114">
        <v>80</v>
      </c>
      <c r="Q137" s="114">
        <f t="shared" si="20"/>
        <v>4720</v>
      </c>
      <c r="R137" s="114">
        <f>AN4</f>
        <v>0.41</v>
      </c>
      <c r="S137" s="114">
        <f t="shared" si="21"/>
        <v>32.799999999999997</v>
      </c>
      <c r="T137" s="114">
        <f t="shared" si="22"/>
        <v>47.2</v>
      </c>
      <c r="U137" s="114">
        <f t="shared" si="23"/>
        <v>6655.2</v>
      </c>
      <c r="W137" s="114" t="s">
        <v>455</v>
      </c>
      <c r="X137" s="114">
        <f>AE15</f>
        <v>51.96</v>
      </c>
      <c r="Y137" s="114" t="str">
        <f>AD15</f>
        <v>mL</v>
      </c>
      <c r="Z137" s="114">
        <v>20</v>
      </c>
      <c r="AA137" s="114">
        <f t="shared" si="24"/>
        <v>1039.2</v>
      </c>
      <c r="AB137" s="114">
        <v>0</v>
      </c>
      <c r="AC137" s="114">
        <f t="shared" si="25"/>
        <v>0</v>
      </c>
      <c r="AD137" s="114">
        <f t="shared" si="26"/>
        <v>20</v>
      </c>
      <c r="AE137" s="114">
        <f t="shared" si="27"/>
        <v>1039.2</v>
      </c>
    </row>
    <row r="138" spans="3:31" s="29" customFormat="1" x14ac:dyDescent="0.25">
      <c r="C138" s="990"/>
      <c r="D138" s="990"/>
      <c r="E138" s="990"/>
      <c r="F138" s="991"/>
      <c r="G138" s="991"/>
      <c r="H138" s="991"/>
      <c r="I138" s="991"/>
      <c r="J138" s="991"/>
      <c r="M138" s="114"/>
      <c r="N138" s="114"/>
      <c r="O138" s="114"/>
      <c r="P138" s="114"/>
      <c r="Q138" s="114"/>
      <c r="R138" s="114"/>
      <c r="S138" s="114"/>
      <c r="T138" s="114"/>
      <c r="U138" s="114"/>
      <c r="W138" s="114"/>
      <c r="X138" s="114"/>
      <c r="Y138" s="114"/>
      <c r="Z138" s="114"/>
      <c r="AA138" s="114"/>
      <c r="AB138" s="114"/>
      <c r="AC138" s="114"/>
      <c r="AD138" s="114"/>
      <c r="AE138" s="114"/>
    </row>
    <row r="139" spans="3:31" s="29" customFormat="1" x14ac:dyDescent="0.25">
      <c r="C139" s="990"/>
      <c r="D139" s="990"/>
      <c r="E139" s="990"/>
      <c r="F139" s="991"/>
      <c r="G139" s="991"/>
      <c r="H139" s="991"/>
      <c r="I139" s="991"/>
      <c r="J139" s="991"/>
      <c r="M139" s="114" t="s">
        <v>337</v>
      </c>
      <c r="N139" s="114">
        <f>SUM(N131:N138)</f>
        <v>6561.8423984875517</v>
      </c>
      <c r="O139" s="114"/>
      <c r="P139" s="114">
        <f>SUM(P131:P138)</f>
        <v>323</v>
      </c>
      <c r="Q139" s="114">
        <f>SUM(Q131:Q138)</f>
        <v>13467.332398487553</v>
      </c>
      <c r="R139" s="114"/>
      <c r="S139" s="114"/>
      <c r="T139" s="114"/>
      <c r="U139" s="114">
        <f>SUM(U131:U138)</f>
        <v>15412.192398487554</v>
      </c>
      <c r="W139" s="114" t="s">
        <v>337</v>
      </c>
      <c r="X139" s="114">
        <f>SUM(X132:X138)</f>
        <v>118.56</v>
      </c>
      <c r="Y139" s="114"/>
      <c r="Z139" s="114">
        <f>SUM(Z132:Z138)</f>
        <v>138</v>
      </c>
      <c r="AA139" s="114">
        <f>SUM(AA132:AA138)</f>
        <v>3249.2</v>
      </c>
      <c r="AB139" s="114"/>
      <c r="AC139" s="114"/>
      <c r="AD139" s="114"/>
      <c r="AE139" s="114">
        <f>SUM(AE132:AE138)</f>
        <v>4123.38</v>
      </c>
    </row>
    <row r="140" spans="3:31" s="29" customFormat="1" x14ac:dyDescent="0.25">
      <c r="C140" s="990" t="s">
        <v>5</v>
      </c>
      <c r="D140" s="990"/>
      <c r="E140" s="990"/>
      <c r="F140" s="992" t="s">
        <v>19</v>
      </c>
      <c r="G140" s="991"/>
      <c r="H140" s="991"/>
      <c r="I140" s="991"/>
      <c r="J140" s="991"/>
      <c r="W140" s="29" t="s">
        <v>556</v>
      </c>
    </row>
    <row r="141" spans="3:31" s="29" customFormat="1" x14ac:dyDescent="0.25">
      <c r="C141" s="990"/>
      <c r="D141" s="990"/>
      <c r="E141" s="990"/>
      <c r="F141" s="991"/>
      <c r="G141" s="991"/>
      <c r="H141" s="991"/>
      <c r="I141" s="991"/>
      <c r="J141" s="991"/>
      <c r="Q141" s="114" t="s">
        <v>1681</v>
      </c>
      <c r="R141" s="114">
        <f>U139</f>
        <v>15412.192398487554</v>
      </c>
      <c r="S141" s="608" t="s">
        <v>2142</v>
      </c>
      <c r="T141" s="608">
        <f>(R141*100)/R148</f>
        <v>51.380070344520178</v>
      </c>
      <c r="AA141" s="114" t="s">
        <v>1681</v>
      </c>
      <c r="AB141" s="114">
        <f>AE139</f>
        <v>4123.38</v>
      </c>
      <c r="AC141" s="608" t="s">
        <v>2142</v>
      </c>
      <c r="AD141" s="608">
        <f>(AB141*100)/AB148</f>
        <v>38.69644286922049</v>
      </c>
    </row>
    <row r="142" spans="3:31" s="29" customFormat="1" x14ac:dyDescent="0.25">
      <c r="C142" s="990"/>
      <c r="D142" s="990"/>
      <c r="E142" s="990"/>
      <c r="F142" s="991"/>
      <c r="G142" s="991"/>
      <c r="H142" s="991"/>
      <c r="I142" s="991"/>
      <c r="J142" s="991"/>
      <c r="Q142" s="114" t="s">
        <v>2326</v>
      </c>
      <c r="R142" s="114">
        <f>$AL$26</f>
        <v>1801.715474357886</v>
      </c>
      <c r="AA142" s="114" t="s">
        <v>2326</v>
      </c>
      <c r="AB142" s="114">
        <f>$AO$26/2</f>
        <v>476.87414947063905</v>
      </c>
    </row>
    <row r="143" spans="3:31" s="29" customFormat="1" x14ac:dyDescent="0.25">
      <c r="C143" s="990" t="s">
        <v>6</v>
      </c>
      <c r="D143" s="990"/>
      <c r="E143" s="990"/>
      <c r="F143" s="991" t="s">
        <v>9</v>
      </c>
      <c r="G143" s="991"/>
      <c r="H143" s="991"/>
      <c r="I143" s="991"/>
      <c r="J143" s="991"/>
      <c r="Q143" s="114" t="s">
        <v>2325</v>
      </c>
      <c r="R143" s="114">
        <f>$AL$27</f>
        <v>75.599999999999994</v>
      </c>
      <c r="AA143" s="114" t="s">
        <v>2325</v>
      </c>
      <c r="AB143" s="114">
        <f>$AO$27/4</f>
        <v>18.899999999999999</v>
      </c>
    </row>
    <row r="144" spans="3:31" s="29" customFormat="1" x14ac:dyDescent="0.25">
      <c r="C144" s="990"/>
      <c r="D144" s="990"/>
      <c r="E144" s="990"/>
      <c r="F144" s="991"/>
      <c r="G144" s="991"/>
      <c r="H144" s="991"/>
      <c r="I144" s="991"/>
      <c r="J144" s="991"/>
      <c r="Q144" s="114" t="s">
        <v>1684</v>
      </c>
      <c r="R144" s="114">
        <f>$AL$29</f>
        <v>69.543532482306858</v>
      </c>
      <c r="AA144" s="114" t="s">
        <v>1684</v>
      </c>
      <c r="AB144" s="114">
        <f>$AO$29</f>
        <v>1547.3435977313275</v>
      </c>
    </row>
    <row r="145" spans="3:31" s="29" customFormat="1" x14ac:dyDescent="0.25">
      <c r="C145" s="990"/>
      <c r="D145" s="990"/>
      <c r="E145" s="990"/>
      <c r="F145" s="991"/>
      <c r="G145" s="991"/>
      <c r="H145" s="991"/>
      <c r="I145" s="991"/>
      <c r="J145" s="991"/>
      <c r="Q145" s="114" t="s">
        <v>1685</v>
      </c>
      <c r="R145" s="114">
        <v>0.6</v>
      </c>
      <c r="AA145" s="114" t="s">
        <v>1685</v>
      </c>
      <c r="AB145" s="114">
        <v>0.6</v>
      </c>
    </row>
    <row r="146" spans="3:31" s="29" customFormat="1" x14ac:dyDescent="0.25">
      <c r="C146" s="990" t="s">
        <v>7</v>
      </c>
      <c r="D146" s="990"/>
      <c r="E146" s="990"/>
      <c r="F146" s="992" t="s">
        <v>557</v>
      </c>
      <c r="G146" s="991"/>
      <c r="H146" s="991"/>
      <c r="I146" s="991"/>
      <c r="J146" s="991"/>
      <c r="Q146" s="114" t="s">
        <v>1708</v>
      </c>
      <c r="R146" s="114">
        <f>(SUM(R141:R144)*R145)+SUM(R141:R144)</f>
        <v>27774.482248524393</v>
      </c>
      <c r="AA146" s="114" t="s">
        <v>1708</v>
      </c>
      <c r="AB146" s="114">
        <f>(SUM(AB141:AB144)*AB145)+SUM(AB141:AB144)</f>
        <v>9866.3963955231466</v>
      </c>
    </row>
    <row r="147" spans="3:31" s="29" customFormat="1" x14ac:dyDescent="0.25">
      <c r="C147" s="990"/>
      <c r="D147" s="990"/>
      <c r="E147" s="990"/>
      <c r="F147" s="991"/>
      <c r="G147" s="991"/>
      <c r="H147" s="991"/>
      <c r="I147" s="991"/>
      <c r="J147" s="991"/>
      <c r="Q147" s="114" t="s">
        <v>2130</v>
      </c>
      <c r="R147" s="114">
        <f>R146*0.08</f>
        <v>2221.9585798819517</v>
      </c>
      <c r="AA147" s="114" t="s">
        <v>2130</v>
      </c>
      <c r="AB147" s="114">
        <f>AB146*0.08</f>
        <v>789.31171164185173</v>
      </c>
    </row>
    <row r="148" spans="3:31" s="29" customFormat="1" x14ac:dyDescent="0.25">
      <c r="C148" s="990"/>
      <c r="D148" s="990"/>
      <c r="E148" s="990"/>
      <c r="F148" s="991"/>
      <c r="G148" s="991"/>
      <c r="H148" s="991"/>
      <c r="I148" s="991"/>
      <c r="J148" s="991"/>
      <c r="Q148" s="114" t="s">
        <v>1686</v>
      </c>
      <c r="R148" s="114">
        <f>SUM(R146+R147)</f>
        <v>29996.440828406347</v>
      </c>
      <c r="AA148" s="114" t="s">
        <v>1686</v>
      </c>
      <c r="AB148" s="114">
        <f>SUM(AB146+AB147)</f>
        <v>10655.708107164999</v>
      </c>
    </row>
    <row r="149" spans="3:31" s="29" customFormat="1" x14ac:dyDescent="0.25"/>
    <row r="150" spans="3:31" s="29" customFormat="1" x14ac:dyDescent="0.25"/>
    <row r="151" spans="3:31" s="29" customFormat="1" x14ac:dyDescent="0.25">
      <c r="C151" s="993" t="s">
        <v>8</v>
      </c>
      <c r="D151" s="993"/>
      <c r="E151" s="993"/>
      <c r="F151" s="993"/>
      <c r="G151" s="993"/>
      <c r="H151" s="993"/>
      <c r="I151" s="993"/>
      <c r="J151" s="993"/>
    </row>
    <row r="152" spans="3:31" s="29" customFormat="1" x14ac:dyDescent="0.25">
      <c r="C152" s="989" t="s">
        <v>0</v>
      </c>
      <c r="D152" s="989"/>
      <c r="E152" s="989"/>
      <c r="F152" s="989" t="s">
        <v>1</v>
      </c>
      <c r="G152" s="989"/>
      <c r="H152" s="989"/>
      <c r="I152" s="989"/>
      <c r="J152" s="989"/>
    </row>
    <row r="153" spans="3:31" s="29" customFormat="1" x14ac:dyDescent="0.25">
      <c r="C153" s="990" t="s">
        <v>2</v>
      </c>
      <c r="D153" s="990"/>
      <c r="E153" s="990"/>
      <c r="F153" s="991" t="s">
        <v>21</v>
      </c>
      <c r="G153" s="991"/>
      <c r="H153" s="991"/>
      <c r="I153" s="991"/>
      <c r="J153" s="991"/>
      <c r="M153" s="113" t="s">
        <v>336</v>
      </c>
      <c r="N153" s="113" t="s">
        <v>174</v>
      </c>
      <c r="O153" s="113" t="s">
        <v>248</v>
      </c>
      <c r="P153" s="113" t="s">
        <v>176</v>
      </c>
      <c r="Q153" s="113" t="s">
        <v>337</v>
      </c>
      <c r="R153" s="113" t="s">
        <v>1641</v>
      </c>
      <c r="S153" s="113" t="s">
        <v>1642</v>
      </c>
      <c r="T153" s="113" t="s">
        <v>1643</v>
      </c>
      <c r="U153" s="113" t="s">
        <v>1644</v>
      </c>
      <c r="W153" s="994" t="s">
        <v>1460</v>
      </c>
      <c r="X153" s="994"/>
      <c r="Y153" s="994"/>
      <c r="Z153" s="994"/>
      <c r="AA153" s="994"/>
      <c r="AB153" s="994"/>
      <c r="AC153" s="994"/>
      <c r="AD153" s="994"/>
      <c r="AE153" s="994"/>
    </row>
    <row r="154" spans="3:31" s="29" customFormat="1" x14ac:dyDescent="0.25">
      <c r="C154" s="990"/>
      <c r="D154" s="990"/>
      <c r="E154" s="990"/>
      <c r="F154" s="991"/>
      <c r="G154" s="991"/>
      <c r="H154" s="991"/>
      <c r="I154" s="991"/>
      <c r="J154" s="991"/>
      <c r="M154" s="114" t="s">
        <v>344</v>
      </c>
      <c r="N154" s="114">
        <f>E23</f>
        <v>2099.0723984875517</v>
      </c>
      <c r="O154" s="114" t="str">
        <f>D23</f>
        <v>g</v>
      </c>
      <c r="P154" s="114">
        <v>100</v>
      </c>
      <c r="Q154" s="114">
        <f>N154</f>
        <v>2099.0723984875517</v>
      </c>
      <c r="R154" s="114">
        <v>0</v>
      </c>
      <c r="S154" s="114">
        <f>P154*R154</f>
        <v>0</v>
      </c>
      <c r="T154" s="114">
        <f>P154-S154</f>
        <v>100</v>
      </c>
      <c r="U154" s="114">
        <f>Q154+((S154*Q154)/P154)</f>
        <v>2099.0723984875517</v>
      </c>
      <c r="W154" s="113" t="s">
        <v>336</v>
      </c>
      <c r="X154" s="113" t="s">
        <v>174</v>
      </c>
      <c r="Y154" s="113" t="s">
        <v>248</v>
      </c>
      <c r="Z154" s="113" t="s">
        <v>176</v>
      </c>
      <c r="AA154" s="113" t="s">
        <v>337</v>
      </c>
      <c r="AB154" s="113" t="s">
        <v>1641</v>
      </c>
      <c r="AC154" s="113" t="s">
        <v>1642</v>
      </c>
      <c r="AD154" s="113" t="s">
        <v>1643</v>
      </c>
      <c r="AE154" s="113" t="s">
        <v>1644</v>
      </c>
    </row>
    <row r="155" spans="3:31" s="29" customFormat="1" x14ac:dyDescent="0.25">
      <c r="C155" s="990"/>
      <c r="D155" s="990"/>
      <c r="E155" s="990"/>
      <c r="F155" s="991"/>
      <c r="G155" s="991"/>
      <c r="H155" s="991"/>
      <c r="I155" s="991"/>
      <c r="J155" s="991"/>
      <c r="M155" s="114" t="s">
        <v>340</v>
      </c>
      <c r="N155" s="114">
        <f>Y20</f>
        <v>0.64</v>
      </c>
      <c r="O155" s="114" t="str">
        <f>X20</f>
        <v>g</v>
      </c>
      <c r="P155" s="114">
        <v>2</v>
      </c>
      <c r="Q155" s="114">
        <f>N155*P155</f>
        <v>1.28</v>
      </c>
      <c r="R155" s="114">
        <v>0</v>
      </c>
      <c r="S155" s="114">
        <f t="shared" ref="S155:S158" si="28">P155*R155</f>
        <v>0</v>
      </c>
      <c r="T155" s="114">
        <f t="shared" ref="T155:T158" si="29">P155-S155</f>
        <v>2</v>
      </c>
      <c r="U155" s="114">
        <f t="shared" ref="U155:U158" si="30">Q155+((S155*Q155)/P155)</f>
        <v>1.28</v>
      </c>
      <c r="W155" s="114" t="s">
        <v>347</v>
      </c>
      <c r="X155" s="114">
        <f>V6</f>
        <v>28.76</v>
      </c>
      <c r="Y155" s="114" t="str">
        <f>U6</f>
        <v>g</v>
      </c>
      <c r="Z155" s="114">
        <v>60</v>
      </c>
      <c r="AA155" s="114">
        <f>X155*Z155</f>
        <v>1725.6000000000001</v>
      </c>
      <c r="AB155" s="114">
        <v>0</v>
      </c>
      <c r="AC155" s="114">
        <f>Z155*AB155</f>
        <v>0</v>
      </c>
      <c r="AD155" s="114">
        <f>Z155-AC155</f>
        <v>60</v>
      </c>
      <c r="AE155" s="114">
        <f>AA155+((AC155*AA155)/Z155)</f>
        <v>1725.6000000000001</v>
      </c>
    </row>
    <row r="156" spans="3:31" s="29" customFormat="1" x14ac:dyDescent="0.25">
      <c r="C156" s="989" t="s">
        <v>0</v>
      </c>
      <c r="D156" s="989"/>
      <c r="E156" s="989"/>
      <c r="F156" s="989" t="s">
        <v>1</v>
      </c>
      <c r="G156" s="989"/>
      <c r="H156" s="989"/>
      <c r="I156" s="989"/>
      <c r="J156" s="989"/>
      <c r="M156" s="114" t="s">
        <v>440</v>
      </c>
      <c r="N156" s="114">
        <f>AE160</f>
        <v>5999.66</v>
      </c>
      <c r="O156" s="114" t="s">
        <v>1388</v>
      </c>
      <c r="P156" s="114">
        <v>120</v>
      </c>
      <c r="Q156" s="114">
        <f>N156</f>
        <v>5999.66</v>
      </c>
      <c r="R156" s="114">
        <v>0</v>
      </c>
      <c r="S156" s="114">
        <f t="shared" si="28"/>
        <v>0</v>
      </c>
      <c r="T156" s="114">
        <f t="shared" si="29"/>
        <v>120</v>
      </c>
      <c r="U156" s="114">
        <f t="shared" si="30"/>
        <v>5999.66</v>
      </c>
      <c r="W156" s="114" t="s">
        <v>439</v>
      </c>
      <c r="X156" s="114">
        <f>AE7</f>
        <v>0.4</v>
      </c>
      <c r="Y156" s="114" t="str">
        <f>AD7</f>
        <v>g</v>
      </c>
      <c r="Z156" s="114">
        <v>35</v>
      </c>
      <c r="AA156" s="114">
        <f>X156*Z156</f>
        <v>14</v>
      </c>
      <c r="AB156" s="114">
        <v>0</v>
      </c>
      <c r="AC156" s="114">
        <f>Z156*AB156</f>
        <v>0</v>
      </c>
      <c r="AD156" s="114">
        <f>Z156-AC156</f>
        <v>35</v>
      </c>
      <c r="AE156" s="114">
        <f>AA156+((AC156*AA156)/Z156)</f>
        <v>14</v>
      </c>
    </row>
    <row r="157" spans="3:31" s="29" customFormat="1" x14ac:dyDescent="0.25">
      <c r="C157" s="990" t="s">
        <v>3</v>
      </c>
      <c r="D157" s="990"/>
      <c r="E157" s="990"/>
      <c r="F157" s="992" t="s">
        <v>22</v>
      </c>
      <c r="G157" s="991"/>
      <c r="H157" s="991"/>
      <c r="I157" s="991"/>
      <c r="J157" s="991"/>
      <c r="M157" s="114" t="s">
        <v>559</v>
      </c>
      <c r="N157" s="114">
        <f>V14</f>
        <v>318.95</v>
      </c>
      <c r="O157" s="114" t="str">
        <f>U14</f>
        <v>g</v>
      </c>
      <c r="P157" s="114">
        <v>30</v>
      </c>
      <c r="Q157" s="114">
        <f>N157*P157</f>
        <v>9568.5</v>
      </c>
      <c r="R157" s="114">
        <v>0</v>
      </c>
      <c r="S157" s="114">
        <f t="shared" si="28"/>
        <v>0</v>
      </c>
      <c r="T157" s="114">
        <f t="shared" si="29"/>
        <v>30</v>
      </c>
      <c r="U157" s="114">
        <f t="shared" si="30"/>
        <v>9568.5</v>
      </c>
      <c r="W157" s="114" t="s">
        <v>433</v>
      </c>
      <c r="X157" s="114">
        <f>Y18</f>
        <v>223.57</v>
      </c>
      <c r="Y157" s="114" t="str">
        <f>X18</f>
        <v>g</v>
      </c>
      <c r="Z157" s="114">
        <v>6</v>
      </c>
      <c r="AA157" s="114">
        <f>X157*Z157</f>
        <v>1341.42</v>
      </c>
      <c r="AB157" s="114">
        <v>0</v>
      </c>
      <c r="AC157" s="114">
        <f>Z157*AB157</f>
        <v>0</v>
      </c>
      <c r="AD157" s="114">
        <f>Z157-AC157</f>
        <v>6</v>
      </c>
      <c r="AE157" s="114">
        <f>AA157+((AC157*AA157)/Z157)</f>
        <v>1341.42</v>
      </c>
    </row>
    <row r="158" spans="3:31" s="29" customFormat="1" x14ac:dyDescent="0.25">
      <c r="C158" s="990"/>
      <c r="D158" s="990"/>
      <c r="E158" s="990"/>
      <c r="F158" s="991"/>
      <c r="G158" s="991"/>
      <c r="H158" s="991"/>
      <c r="I158" s="991"/>
      <c r="J158" s="991"/>
      <c r="M158" s="114" t="s">
        <v>547</v>
      </c>
      <c r="N158" s="114">
        <f>V13</f>
        <v>81.900000000000006</v>
      </c>
      <c r="O158" s="114" t="str">
        <f>U13</f>
        <v>g</v>
      </c>
      <c r="P158" s="114">
        <v>30</v>
      </c>
      <c r="Q158" s="114">
        <f>N158*P158</f>
        <v>2457</v>
      </c>
      <c r="R158" s="114">
        <v>0</v>
      </c>
      <c r="S158" s="114">
        <f t="shared" si="28"/>
        <v>0</v>
      </c>
      <c r="T158" s="114">
        <f t="shared" si="29"/>
        <v>30</v>
      </c>
      <c r="U158" s="114">
        <f t="shared" si="30"/>
        <v>2457</v>
      </c>
      <c r="W158" s="114" t="s">
        <v>340</v>
      </c>
      <c r="X158" s="114">
        <f>Y20</f>
        <v>0.64</v>
      </c>
      <c r="Y158" s="114" t="str">
        <f>W20</f>
        <v>Sal</v>
      </c>
      <c r="Z158" s="114">
        <v>1</v>
      </c>
      <c r="AA158" s="114">
        <f>X158*Z158</f>
        <v>0.64</v>
      </c>
      <c r="AB158" s="114">
        <v>0</v>
      </c>
      <c r="AC158" s="114">
        <f>Z158*AB158</f>
        <v>0</v>
      </c>
      <c r="AD158" s="114">
        <f>Z158-AC158</f>
        <v>1</v>
      </c>
      <c r="AE158" s="114">
        <f>AA158+((AC158*AA158)/Z158)</f>
        <v>0.64</v>
      </c>
    </row>
    <row r="159" spans="3:31" s="29" customFormat="1" x14ac:dyDescent="0.25">
      <c r="C159" s="990"/>
      <c r="D159" s="990"/>
      <c r="E159" s="990"/>
      <c r="F159" s="991"/>
      <c r="G159" s="991"/>
      <c r="H159" s="991"/>
      <c r="I159" s="991"/>
      <c r="J159" s="991"/>
      <c r="M159" s="114"/>
      <c r="N159" s="114"/>
      <c r="O159" s="114"/>
      <c r="P159" s="114"/>
      <c r="Q159" s="114"/>
      <c r="R159" s="114"/>
      <c r="S159" s="114"/>
      <c r="T159" s="114"/>
      <c r="U159" s="114"/>
      <c r="W159" s="114" t="s">
        <v>438</v>
      </c>
      <c r="X159" s="114">
        <f>S14</f>
        <v>72.95</v>
      </c>
      <c r="Y159" s="114" t="str">
        <f>R14</f>
        <v>g</v>
      </c>
      <c r="Z159" s="114">
        <v>40</v>
      </c>
      <c r="AA159" s="114">
        <f>X159*Z159</f>
        <v>2918</v>
      </c>
      <c r="AB159" s="114">
        <v>0</v>
      </c>
      <c r="AC159" s="114">
        <f>Z159*AB159</f>
        <v>0</v>
      </c>
      <c r="AD159" s="114">
        <f>Z159-AC159</f>
        <v>40</v>
      </c>
      <c r="AE159" s="114">
        <f>AA159+((AC159*AA159)/Z159)</f>
        <v>2918</v>
      </c>
    </row>
    <row r="160" spans="3:31" s="29" customFormat="1" x14ac:dyDescent="0.25">
      <c r="C160" s="990" t="s">
        <v>4</v>
      </c>
      <c r="D160" s="990"/>
      <c r="E160" s="990"/>
      <c r="F160" s="991" t="s">
        <v>15</v>
      </c>
      <c r="G160" s="991"/>
      <c r="H160" s="991"/>
      <c r="I160" s="991"/>
      <c r="J160" s="991"/>
      <c r="M160" s="114"/>
      <c r="N160" s="114"/>
      <c r="O160" s="114"/>
      <c r="P160" s="114"/>
      <c r="Q160" s="114"/>
      <c r="R160" s="114"/>
      <c r="S160" s="114"/>
      <c r="T160" s="114"/>
      <c r="U160" s="114"/>
      <c r="W160" s="114" t="s">
        <v>337</v>
      </c>
      <c r="X160" s="114">
        <f>SUM(X155:X159)</f>
        <v>326.32</v>
      </c>
      <c r="Y160" s="114"/>
      <c r="Z160" s="114">
        <f>SUM(Z155:Z159)</f>
        <v>142</v>
      </c>
      <c r="AA160" s="114">
        <f>SUM(AA155:AA159)</f>
        <v>5999.66</v>
      </c>
      <c r="AB160" s="114"/>
      <c r="AC160" s="114"/>
      <c r="AD160" s="114"/>
      <c r="AE160" s="114">
        <f>SUM(AE155:AE159)</f>
        <v>5999.66</v>
      </c>
    </row>
    <row r="161" spans="3:31" s="29" customFormat="1" x14ac:dyDescent="0.25">
      <c r="C161" s="990"/>
      <c r="D161" s="990"/>
      <c r="E161" s="990"/>
      <c r="F161" s="991"/>
      <c r="G161" s="991"/>
      <c r="H161" s="991"/>
      <c r="I161" s="991"/>
      <c r="J161" s="991"/>
      <c r="M161" s="114"/>
      <c r="N161" s="114"/>
      <c r="O161" s="114"/>
      <c r="P161" s="114"/>
      <c r="Q161" s="114"/>
      <c r="R161" s="114"/>
      <c r="S161" s="114"/>
      <c r="T161" s="114"/>
      <c r="U161" s="114"/>
      <c r="W161" s="29" t="s">
        <v>558</v>
      </c>
    </row>
    <row r="162" spans="3:31" s="29" customFormat="1" x14ac:dyDescent="0.25">
      <c r="C162" s="990"/>
      <c r="D162" s="990"/>
      <c r="E162" s="990"/>
      <c r="F162" s="991"/>
      <c r="G162" s="991"/>
      <c r="H162" s="991"/>
      <c r="I162" s="991"/>
      <c r="J162" s="991"/>
      <c r="M162" s="114" t="s">
        <v>337</v>
      </c>
      <c r="N162" s="114">
        <f>SUM(N154:N161)</f>
        <v>8500.2223984875509</v>
      </c>
      <c r="O162" s="114"/>
      <c r="P162" s="114">
        <f>SUM(P154:P161)</f>
        <v>282</v>
      </c>
      <c r="Q162" s="114">
        <f>SUM(Q154:Q161)</f>
        <v>20125.512398487554</v>
      </c>
      <c r="R162" s="114"/>
      <c r="S162" s="114"/>
      <c r="T162" s="114"/>
      <c r="U162" s="114">
        <f>SUM(U154:U161)</f>
        <v>20125.512398487554</v>
      </c>
      <c r="AA162" s="114" t="s">
        <v>1681</v>
      </c>
      <c r="AB162" s="114">
        <f>AE160</f>
        <v>5999.66</v>
      </c>
      <c r="AC162" s="608" t="s">
        <v>2142</v>
      </c>
      <c r="AD162" s="608">
        <f>(AB162*100)/AB169</f>
        <v>43.169481640479994</v>
      </c>
    </row>
    <row r="163" spans="3:31" s="29" customFormat="1" x14ac:dyDescent="0.25">
      <c r="C163" s="990" t="s">
        <v>5</v>
      </c>
      <c r="D163" s="990"/>
      <c r="E163" s="990"/>
      <c r="F163" s="992" t="s">
        <v>23</v>
      </c>
      <c r="G163" s="991"/>
      <c r="H163" s="991"/>
      <c r="I163" s="991"/>
      <c r="J163" s="991"/>
      <c r="AA163" s="114" t="s">
        <v>2326</v>
      </c>
      <c r="AB163" s="114">
        <f>$AO$26/2</f>
        <v>476.87414947063905</v>
      </c>
    </row>
    <row r="164" spans="3:31" s="29" customFormat="1" x14ac:dyDescent="0.25">
      <c r="C164" s="990"/>
      <c r="D164" s="990"/>
      <c r="E164" s="990"/>
      <c r="F164" s="991"/>
      <c r="G164" s="991"/>
      <c r="H164" s="991"/>
      <c r="I164" s="991"/>
      <c r="J164" s="991"/>
      <c r="Q164" s="114" t="s">
        <v>1681</v>
      </c>
      <c r="R164" s="114">
        <f>U162</f>
        <v>20125.512398487554</v>
      </c>
      <c r="S164" s="608" t="s">
        <v>2142</v>
      </c>
      <c r="T164" s="608">
        <f>(R164*100)/R171</f>
        <v>52.766004839553915</v>
      </c>
      <c r="AA164" s="114" t="s">
        <v>2325</v>
      </c>
      <c r="AB164" s="114">
        <f>$AO$27/4</f>
        <v>18.899999999999999</v>
      </c>
    </row>
    <row r="165" spans="3:31" s="29" customFormat="1" x14ac:dyDescent="0.25">
      <c r="C165" s="990"/>
      <c r="D165" s="990"/>
      <c r="E165" s="990"/>
      <c r="F165" s="991"/>
      <c r="G165" s="991"/>
      <c r="H165" s="991"/>
      <c r="I165" s="991"/>
      <c r="J165" s="991"/>
      <c r="Q165" s="114" t="s">
        <v>2326</v>
      </c>
      <c r="R165" s="114">
        <f>$AL$26</f>
        <v>1801.715474357886</v>
      </c>
      <c r="AA165" s="114" t="s">
        <v>1684</v>
      </c>
      <c r="AB165" s="114">
        <f>$AO$29</f>
        <v>1547.3435977313275</v>
      </c>
    </row>
    <row r="166" spans="3:31" s="29" customFormat="1" x14ac:dyDescent="0.25">
      <c r="C166" s="990" t="s">
        <v>6</v>
      </c>
      <c r="D166" s="990"/>
      <c r="E166" s="990"/>
      <c r="F166" s="991" t="s">
        <v>9</v>
      </c>
      <c r="G166" s="991"/>
      <c r="H166" s="991"/>
      <c r="I166" s="991"/>
      <c r="J166" s="991"/>
      <c r="Q166" s="114" t="s">
        <v>2325</v>
      </c>
      <c r="R166" s="114">
        <f>$AL$27</f>
        <v>75.599999999999994</v>
      </c>
      <c r="AA166" s="114" t="s">
        <v>1685</v>
      </c>
      <c r="AB166" s="114">
        <v>0.6</v>
      </c>
    </row>
    <row r="167" spans="3:31" s="29" customFormat="1" x14ac:dyDescent="0.25">
      <c r="C167" s="990"/>
      <c r="D167" s="990"/>
      <c r="E167" s="990"/>
      <c r="F167" s="991"/>
      <c r="G167" s="991"/>
      <c r="H167" s="991"/>
      <c r="I167" s="991"/>
      <c r="J167" s="991"/>
      <c r="Q167" s="114" t="s">
        <v>1684</v>
      </c>
      <c r="R167" s="114">
        <f>$AL$29</f>
        <v>69.543532482306858</v>
      </c>
      <c r="AA167" s="114" t="s">
        <v>1708</v>
      </c>
      <c r="AB167" s="114">
        <f>(SUM(AB162:AB165)*AB166)+SUM(AB162:AB165)</f>
        <v>12868.444395523145</v>
      </c>
    </row>
    <row r="168" spans="3:31" s="29" customFormat="1" x14ac:dyDescent="0.25">
      <c r="C168" s="990"/>
      <c r="D168" s="990"/>
      <c r="E168" s="990"/>
      <c r="F168" s="991"/>
      <c r="G168" s="991"/>
      <c r="H168" s="991"/>
      <c r="I168" s="991"/>
      <c r="J168" s="991"/>
      <c r="Q168" s="114" t="s">
        <v>1685</v>
      </c>
      <c r="R168" s="114">
        <v>0.6</v>
      </c>
      <c r="AA168" s="114" t="s">
        <v>2130</v>
      </c>
      <c r="AB168" s="114">
        <f>AB167*0.08</f>
        <v>1029.4755516418516</v>
      </c>
    </row>
    <row r="169" spans="3:31" s="29" customFormat="1" x14ac:dyDescent="0.25">
      <c r="C169" s="990" t="s">
        <v>7</v>
      </c>
      <c r="D169" s="990"/>
      <c r="E169" s="990"/>
      <c r="F169" s="992" t="s">
        <v>560</v>
      </c>
      <c r="G169" s="991"/>
      <c r="H169" s="991"/>
      <c r="I169" s="991"/>
      <c r="J169" s="991"/>
      <c r="Q169" s="114" t="s">
        <v>1708</v>
      </c>
      <c r="R169" s="114">
        <f>(SUM(R164:R167)*R168)+SUM(R164:R167)</f>
        <v>35315.794248524398</v>
      </c>
      <c r="AA169" s="114" t="s">
        <v>1686</v>
      </c>
      <c r="AB169" s="114">
        <f>SUM(AB167+AB168)</f>
        <v>13897.919947164997</v>
      </c>
    </row>
    <row r="170" spans="3:31" s="29" customFormat="1" x14ac:dyDescent="0.25">
      <c r="C170" s="990"/>
      <c r="D170" s="990"/>
      <c r="E170" s="990"/>
      <c r="F170" s="991"/>
      <c r="G170" s="991"/>
      <c r="H170" s="991"/>
      <c r="I170" s="991"/>
      <c r="J170" s="991"/>
      <c r="Q170" s="114" t="s">
        <v>2130</v>
      </c>
      <c r="R170" s="114">
        <f>R169*0.08</f>
        <v>2825.2635398819521</v>
      </c>
    </row>
    <row r="171" spans="3:31" s="29" customFormat="1" x14ac:dyDescent="0.25">
      <c r="C171" s="990"/>
      <c r="D171" s="990"/>
      <c r="E171" s="990"/>
      <c r="F171" s="991"/>
      <c r="G171" s="991"/>
      <c r="H171" s="991"/>
      <c r="I171" s="991"/>
      <c r="J171" s="991"/>
      <c r="Q171" s="114" t="s">
        <v>1686</v>
      </c>
      <c r="R171" s="114">
        <f>SUM(R169+R170)</f>
        <v>38141.057788406353</v>
      </c>
    </row>
    <row r="172" spans="3:31" s="29" customFormat="1" x14ac:dyDescent="0.25"/>
    <row r="173" spans="3:31" s="29" customFormat="1" x14ac:dyDescent="0.25"/>
    <row r="174" spans="3:31" s="29" customFormat="1" x14ac:dyDescent="0.25">
      <c r="C174" s="993" t="s">
        <v>8</v>
      </c>
      <c r="D174" s="993"/>
      <c r="E174" s="993"/>
      <c r="F174" s="993"/>
      <c r="G174" s="993"/>
      <c r="H174" s="993"/>
      <c r="I174" s="993"/>
      <c r="J174" s="993"/>
    </row>
    <row r="175" spans="3:31" s="29" customFormat="1" x14ac:dyDescent="0.25">
      <c r="C175" s="989" t="s">
        <v>0</v>
      </c>
      <c r="D175" s="989"/>
      <c r="E175" s="989"/>
      <c r="F175" s="989" t="s">
        <v>1</v>
      </c>
      <c r="G175" s="989"/>
      <c r="H175" s="989"/>
      <c r="I175" s="989"/>
      <c r="J175" s="989"/>
    </row>
    <row r="176" spans="3:31" s="29" customFormat="1" x14ac:dyDescent="0.25">
      <c r="C176" s="990" t="s">
        <v>2</v>
      </c>
      <c r="D176" s="990"/>
      <c r="E176" s="990"/>
      <c r="F176" s="991" t="s">
        <v>25</v>
      </c>
      <c r="G176" s="991"/>
      <c r="H176" s="991"/>
      <c r="I176" s="991"/>
      <c r="J176" s="991"/>
      <c r="M176" s="113" t="s">
        <v>336</v>
      </c>
      <c r="N176" s="113" t="s">
        <v>174</v>
      </c>
      <c r="O176" s="113" t="s">
        <v>248</v>
      </c>
      <c r="P176" s="113" t="s">
        <v>176</v>
      </c>
      <c r="Q176" s="113" t="s">
        <v>337</v>
      </c>
      <c r="R176" s="113" t="s">
        <v>1641</v>
      </c>
      <c r="S176" s="113" t="s">
        <v>1642</v>
      </c>
      <c r="T176" s="113" t="s">
        <v>1643</v>
      </c>
      <c r="U176" s="113" t="s">
        <v>1644</v>
      </c>
      <c r="W176" s="994" t="s">
        <v>1461</v>
      </c>
      <c r="X176" s="994"/>
      <c r="Y176" s="994"/>
      <c r="Z176" s="994"/>
      <c r="AA176" s="994"/>
      <c r="AB176" s="994"/>
      <c r="AC176" s="994"/>
      <c r="AD176" s="994"/>
      <c r="AE176" s="994"/>
    </row>
    <row r="177" spans="3:31" s="29" customFormat="1" x14ac:dyDescent="0.25">
      <c r="C177" s="990"/>
      <c r="D177" s="990"/>
      <c r="E177" s="990"/>
      <c r="F177" s="991"/>
      <c r="G177" s="991"/>
      <c r="H177" s="991"/>
      <c r="I177" s="991"/>
      <c r="J177" s="991"/>
      <c r="M177" s="114" t="s">
        <v>344</v>
      </c>
      <c r="N177" s="114">
        <f>E23</f>
        <v>2099.0723984875517</v>
      </c>
      <c r="O177" s="114" t="str">
        <f>D23</f>
        <v>g</v>
      </c>
      <c r="P177" s="114">
        <v>100</v>
      </c>
      <c r="Q177" s="114">
        <f>N177</f>
        <v>2099.0723984875517</v>
      </c>
      <c r="R177" s="114">
        <v>0</v>
      </c>
      <c r="S177" s="114">
        <f t="shared" ref="S177:S182" si="31">P177*R177</f>
        <v>0</v>
      </c>
      <c r="T177" s="114">
        <f t="shared" ref="T177:T182" si="32">P177-S177</f>
        <v>100</v>
      </c>
      <c r="U177" s="114">
        <f>Q177+((S177*Q177)/P177)</f>
        <v>2099.0723984875517</v>
      </c>
      <c r="W177" s="113" t="s">
        <v>336</v>
      </c>
      <c r="X177" s="113" t="s">
        <v>174</v>
      </c>
      <c r="Y177" s="113" t="s">
        <v>248</v>
      </c>
      <c r="Z177" s="113" t="s">
        <v>176</v>
      </c>
      <c r="AA177" s="113" t="s">
        <v>337</v>
      </c>
      <c r="AB177" s="113" t="s">
        <v>1641</v>
      </c>
      <c r="AC177" s="113" t="s">
        <v>1642</v>
      </c>
      <c r="AD177" s="113" t="s">
        <v>1643</v>
      </c>
      <c r="AE177" s="113" t="s">
        <v>1644</v>
      </c>
    </row>
    <row r="178" spans="3:31" s="29" customFormat="1" x14ac:dyDescent="0.25">
      <c r="C178" s="990"/>
      <c r="D178" s="990"/>
      <c r="E178" s="990"/>
      <c r="F178" s="991"/>
      <c r="G178" s="991"/>
      <c r="H178" s="991"/>
      <c r="I178" s="991"/>
      <c r="J178" s="991"/>
      <c r="M178" s="114" t="s">
        <v>340</v>
      </c>
      <c r="N178" s="114">
        <f>Y20</f>
        <v>0.64</v>
      </c>
      <c r="O178" s="114" t="str">
        <f>X20</f>
        <v>g</v>
      </c>
      <c r="P178" s="114">
        <v>2</v>
      </c>
      <c r="Q178" s="114">
        <f>N178*P178</f>
        <v>1.28</v>
      </c>
      <c r="R178" s="114">
        <v>0</v>
      </c>
      <c r="S178" s="114">
        <f t="shared" si="31"/>
        <v>0</v>
      </c>
      <c r="T178" s="114">
        <f t="shared" si="32"/>
        <v>2</v>
      </c>
      <c r="U178" s="114">
        <f t="shared" ref="U178:U182" si="33">Q178+((S178*Q178)/P178)</f>
        <v>1.28</v>
      </c>
      <c r="W178" s="114" t="s">
        <v>430</v>
      </c>
      <c r="X178" s="153">
        <f>P10</f>
        <v>0.7</v>
      </c>
      <c r="Y178" s="114" t="str">
        <f>O10</f>
        <v>g</v>
      </c>
      <c r="Z178" s="114">
        <v>20</v>
      </c>
      <c r="AA178" s="114">
        <f t="shared" ref="AA178:AA186" si="34">X178*Z178</f>
        <v>14</v>
      </c>
      <c r="AB178" s="114">
        <f>AJ7</f>
        <v>0.15</v>
      </c>
      <c r="AC178" s="114">
        <f>Z178*AB178</f>
        <v>3</v>
      </c>
      <c r="AD178" s="114">
        <f>Z178-AC178</f>
        <v>17</v>
      </c>
      <c r="AE178" s="114">
        <f>AA178+((AC178*AA178)/Z178)</f>
        <v>16.100000000000001</v>
      </c>
    </row>
    <row r="179" spans="3:31" s="29" customFormat="1" x14ac:dyDescent="0.25">
      <c r="C179" s="989" t="s">
        <v>0</v>
      </c>
      <c r="D179" s="989"/>
      <c r="E179" s="989"/>
      <c r="F179" s="989" t="s">
        <v>1</v>
      </c>
      <c r="G179" s="989"/>
      <c r="H179" s="989"/>
      <c r="I179" s="989"/>
      <c r="J179" s="989"/>
      <c r="M179" s="114" t="s">
        <v>346</v>
      </c>
      <c r="N179" s="114">
        <f>P3</f>
        <v>7</v>
      </c>
      <c r="O179" s="114" t="str">
        <f>O3</f>
        <v>g</v>
      </c>
      <c r="P179" s="114">
        <v>6</v>
      </c>
      <c r="Q179" s="114">
        <f>N179*P179</f>
        <v>42</v>
      </c>
      <c r="R179" s="114">
        <f>AJ2</f>
        <v>0.23</v>
      </c>
      <c r="S179" s="114">
        <f t="shared" si="31"/>
        <v>1.3800000000000001</v>
      </c>
      <c r="T179" s="114">
        <f t="shared" si="32"/>
        <v>4.62</v>
      </c>
      <c r="U179" s="114">
        <f t="shared" si="33"/>
        <v>51.660000000000004</v>
      </c>
      <c r="W179" s="114" t="s">
        <v>429</v>
      </c>
      <c r="X179" s="114">
        <f>P29</f>
        <v>1.8</v>
      </c>
      <c r="Y179" s="114" t="str">
        <f>O29</f>
        <v>g</v>
      </c>
      <c r="Z179" s="114">
        <v>60</v>
      </c>
      <c r="AA179" s="114">
        <f t="shared" si="34"/>
        <v>108</v>
      </c>
      <c r="AB179" s="114">
        <f>AJ18</f>
        <v>0.05</v>
      </c>
      <c r="AC179" s="114">
        <f t="shared" ref="AC179:AC186" si="35">Z179*AB179</f>
        <v>3</v>
      </c>
      <c r="AD179" s="114">
        <f t="shared" ref="AD179:AD186" si="36">Z179-AC179</f>
        <v>57</v>
      </c>
      <c r="AE179" s="114">
        <f t="shared" ref="AE179:AE186" si="37">AA179+((AC179*AA179)/Z179)</f>
        <v>113.4</v>
      </c>
    </row>
    <row r="180" spans="3:31" s="29" customFormat="1" x14ac:dyDescent="0.25">
      <c r="C180" s="990" t="s">
        <v>3</v>
      </c>
      <c r="D180" s="990"/>
      <c r="E180" s="990"/>
      <c r="F180" s="992" t="s">
        <v>26</v>
      </c>
      <c r="G180" s="991"/>
      <c r="H180" s="991"/>
      <c r="I180" s="991"/>
      <c r="J180" s="991"/>
      <c r="M180" s="114" t="s">
        <v>431</v>
      </c>
      <c r="N180" s="114">
        <f>P19</f>
        <v>10.28</v>
      </c>
      <c r="O180" s="114" t="str">
        <f>O19</f>
        <v>g</v>
      </c>
      <c r="P180" s="114">
        <v>3</v>
      </c>
      <c r="Q180" s="114">
        <f>N180*P180</f>
        <v>30.839999999999996</v>
      </c>
      <c r="R180" s="114">
        <f>AJ15</f>
        <v>0.26</v>
      </c>
      <c r="S180" s="114">
        <f t="shared" si="31"/>
        <v>0.78</v>
      </c>
      <c r="T180" s="114">
        <f t="shared" si="32"/>
        <v>2.2199999999999998</v>
      </c>
      <c r="U180" s="114">
        <f t="shared" si="33"/>
        <v>38.858399999999996</v>
      </c>
      <c r="W180" s="114" t="s">
        <v>442</v>
      </c>
      <c r="X180" s="114">
        <f>Y3</f>
        <v>30</v>
      </c>
      <c r="Y180" s="114" t="str">
        <f>X3</f>
        <v>g</v>
      </c>
      <c r="Z180" s="114">
        <v>8</v>
      </c>
      <c r="AA180" s="114">
        <f t="shared" si="34"/>
        <v>240</v>
      </c>
      <c r="AB180" s="114">
        <v>0</v>
      </c>
      <c r="AC180" s="114">
        <f t="shared" si="35"/>
        <v>0</v>
      </c>
      <c r="AD180" s="114">
        <f t="shared" si="36"/>
        <v>8</v>
      </c>
      <c r="AE180" s="114">
        <f t="shared" si="37"/>
        <v>240</v>
      </c>
    </row>
    <row r="181" spans="3:31" s="29" customFormat="1" x14ac:dyDescent="0.25">
      <c r="C181" s="990"/>
      <c r="D181" s="990"/>
      <c r="E181" s="990"/>
      <c r="F181" s="991"/>
      <c r="G181" s="991"/>
      <c r="H181" s="991"/>
      <c r="I181" s="991"/>
      <c r="J181" s="991"/>
      <c r="M181" s="114" t="s">
        <v>441</v>
      </c>
      <c r="N181" s="114">
        <f>AE187</f>
        <v>7214.81</v>
      </c>
      <c r="O181" s="114" t="s">
        <v>1388</v>
      </c>
      <c r="P181" s="114">
        <v>120</v>
      </c>
      <c r="Q181" s="114">
        <f>N181</f>
        <v>7214.81</v>
      </c>
      <c r="R181" s="114">
        <v>0</v>
      </c>
      <c r="S181" s="114">
        <f t="shared" si="31"/>
        <v>0</v>
      </c>
      <c r="T181" s="114">
        <f t="shared" si="32"/>
        <v>120</v>
      </c>
      <c r="U181" s="114">
        <f t="shared" si="33"/>
        <v>7214.81</v>
      </c>
      <c r="W181" s="114" t="s">
        <v>561</v>
      </c>
      <c r="X181" s="114">
        <f>Y18</f>
        <v>223.57</v>
      </c>
      <c r="Y181" s="114" t="str">
        <f>X18</f>
        <v>g</v>
      </c>
      <c r="Z181" s="114">
        <v>6</v>
      </c>
      <c r="AA181" s="114">
        <f t="shared" si="34"/>
        <v>1341.42</v>
      </c>
      <c r="AB181" s="114">
        <v>0</v>
      </c>
      <c r="AC181" s="114">
        <f t="shared" si="35"/>
        <v>0</v>
      </c>
      <c r="AD181" s="114">
        <f t="shared" si="36"/>
        <v>6</v>
      </c>
      <c r="AE181" s="114">
        <f t="shared" si="37"/>
        <v>1341.42</v>
      </c>
    </row>
    <row r="182" spans="3:31" s="29" customFormat="1" x14ac:dyDescent="0.25">
      <c r="C182" s="990"/>
      <c r="D182" s="990"/>
      <c r="E182" s="990"/>
      <c r="F182" s="991"/>
      <c r="G182" s="991"/>
      <c r="H182" s="991"/>
      <c r="I182" s="991"/>
      <c r="J182" s="991"/>
      <c r="M182" s="114" t="s">
        <v>427</v>
      </c>
      <c r="N182" s="114">
        <f>S8</f>
        <v>59</v>
      </c>
      <c r="O182" s="114" t="str">
        <f>R8</f>
        <v>g</v>
      </c>
      <c r="P182" s="114">
        <v>90</v>
      </c>
      <c r="Q182" s="114">
        <f>N182*P182</f>
        <v>5310</v>
      </c>
      <c r="R182" s="114">
        <f>AN4</f>
        <v>0.41</v>
      </c>
      <c r="S182" s="114">
        <f t="shared" si="31"/>
        <v>36.9</v>
      </c>
      <c r="T182" s="114">
        <f t="shared" si="32"/>
        <v>53.1</v>
      </c>
      <c r="U182" s="114">
        <f t="shared" si="33"/>
        <v>7487.1</v>
      </c>
      <c r="W182" s="114" t="s">
        <v>443</v>
      </c>
      <c r="X182" s="114">
        <f>Y7</f>
        <v>3.6</v>
      </c>
      <c r="Y182" s="114" t="str">
        <f>X7</f>
        <v>g</v>
      </c>
      <c r="Z182" s="114">
        <v>5</v>
      </c>
      <c r="AA182" s="114">
        <f t="shared" si="34"/>
        <v>18</v>
      </c>
      <c r="AB182" s="114">
        <v>0</v>
      </c>
      <c r="AC182" s="114">
        <f t="shared" si="35"/>
        <v>0</v>
      </c>
      <c r="AD182" s="114">
        <f t="shared" si="36"/>
        <v>5</v>
      </c>
      <c r="AE182" s="114">
        <f t="shared" si="37"/>
        <v>18</v>
      </c>
    </row>
    <row r="183" spans="3:31" s="29" customFormat="1" x14ac:dyDescent="0.25">
      <c r="C183" s="990" t="s">
        <v>4</v>
      </c>
      <c r="D183" s="990"/>
      <c r="E183" s="990"/>
      <c r="F183" s="991" t="s">
        <v>15</v>
      </c>
      <c r="G183" s="991"/>
      <c r="H183" s="991"/>
      <c r="I183" s="991"/>
      <c r="J183" s="991"/>
      <c r="M183" s="114"/>
      <c r="N183" s="114"/>
      <c r="O183" s="114"/>
      <c r="P183" s="114"/>
      <c r="Q183" s="114"/>
      <c r="R183" s="114"/>
      <c r="S183" s="114"/>
      <c r="T183" s="114"/>
      <c r="U183" s="114"/>
      <c r="W183" s="114" t="s">
        <v>444</v>
      </c>
      <c r="X183" s="114">
        <f>AE3</f>
        <v>49.18</v>
      </c>
      <c r="Y183" s="114" t="str">
        <f>AD3</f>
        <v>mL</v>
      </c>
      <c r="Z183" s="114">
        <v>20</v>
      </c>
      <c r="AA183" s="114">
        <f t="shared" si="34"/>
        <v>983.6</v>
      </c>
      <c r="AB183" s="114">
        <v>0</v>
      </c>
      <c r="AC183" s="114">
        <f t="shared" si="35"/>
        <v>0</v>
      </c>
      <c r="AD183" s="114">
        <f t="shared" si="36"/>
        <v>20</v>
      </c>
      <c r="AE183" s="114">
        <f t="shared" si="37"/>
        <v>983.6</v>
      </c>
    </row>
    <row r="184" spans="3:31" s="29" customFormat="1" x14ac:dyDescent="0.25">
      <c r="C184" s="990"/>
      <c r="D184" s="990"/>
      <c r="E184" s="990"/>
      <c r="F184" s="991"/>
      <c r="G184" s="991"/>
      <c r="H184" s="991"/>
      <c r="I184" s="991"/>
      <c r="J184" s="991"/>
      <c r="M184" s="114"/>
      <c r="N184" s="114"/>
      <c r="O184" s="114"/>
      <c r="P184" s="114"/>
      <c r="Q184" s="114"/>
      <c r="R184" s="114"/>
      <c r="S184" s="114"/>
      <c r="T184" s="114"/>
      <c r="U184" s="114"/>
      <c r="W184" s="114" t="s">
        <v>432</v>
      </c>
      <c r="X184" s="114">
        <f>S8</f>
        <v>59</v>
      </c>
      <c r="Y184" s="114" t="str">
        <f>R8</f>
        <v>g</v>
      </c>
      <c r="Z184" s="114">
        <v>35</v>
      </c>
      <c r="AA184" s="114">
        <f t="shared" si="34"/>
        <v>2065</v>
      </c>
      <c r="AB184" s="114">
        <f>AN4</f>
        <v>0.41</v>
      </c>
      <c r="AC184" s="114">
        <f t="shared" si="35"/>
        <v>14.35</v>
      </c>
      <c r="AD184" s="114">
        <f t="shared" si="36"/>
        <v>20.65</v>
      </c>
      <c r="AE184" s="114">
        <f t="shared" si="37"/>
        <v>2911.65</v>
      </c>
    </row>
    <row r="185" spans="3:31" s="29" customFormat="1" x14ac:dyDescent="0.25">
      <c r="C185" s="990"/>
      <c r="D185" s="990"/>
      <c r="E185" s="990"/>
      <c r="F185" s="991"/>
      <c r="G185" s="991"/>
      <c r="H185" s="991"/>
      <c r="I185" s="991"/>
      <c r="J185" s="991"/>
      <c r="M185" s="114" t="s">
        <v>337</v>
      </c>
      <c r="N185" s="114">
        <f>SUM(N177:N184)</f>
        <v>9390.8023984875526</v>
      </c>
      <c r="O185" s="114"/>
      <c r="P185" s="114">
        <f>SUM(P177:P184)</f>
        <v>321</v>
      </c>
      <c r="Q185" s="114">
        <f>SUM(Q177:Q184)</f>
        <v>14698.002398487552</v>
      </c>
      <c r="R185" s="114"/>
      <c r="S185" s="114"/>
      <c r="T185" s="114"/>
      <c r="U185" s="114">
        <f>SUM(U177:U184)</f>
        <v>16892.780798487554</v>
      </c>
      <c r="W185" s="114" t="s">
        <v>445</v>
      </c>
      <c r="X185" s="114">
        <f>Y15</f>
        <v>159</v>
      </c>
      <c r="Y185" s="114" t="str">
        <f>X15</f>
        <v>g</v>
      </c>
      <c r="Z185" s="114">
        <v>10</v>
      </c>
      <c r="AA185" s="114">
        <f t="shared" si="34"/>
        <v>1590</v>
      </c>
      <c r="AB185" s="114">
        <v>0</v>
      </c>
      <c r="AC185" s="114">
        <f t="shared" si="35"/>
        <v>0</v>
      </c>
      <c r="AD185" s="114">
        <f t="shared" si="36"/>
        <v>10</v>
      </c>
      <c r="AE185" s="114">
        <f t="shared" si="37"/>
        <v>1590</v>
      </c>
    </row>
    <row r="186" spans="3:31" s="29" customFormat="1" x14ac:dyDescent="0.25">
      <c r="C186" s="990" t="s">
        <v>5</v>
      </c>
      <c r="D186" s="990"/>
      <c r="E186" s="990"/>
      <c r="F186" s="992" t="s">
        <v>27</v>
      </c>
      <c r="G186" s="991"/>
      <c r="H186" s="991"/>
      <c r="I186" s="991"/>
      <c r="J186" s="991"/>
      <c r="W186" s="114" t="s">
        <v>340</v>
      </c>
      <c r="X186" s="114">
        <f>Y20</f>
        <v>0.64</v>
      </c>
      <c r="Y186" s="114" t="str">
        <f>X20</f>
        <v>g</v>
      </c>
      <c r="Z186" s="114">
        <v>1</v>
      </c>
      <c r="AA186" s="114">
        <f t="shared" si="34"/>
        <v>0.64</v>
      </c>
      <c r="AB186" s="114">
        <v>0</v>
      </c>
      <c r="AC186" s="114">
        <f t="shared" si="35"/>
        <v>0</v>
      </c>
      <c r="AD186" s="114">
        <f t="shared" si="36"/>
        <v>1</v>
      </c>
      <c r="AE186" s="114">
        <f t="shared" si="37"/>
        <v>0.64</v>
      </c>
    </row>
    <row r="187" spans="3:31" s="29" customFormat="1" x14ac:dyDescent="0.25">
      <c r="C187" s="990"/>
      <c r="D187" s="990"/>
      <c r="E187" s="990"/>
      <c r="F187" s="991"/>
      <c r="G187" s="991"/>
      <c r="H187" s="991"/>
      <c r="I187" s="991"/>
      <c r="J187" s="991"/>
      <c r="Q187" s="114" t="s">
        <v>1681</v>
      </c>
      <c r="R187" s="114">
        <f>U185</f>
        <v>16892.780798487554</v>
      </c>
      <c r="S187" s="608" t="s">
        <v>2142</v>
      </c>
      <c r="T187" s="608">
        <f>(R187*100)/R194</f>
        <v>51.890136515109916</v>
      </c>
      <c r="W187" s="114" t="s">
        <v>337</v>
      </c>
      <c r="X187" s="114">
        <f>SUM(X178:X186)</f>
        <v>527.49</v>
      </c>
      <c r="Y187" s="114"/>
      <c r="Z187" s="114">
        <f>SUM(Z178:Z186)</f>
        <v>165</v>
      </c>
      <c r="AA187" s="114">
        <f>SUM(AA178:AA186)</f>
        <v>6360.6600000000008</v>
      </c>
      <c r="AB187" s="114"/>
      <c r="AC187" s="114"/>
      <c r="AD187" s="114"/>
      <c r="AE187" s="114">
        <f>SUM(AE178:AE186)</f>
        <v>7214.81</v>
      </c>
    </row>
    <row r="188" spans="3:31" s="29" customFormat="1" x14ac:dyDescent="0.25">
      <c r="C188" s="990"/>
      <c r="D188" s="990"/>
      <c r="E188" s="990"/>
      <c r="F188" s="991"/>
      <c r="G188" s="991"/>
      <c r="H188" s="991"/>
      <c r="I188" s="991"/>
      <c r="J188" s="991"/>
      <c r="Q188" s="114" t="s">
        <v>2326</v>
      </c>
      <c r="R188" s="114">
        <f>$AL$26</f>
        <v>1801.715474357886</v>
      </c>
    </row>
    <row r="189" spans="3:31" s="29" customFormat="1" x14ac:dyDescent="0.25">
      <c r="C189" s="990" t="s">
        <v>6</v>
      </c>
      <c r="D189" s="990"/>
      <c r="E189" s="990"/>
      <c r="F189" s="991" t="s">
        <v>9</v>
      </c>
      <c r="G189" s="991"/>
      <c r="H189" s="991"/>
      <c r="I189" s="991"/>
      <c r="J189" s="991"/>
      <c r="Q189" s="114" t="s">
        <v>2325</v>
      </c>
      <c r="R189" s="114">
        <f>$AL$27</f>
        <v>75.599999999999994</v>
      </c>
      <c r="AA189" s="114" t="s">
        <v>1681</v>
      </c>
      <c r="AB189" s="114">
        <f>AE187</f>
        <v>7214.81</v>
      </c>
      <c r="AC189" s="608" t="s">
        <v>2142</v>
      </c>
      <c r="AD189" s="608">
        <f>(AB189*100)/AB196</f>
        <v>45.099047892012386</v>
      </c>
    </row>
    <row r="190" spans="3:31" s="29" customFormat="1" x14ac:dyDescent="0.25">
      <c r="C190" s="990"/>
      <c r="D190" s="990"/>
      <c r="E190" s="990"/>
      <c r="F190" s="991"/>
      <c r="G190" s="991"/>
      <c r="H190" s="991"/>
      <c r="I190" s="991"/>
      <c r="J190" s="991"/>
      <c r="Q190" s="114" t="s">
        <v>1684</v>
      </c>
      <c r="R190" s="114">
        <f>$AL$29</f>
        <v>69.543532482306858</v>
      </c>
      <c r="AA190" s="114" t="s">
        <v>2326</v>
      </c>
      <c r="AB190" s="114">
        <f>$AO$26/2</f>
        <v>476.87414947063905</v>
      </c>
    </row>
    <row r="191" spans="3:31" s="29" customFormat="1" x14ac:dyDescent="0.25">
      <c r="C191" s="990"/>
      <c r="D191" s="990"/>
      <c r="E191" s="990"/>
      <c r="F191" s="991"/>
      <c r="G191" s="991"/>
      <c r="H191" s="991"/>
      <c r="I191" s="991"/>
      <c r="J191" s="991"/>
      <c r="Q191" s="114" t="s">
        <v>1685</v>
      </c>
      <c r="R191" s="114">
        <v>0.6</v>
      </c>
      <c r="AA191" s="114" t="s">
        <v>2325</v>
      </c>
      <c r="AB191" s="114">
        <f>$AO$27/4</f>
        <v>18.899999999999999</v>
      </c>
    </row>
    <row r="192" spans="3:31" s="29" customFormat="1" x14ac:dyDescent="0.25">
      <c r="C192" s="990" t="s">
        <v>7</v>
      </c>
      <c r="D192" s="990"/>
      <c r="E192" s="990"/>
      <c r="F192" s="992" t="s">
        <v>562</v>
      </c>
      <c r="G192" s="991"/>
      <c r="H192" s="991"/>
      <c r="I192" s="991"/>
      <c r="J192" s="991"/>
      <c r="Q192" s="114" t="s">
        <v>1708</v>
      </c>
      <c r="R192" s="114">
        <f>(SUM(R187:R190)*R191)+SUM(R187:R190)</f>
        <v>30143.423688524395</v>
      </c>
      <c r="AA192" s="114" t="s">
        <v>1684</v>
      </c>
      <c r="AB192" s="114">
        <f>$AO$29</f>
        <v>1547.3435977313275</v>
      </c>
    </row>
    <row r="193" spans="3:31" s="29" customFormat="1" x14ac:dyDescent="0.25">
      <c r="C193" s="990"/>
      <c r="D193" s="990"/>
      <c r="E193" s="990"/>
      <c r="F193" s="991"/>
      <c r="G193" s="991"/>
      <c r="H193" s="991"/>
      <c r="I193" s="991"/>
      <c r="J193" s="991"/>
      <c r="Q193" s="114" t="s">
        <v>2130</v>
      </c>
      <c r="R193" s="114">
        <f>R192*0.08</f>
        <v>2411.4738950819515</v>
      </c>
      <c r="AA193" s="114" t="s">
        <v>1685</v>
      </c>
      <c r="AB193" s="114">
        <v>0.6</v>
      </c>
    </row>
    <row r="194" spans="3:31" s="29" customFormat="1" x14ac:dyDescent="0.25">
      <c r="C194" s="990"/>
      <c r="D194" s="990"/>
      <c r="E194" s="990"/>
      <c r="F194" s="991"/>
      <c r="G194" s="991"/>
      <c r="H194" s="991"/>
      <c r="I194" s="991"/>
      <c r="J194" s="991"/>
      <c r="Q194" s="114" t="s">
        <v>1686</v>
      </c>
      <c r="R194" s="114">
        <f>SUM(R192+R193)</f>
        <v>32554.897583606347</v>
      </c>
      <c r="AA194" s="114" t="s">
        <v>1708</v>
      </c>
      <c r="AB194" s="114">
        <f>(SUM(AB189:AB192)*AB193)+SUM(AB189:AB192)</f>
        <v>14812.684395523149</v>
      </c>
    </row>
    <row r="195" spans="3:31" s="29" customFormat="1" x14ac:dyDescent="0.25">
      <c r="AA195" s="114" t="s">
        <v>2130</v>
      </c>
      <c r="AB195" s="114">
        <f>AB194*0.08</f>
        <v>1185.0147516418519</v>
      </c>
    </row>
    <row r="196" spans="3:31" s="29" customFormat="1" x14ac:dyDescent="0.25">
      <c r="AA196" s="114" t="s">
        <v>1686</v>
      </c>
      <c r="AB196" s="114">
        <f>SUM(AB194+AB195)</f>
        <v>15997.699147165</v>
      </c>
    </row>
    <row r="197" spans="3:31" s="29" customFormat="1" x14ac:dyDescent="0.25"/>
    <row r="198" spans="3:31" s="29" customFormat="1" x14ac:dyDescent="0.25">
      <c r="C198" s="993" t="s">
        <v>8</v>
      </c>
      <c r="D198" s="993"/>
      <c r="E198" s="993"/>
      <c r="F198" s="993"/>
      <c r="G198" s="993"/>
      <c r="H198" s="993"/>
      <c r="I198" s="993"/>
      <c r="J198" s="993"/>
    </row>
    <row r="199" spans="3:31" s="29" customFormat="1" x14ac:dyDescent="0.25">
      <c r="C199" s="989" t="s">
        <v>0</v>
      </c>
      <c r="D199" s="989"/>
      <c r="E199" s="989"/>
      <c r="F199" s="989" t="s">
        <v>1</v>
      </c>
      <c r="G199" s="989"/>
      <c r="H199" s="989"/>
      <c r="I199" s="989"/>
      <c r="J199" s="989"/>
    </row>
    <row r="200" spans="3:31" s="29" customFormat="1" x14ac:dyDescent="0.25">
      <c r="C200" s="990" t="s">
        <v>2</v>
      </c>
      <c r="D200" s="990"/>
      <c r="E200" s="990"/>
      <c r="F200" s="991" t="s">
        <v>28</v>
      </c>
      <c r="G200" s="991"/>
      <c r="H200" s="991"/>
      <c r="I200" s="991"/>
      <c r="J200" s="991"/>
      <c r="M200" s="113" t="s">
        <v>336</v>
      </c>
      <c r="N200" s="113" t="s">
        <v>174</v>
      </c>
      <c r="O200" s="113" t="s">
        <v>248</v>
      </c>
      <c r="P200" s="113" t="s">
        <v>176</v>
      </c>
      <c r="Q200" s="113" t="s">
        <v>337</v>
      </c>
      <c r="R200" s="113" t="s">
        <v>1641</v>
      </c>
      <c r="S200" s="113" t="s">
        <v>1642</v>
      </c>
      <c r="T200" s="113" t="s">
        <v>1643</v>
      </c>
      <c r="U200" s="113" t="s">
        <v>1644</v>
      </c>
      <c r="W200" s="994" t="s">
        <v>1462</v>
      </c>
      <c r="X200" s="994"/>
      <c r="Y200" s="994"/>
      <c r="Z200" s="994"/>
      <c r="AA200" s="994"/>
      <c r="AB200" s="994"/>
      <c r="AC200" s="994"/>
      <c r="AD200" s="994"/>
      <c r="AE200" s="994"/>
    </row>
    <row r="201" spans="3:31" s="29" customFormat="1" x14ac:dyDescent="0.25">
      <c r="C201" s="990"/>
      <c r="D201" s="990"/>
      <c r="E201" s="990"/>
      <c r="F201" s="991"/>
      <c r="G201" s="991"/>
      <c r="H201" s="991"/>
      <c r="I201" s="991"/>
      <c r="J201" s="991"/>
      <c r="M201" s="114" t="s">
        <v>344</v>
      </c>
      <c r="N201" s="114">
        <f>E23</f>
        <v>2099.0723984875517</v>
      </c>
      <c r="O201" s="114" t="str">
        <f>D23</f>
        <v>g</v>
      </c>
      <c r="P201" s="114">
        <v>100</v>
      </c>
      <c r="Q201" s="114">
        <f>N201</f>
        <v>2099.0723984875517</v>
      </c>
      <c r="R201" s="114">
        <v>0</v>
      </c>
      <c r="S201" s="114">
        <f>P201*R201</f>
        <v>0</v>
      </c>
      <c r="T201" s="114">
        <f>P201-S201</f>
        <v>100</v>
      </c>
      <c r="U201" s="114">
        <f>Q201+((S201*Q201)/P201)</f>
        <v>2099.0723984875517</v>
      </c>
      <c r="W201" s="113" t="s">
        <v>336</v>
      </c>
      <c r="X201" s="113" t="s">
        <v>174</v>
      </c>
      <c r="Y201" s="113" t="s">
        <v>248</v>
      </c>
      <c r="Z201" s="113" t="s">
        <v>176</v>
      </c>
      <c r="AA201" s="113" t="s">
        <v>337</v>
      </c>
      <c r="AB201" s="113" t="s">
        <v>1641</v>
      </c>
      <c r="AC201" s="113" t="s">
        <v>1642</v>
      </c>
      <c r="AD201" s="113" t="s">
        <v>1643</v>
      </c>
      <c r="AE201" s="113" t="s">
        <v>1644</v>
      </c>
    </row>
    <row r="202" spans="3:31" s="29" customFormat="1" x14ac:dyDescent="0.25">
      <c r="C202" s="990"/>
      <c r="D202" s="990"/>
      <c r="E202" s="990"/>
      <c r="F202" s="991"/>
      <c r="G202" s="991"/>
      <c r="H202" s="991"/>
      <c r="I202" s="991"/>
      <c r="J202" s="991"/>
      <c r="M202" s="114" t="s">
        <v>340</v>
      </c>
      <c r="N202" s="114">
        <f>Y20</f>
        <v>0.64</v>
      </c>
      <c r="O202" s="114" t="str">
        <f>X20</f>
        <v>g</v>
      </c>
      <c r="P202" s="114">
        <v>2</v>
      </c>
      <c r="Q202" s="114">
        <f>N202*P202</f>
        <v>1.28</v>
      </c>
      <c r="R202" s="114">
        <v>0</v>
      </c>
      <c r="S202" s="114">
        <f>P202*R202</f>
        <v>0</v>
      </c>
      <c r="T202" s="114">
        <f>P202-S202</f>
        <v>2</v>
      </c>
      <c r="U202" s="114">
        <f t="shared" ref="U202:U204" si="38">Q202+((S202*Q202)/P202)</f>
        <v>1.28</v>
      </c>
      <c r="W202" s="114" t="s">
        <v>447</v>
      </c>
      <c r="X202" s="114">
        <f>S3</f>
        <v>207.8</v>
      </c>
      <c r="Y202" s="114" t="str">
        <f>R3</f>
        <v>g</v>
      </c>
      <c r="Z202" s="114">
        <v>6</v>
      </c>
      <c r="AA202" s="114">
        <f>X202*Z202</f>
        <v>1246.8000000000002</v>
      </c>
      <c r="AB202" s="114">
        <v>0</v>
      </c>
      <c r="AC202" s="114">
        <f>Z202*AB202</f>
        <v>0</v>
      </c>
      <c r="AD202" s="114">
        <f>Z202-AC202</f>
        <v>6</v>
      </c>
      <c r="AE202" s="114">
        <f>AA202+((AC202*AA202)/Z202)</f>
        <v>1246.8000000000002</v>
      </c>
    </row>
    <row r="203" spans="3:31" s="29" customFormat="1" x14ac:dyDescent="0.25">
      <c r="C203" s="989" t="s">
        <v>0</v>
      </c>
      <c r="D203" s="989"/>
      <c r="E203" s="989"/>
      <c r="F203" s="989" t="s">
        <v>1</v>
      </c>
      <c r="G203" s="989"/>
      <c r="H203" s="989"/>
      <c r="I203" s="989"/>
      <c r="J203" s="989"/>
      <c r="M203" s="114" t="s">
        <v>446</v>
      </c>
      <c r="N203" s="114">
        <f>AE214</f>
        <v>6190.3927999999996</v>
      </c>
      <c r="O203" s="114" t="s">
        <v>1388</v>
      </c>
      <c r="P203" s="114">
        <v>120</v>
      </c>
      <c r="Q203" s="114">
        <f>N203</f>
        <v>6190.3927999999996</v>
      </c>
      <c r="R203" s="114">
        <v>0</v>
      </c>
      <c r="S203" s="114">
        <f>P203*R203</f>
        <v>0</v>
      </c>
      <c r="T203" s="114">
        <f>P203-S203</f>
        <v>120</v>
      </c>
      <c r="U203" s="114">
        <f t="shared" si="38"/>
        <v>6190.3927999999996</v>
      </c>
      <c r="W203" s="114" t="s">
        <v>448</v>
      </c>
      <c r="X203" s="114">
        <f>P19</f>
        <v>10.28</v>
      </c>
      <c r="Y203" s="114" t="str">
        <f>O19</f>
        <v>g</v>
      </c>
      <c r="Z203" s="114">
        <v>1</v>
      </c>
      <c r="AA203" s="114">
        <f>X203*Z203</f>
        <v>10.28</v>
      </c>
      <c r="AB203" s="114">
        <f>AJ15</f>
        <v>0.26</v>
      </c>
      <c r="AC203" s="114">
        <f t="shared" ref="AC203:AC213" si="39">Z203*AB203</f>
        <v>0.26</v>
      </c>
      <c r="AD203" s="114">
        <f t="shared" ref="AD203:AD213" si="40">Z203-AC203</f>
        <v>0.74</v>
      </c>
      <c r="AE203" s="114">
        <f t="shared" ref="AE203:AE213" si="41">AA203+((AC203*AA203)/Z203)</f>
        <v>12.9528</v>
      </c>
    </row>
    <row r="204" spans="3:31" s="29" customFormat="1" x14ac:dyDescent="0.25">
      <c r="C204" s="990" t="s">
        <v>3</v>
      </c>
      <c r="D204" s="990"/>
      <c r="E204" s="990"/>
      <c r="F204" s="992" t="s">
        <v>29</v>
      </c>
      <c r="G204" s="991"/>
      <c r="H204" s="991"/>
      <c r="I204" s="991"/>
      <c r="J204" s="991"/>
      <c r="M204" s="114" t="s">
        <v>427</v>
      </c>
      <c r="N204" s="114">
        <f>S8</f>
        <v>59</v>
      </c>
      <c r="O204" s="114" t="str">
        <f>R8</f>
        <v>g</v>
      </c>
      <c r="P204" s="114">
        <v>80</v>
      </c>
      <c r="Q204" s="114">
        <f>N204*P204</f>
        <v>4720</v>
      </c>
      <c r="R204" s="114">
        <f>AN4</f>
        <v>0.41</v>
      </c>
      <c r="S204" s="114">
        <f>P204*R204</f>
        <v>32.799999999999997</v>
      </c>
      <c r="T204" s="114">
        <f>P204-S204</f>
        <v>47.2</v>
      </c>
      <c r="U204" s="114">
        <f t="shared" si="38"/>
        <v>6655.2</v>
      </c>
      <c r="W204" s="114" t="s">
        <v>449</v>
      </c>
      <c r="X204" s="114">
        <f>P4</f>
        <v>42.07</v>
      </c>
      <c r="Y204" s="114" t="str">
        <f>O4</f>
        <v>g</v>
      </c>
      <c r="Z204" s="114">
        <v>6</v>
      </c>
      <c r="AA204" s="114">
        <f>X204*Z204</f>
        <v>252.42000000000002</v>
      </c>
      <c r="AB204" s="114">
        <v>0</v>
      </c>
      <c r="AC204" s="114">
        <f t="shared" si="39"/>
        <v>0</v>
      </c>
      <c r="AD204" s="114">
        <f t="shared" si="40"/>
        <v>6</v>
      </c>
      <c r="AE204" s="114">
        <f t="shared" si="41"/>
        <v>252.42000000000002</v>
      </c>
    </row>
    <row r="205" spans="3:31" s="29" customFormat="1" x14ac:dyDescent="0.25">
      <c r="C205" s="990"/>
      <c r="D205" s="990"/>
      <c r="E205" s="990"/>
      <c r="F205" s="991"/>
      <c r="G205" s="991"/>
      <c r="H205" s="991"/>
      <c r="I205" s="991"/>
      <c r="J205" s="991"/>
      <c r="M205" s="114"/>
      <c r="N205" s="114"/>
      <c r="O205" s="114"/>
      <c r="P205" s="114"/>
      <c r="Q205" s="114"/>
      <c r="R205" s="114"/>
      <c r="S205" s="114"/>
      <c r="T205" s="114"/>
      <c r="U205" s="114"/>
      <c r="W205" s="114" t="s">
        <v>537</v>
      </c>
      <c r="X205" s="114">
        <f>P2</f>
        <v>30.06</v>
      </c>
      <c r="Y205" s="114" t="str">
        <f>O2</f>
        <v>g</v>
      </c>
      <c r="Z205" s="114">
        <v>6</v>
      </c>
      <c r="AA205" s="114">
        <f>X205*Z205</f>
        <v>180.35999999999999</v>
      </c>
      <c r="AB205" s="114">
        <v>0</v>
      </c>
      <c r="AC205" s="114">
        <f t="shared" si="39"/>
        <v>0</v>
      </c>
      <c r="AD205" s="114">
        <f t="shared" si="40"/>
        <v>6</v>
      </c>
      <c r="AE205" s="114">
        <f t="shared" si="41"/>
        <v>180.35999999999999</v>
      </c>
    </row>
    <row r="206" spans="3:31" s="29" customFormat="1" x14ac:dyDescent="0.25">
      <c r="C206" s="990"/>
      <c r="D206" s="990"/>
      <c r="E206" s="990"/>
      <c r="F206" s="991"/>
      <c r="G206" s="991"/>
      <c r="H206" s="991"/>
      <c r="I206" s="991"/>
      <c r="J206" s="991"/>
      <c r="M206" s="114"/>
      <c r="N206" s="114"/>
      <c r="O206" s="114"/>
      <c r="P206" s="114"/>
      <c r="Q206" s="114"/>
      <c r="R206" s="114"/>
      <c r="S206" s="114"/>
      <c r="T206" s="114"/>
      <c r="U206" s="114"/>
      <c r="W206" s="114" t="s">
        <v>429</v>
      </c>
      <c r="X206" s="114">
        <f>P29</f>
        <v>1.8</v>
      </c>
      <c r="Y206" s="114" t="str">
        <f>O29</f>
        <v>g</v>
      </c>
      <c r="Z206" s="114">
        <v>40</v>
      </c>
      <c r="AA206" s="114">
        <f t="shared" ref="AA206:AA213" si="42">X206*Z206</f>
        <v>72</v>
      </c>
      <c r="AB206" s="114">
        <f>AJ18</f>
        <v>0.05</v>
      </c>
      <c r="AC206" s="114">
        <f t="shared" si="39"/>
        <v>2</v>
      </c>
      <c r="AD206" s="114">
        <f t="shared" si="40"/>
        <v>38</v>
      </c>
      <c r="AE206" s="114">
        <f t="shared" si="41"/>
        <v>75.599999999999994</v>
      </c>
    </row>
    <row r="207" spans="3:31" s="29" customFormat="1" x14ac:dyDescent="0.25">
      <c r="C207" s="990" t="s">
        <v>4</v>
      </c>
      <c r="D207" s="990"/>
      <c r="E207" s="990"/>
      <c r="F207" s="991" t="s">
        <v>15</v>
      </c>
      <c r="G207" s="991"/>
      <c r="H207" s="991"/>
      <c r="I207" s="991"/>
      <c r="J207" s="991"/>
      <c r="M207" s="114" t="s">
        <v>337</v>
      </c>
      <c r="N207" s="114">
        <f>SUM(N201:N206)</f>
        <v>8349.1051984875521</v>
      </c>
      <c r="O207" s="114"/>
      <c r="P207" s="114"/>
      <c r="Q207" s="114">
        <f>SUM(Q201:Q206)</f>
        <v>13010.745198487552</v>
      </c>
      <c r="R207" s="114"/>
      <c r="S207" s="114"/>
      <c r="T207" s="114"/>
      <c r="U207" s="114">
        <f>SUM(U201:U206)</f>
        <v>14945.945198487552</v>
      </c>
      <c r="W207" s="114" t="s">
        <v>444</v>
      </c>
      <c r="X207" s="114">
        <f>AE3</f>
        <v>49.18</v>
      </c>
      <c r="Y207" s="114" t="str">
        <f>AD3</f>
        <v>mL</v>
      </c>
      <c r="Z207" s="114">
        <v>15</v>
      </c>
      <c r="AA207" s="114">
        <f t="shared" si="42"/>
        <v>737.7</v>
      </c>
      <c r="AB207" s="114">
        <v>0</v>
      </c>
      <c r="AC207" s="114">
        <f t="shared" si="39"/>
        <v>0</v>
      </c>
      <c r="AD207" s="114">
        <f t="shared" si="40"/>
        <v>15</v>
      </c>
      <c r="AE207" s="114">
        <f t="shared" si="41"/>
        <v>737.7</v>
      </c>
    </row>
    <row r="208" spans="3:31" s="29" customFormat="1" x14ac:dyDescent="0.25">
      <c r="C208" s="990"/>
      <c r="D208" s="990"/>
      <c r="E208" s="990"/>
      <c r="F208" s="991"/>
      <c r="G208" s="991"/>
      <c r="H208" s="991"/>
      <c r="I208" s="991"/>
      <c r="J208" s="991"/>
      <c r="M208" s="30"/>
      <c r="N208" s="30"/>
      <c r="O208" s="30"/>
      <c r="P208" s="30"/>
      <c r="Q208" s="30"/>
      <c r="R208" s="30"/>
      <c r="S208" s="30"/>
      <c r="T208" s="30"/>
      <c r="U208" s="30"/>
      <c r="W208" s="114" t="s">
        <v>433</v>
      </c>
      <c r="X208" s="114">
        <f>Y18</f>
        <v>223.57</v>
      </c>
      <c r="Y208" s="114" t="str">
        <f>X18</f>
        <v>g</v>
      </c>
      <c r="Z208" s="114">
        <v>4</v>
      </c>
      <c r="AA208" s="114">
        <f t="shared" si="42"/>
        <v>894.28</v>
      </c>
      <c r="AB208" s="114">
        <v>0</v>
      </c>
      <c r="AC208" s="114">
        <f t="shared" si="39"/>
        <v>0</v>
      </c>
      <c r="AD208" s="114">
        <f t="shared" si="40"/>
        <v>4</v>
      </c>
      <c r="AE208" s="114">
        <f t="shared" si="41"/>
        <v>894.28</v>
      </c>
    </row>
    <row r="209" spans="3:31" s="29" customFormat="1" x14ac:dyDescent="0.25">
      <c r="C209" s="990"/>
      <c r="D209" s="990"/>
      <c r="E209" s="990"/>
      <c r="F209" s="991"/>
      <c r="G209" s="991"/>
      <c r="H209" s="991"/>
      <c r="I209" s="991"/>
      <c r="J209" s="991"/>
      <c r="M209" s="30"/>
      <c r="N209" s="30"/>
      <c r="O209" s="30"/>
      <c r="P209" s="30"/>
      <c r="Q209" s="114" t="s">
        <v>1681</v>
      </c>
      <c r="R209" s="114">
        <f>U207</f>
        <v>14945.945198487552</v>
      </c>
      <c r="S209" s="608" t="s">
        <v>2142</v>
      </c>
      <c r="T209" s="608">
        <f>(R209*100)/R216</f>
        <v>51.200935833906598</v>
      </c>
      <c r="U209" s="30"/>
      <c r="W209" s="114" t="s">
        <v>450</v>
      </c>
      <c r="X209" s="114">
        <f>AE11</f>
        <v>22.95</v>
      </c>
      <c r="Y209" s="114" t="str">
        <f>AD11</f>
        <v>g</v>
      </c>
      <c r="Z209" s="114">
        <v>30</v>
      </c>
      <c r="AA209" s="114">
        <f t="shared" si="42"/>
        <v>688.5</v>
      </c>
      <c r="AB209" s="114">
        <v>0</v>
      </c>
      <c r="AC209" s="114">
        <f t="shared" si="39"/>
        <v>0</v>
      </c>
      <c r="AD209" s="114">
        <f t="shared" si="40"/>
        <v>30</v>
      </c>
      <c r="AE209" s="114">
        <f t="shared" si="41"/>
        <v>688.5</v>
      </c>
    </row>
    <row r="210" spans="3:31" s="29" customFormat="1" x14ac:dyDescent="0.25">
      <c r="C210" s="990" t="s">
        <v>5</v>
      </c>
      <c r="D210" s="990"/>
      <c r="E210" s="990"/>
      <c r="F210" s="992" t="s">
        <v>30</v>
      </c>
      <c r="G210" s="991"/>
      <c r="H210" s="991"/>
      <c r="I210" s="991"/>
      <c r="J210" s="991"/>
      <c r="Q210" s="114" t="s">
        <v>2326</v>
      </c>
      <c r="R210" s="114">
        <f>$AL$26</f>
        <v>1801.715474357886</v>
      </c>
      <c r="W210" s="114" t="s">
        <v>345</v>
      </c>
      <c r="X210" s="114">
        <f>P23</f>
        <v>1.6</v>
      </c>
      <c r="Y210" s="114" t="str">
        <f>O23</f>
        <v>g</v>
      </c>
      <c r="Z210" s="114">
        <v>12</v>
      </c>
      <c r="AA210" s="114">
        <f t="shared" si="42"/>
        <v>19.200000000000003</v>
      </c>
      <c r="AB210" s="114">
        <v>0</v>
      </c>
      <c r="AC210" s="114">
        <f t="shared" si="39"/>
        <v>0</v>
      </c>
      <c r="AD210" s="114">
        <f t="shared" si="40"/>
        <v>12</v>
      </c>
      <c r="AE210" s="114">
        <f t="shared" si="41"/>
        <v>19.200000000000003</v>
      </c>
    </row>
    <row r="211" spans="3:31" s="29" customFormat="1" x14ac:dyDescent="0.25">
      <c r="C211" s="990"/>
      <c r="D211" s="990"/>
      <c r="E211" s="990"/>
      <c r="F211" s="991"/>
      <c r="G211" s="991"/>
      <c r="H211" s="991"/>
      <c r="I211" s="991"/>
      <c r="J211" s="991"/>
      <c r="Q211" s="114" t="s">
        <v>2325</v>
      </c>
      <c r="R211" s="114">
        <f>$AL$27</f>
        <v>75.599999999999994</v>
      </c>
      <c r="W211" s="114" t="s">
        <v>547</v>
      </c>
      <c r="X211" s="114">
        <f>V13</f>
        <v>81.900000000000006</v>
      </c>
      <c r="Y211" s="114" t="str">
        <f>U13</f>
        <v>g</v>
      </c>
      <c r="Z211" s="114">
        <v>25</v>
      </c>
      <c r="AA211" s="114">
        <f t="shared" si="42"/>
        <v>2047.5000000000002</v>
      </c>
      <c r="AB211" s="114">
        <v>0</v>
      </c>
      <c r="AC211" s="114">
        <f t="shared" si="39"/>
        <v>0</v>
      </c>
      <c r="AD211" s="114">
        <f t="shared" si="40"/>
        <v>25</v>
      </c>
      <c r="AE211" s="114">
        <f t="shared" si="41"/>
        <v>2047.5000000000002</v>
      </c>
    </row>
    <row r="212" spans="3:31" s="29" customFormat="1" x14ac:dyDescent="0.25">
      <c r="C212" s="990"/>
      <c r="D212" s="990"/>
      <c r="E212" s="990"/>
      <c r="F212" s="991"/>
      <c r="G212" s="991"/>
      <c r="H212" s="991"/>
      <c r="I212" s="991"/>
      <c r="J212" s="991"/>
      <c r="Q212" s="114" t="s">
        <v>1684</v>
      </c>
      <c r="R212" s="114">
        <f>$AL$29</f>
        <v>69.543532482306858</v>
      </c>
      <c r="W212" s="114" t="s">
        <v>340</v>
      </c>
      <c r="X212" s="114">
        <f>Y20</f>
        <v>0.64</v>
      </c>
      <c r="Y212" s="114" t="str">
        <f>X20</f>
        <v>g</v>
      </c>
      <c r="Z212" s="114">
        <v>1</v>
      </c>
      <c r="AA212" s="114">
        <f t="shared" si="42"/>
        <v>0.64</v>
      </c>
      <c r="AB212" s="114">
        <v>0</v>
      </c>
      <c r="AC212" s="114">
        <f t="shared" si="39"/>
        <v>0</v>
      </c>
      <c r="AD212" s="114">
        <f t="shared" si="40"/>
        <v>1</v>
      </c>
      <c r="AE212" s="114">
        <f t="shared" si="41"/>
        <v>0.64</v>
      </c>
    </row>
    <row r="213" spans="3:31" s="29" customFormat="1" x14ac:dyDescent="0.25">
      <c r="C213" s="990" t="s">
        <v>6</v>
      </c>
      <c r="D213" s="990"/>
      <c r="E213" s="990"/>
      <c r="F213" s="991" t="s">
        <v>9</v>
      </c>
      <c r="G213" s="991"/>
      <c r="H213" s="991"/>
      <c r="I213" s="991"/>
      <c r="J213" s="991"/>
      <c r="Q213" s="114" t="s">
        <v>1685</v>
      </c>
      <c r="R213" s="114">
        <v>0.6</v>
      </c>
      <c r="W213" s="114" t="s">
        <v>346</v>
      </c>
      <c r="X213" s="114">
        <f>P3</f>
        <v>7</v>
      </c>
      <c r="Y213" s="114" t="str">
        <f>O3</f>
        <v>g</v>
      </c>
      <c r="Z213" s="114">
        <v>4</v>
      </c>
      <c r="AA213" s="114">
        <f t="shared" si="42"/>
        <v>28</v>
      </c>
      <c r="AB213" s="114">
        <f>AJ2</f>
        <v>0.23</v>
      </c>
      <c r="AC213" s="114">
        <f t="shared" si="39"/>
        <v>0.92</v>
      </c>
      <c r="AD213" s="114">
        <f t="shared" si="40"/>
        <v>3.08</v>
      </c>
      <c r="AE213" s="114">
        <f t="shared" si="41"/>
        <v>34.44</v>
      </c>
    </row>
    <row r="214" spans="3:31" s="29" customFormat="1" x14ac:dyDescent="0.25">
      <c r="C214" s="990"/>
      <c r="D214" s="990"/>
      <c r="E214" s="990"/>
      <c r="F214" s="991"/>
      <c r="G214" s="991"/>
      <c r="H214" s="991"/>
      <c r="I214" s="991"/>
      <c r="J214" s="991"/>
      <c r="Q214" s="114" t="s">
        <v>1708</v>
      </c>
      <c r="R214" s="114">
        <f>(SUM(R209:R212)*R213)+SUM(R209:R212)</f>
        <v>27028.486728524393</v>
      </c>
      <c r="W214" s="114" t="s">
        <v>337</v>
      </c>
      <c r="X214" s="114">
        <f>SUM(X202:X213)</f>
        <v>678.85</v>
      </c>
      <c r="Y214" s="114"/>
      <c r="Z214" s="114">
        <f>SUM(Z202:Z213)</f>
        <v>150</v>
      </c>
      <c r="AA214" s="114">
        <f>SUM(AA202:AA213)</f>
        <v>6177.68</v>
      </c>
      <c r="AB214" s="114"/>
      <c r="AC214" s="114"/>
      <c r="AD214" s="114"/>
      <c r="AE214" s="114">
        <f>SUM(AE202:AE213)</f>
        <v>6190.3927999999996</v>
      </c>
    </row>
    <row r="215" spans="3:31" s="29" customFormat="1" x14ac:dyDescent="0.25">
      <c r="C215" s="990"/>
      <c r="D215" s="990"/>
      <c r="E215" s="990"/>
      <c r="F215" s="991"/>
      <c r="G215" s="991"/>
      <c r="H215" s="991"/>
      <c r="I215" s="991"/>
      <c r="J215" s="991"/>
      <c r="Q215" s="114" t="s">
        <v>2130</v>
      </c>
      <c r="R215" s="114">
        <f>R214*0.08</f>
        <v>2162.2789382819515</v>
      </c>
      <c r="W215" s="29" t="s">
        <v>564</v>
      </c>
    </row>
    <row r="216" spans="3:31" s="29" customFormat="1" x14ac:dyDescent="0.25">
      <c r="C216" s="990" t="s">
        <v>7</v>
      </c>
      <c r="D216" s="990"/>
      <c r="E216" s="990"/>
      <c r="F216" s="992" t="s">
        <v>563</v>
      </c>
      <c r="G216" s="991"/>
      <c r="H216" s="991"/>
      <c r="I216" s="991"/>
      <c r="J216" s="991"/>
      <c r="Q216" s="114" t="s">
        <v>1686</v>
      </c>
      <c r="R216" s="114">
        <f>SUM(R214+R215)</f>
        <v>29190.765666806343</v>
      </c>
      <c r="AA216" s="114" t="s">
        <v>1681</v>
      </c>
      <c r="AB216" s="114">
        <f>AE214</f>
        <v>6190.3927999999996</v>
      </c>
      <c r="AC216" s="608" t="s">
        <v>2142</v>
      </c>
      <c r="AD216" s="608">
        <f>(AB216*100)/AB223</f>
        <v>43.510034027443687</v>
      </c>
    </row>
    <row r="217" spans="3:31" s="29" customFormat="1" x14ac:dyDescent="0.25">
      <c r="C217" s="990"/>
      <c r="D217" s="990"/>
      <c r="E217" s="990"/>
      <c r="F217" s="991"/>
      <c r="G217" s="991"/>
      <c r="H217" s="991"/>
      <c r="I217" s="991"/>
      <c r="J217" s="991"/>
      <c r="AA217" s="114" t="s">
        <v>2326</v>
      </c>
      <c r="AB217" s="114">
        <f>$AO$26/2</f>
        <v>476.87414947063905</v>
      </c>
    </row>
    <row r="218" spans="3:31" s="29" customFormat="1" x14ac:dyDescent="0.25">
      <c r="C218" s="990"/>
      <c r="D218" s="990"/>
      <c r="E218" s="990"/>
      <c r="F218" s="991"/>
      <c r="G218" s="991"/>
      <c r="H218" s="991"/>
      <c r="I218" s="991"/>
      <c r="J218" s="991"/>
      <c r="AA218" s="114" t="s">
        <v>2325</v>
      </c>
      <c r="AB218" s="114">
        <f>$AO$27/4</f>
        <v>18.899999999999999</v>
      </c>
    </row>
    <row r="219" spans="3:31" s="29" customFormat="1" x14ac:dyDescent="0.25">
      <c r="AA219" s="114" t="s">
        <v>1684</v>
      </c>
      <c r="AB219" s="114">
        <f>$AO$29</f>
        <v>1547.3435977313275</v>
      </c>
    </row>
    <row r="220" spans="3:31" s="29" customFormat="1" x14ac:dyDescent="0.25">
      <c r="AA220" s="114" t="s">
        <v>1685</v>
      </c>
      <c r="AB220" s="114">
        <v>0.6</v>
      </c>
    </row>
    <row r="221" spans="3:31" s="29" customFormat="1" x14ac:dyDescent="0.25">
      <c r="AA221" s="114" t="s">
        <v>1708</v>
      </c>
      <c r="AB221" s="114">
        <f>(SUM(AB216:AB219)*AB220)+SUM(AB216:AB219)</f>
        <v>13173.616875523145</v>
      </c>
    </row>
    <row r="222" spans="3:31" s="29" customFormat="1" x14ac:dyDescent="0.25">
      <c r="AA222" s="114" t="s">
        <v>2130</v>
      </c>
      <c r="AB222" s="114">
        <f>AB221*0.08</f>
        <v>1053.8893500418517</v>
      </c>
    </row>
    <row r="223" spans="3:31" s="29" customFormat="1" x14ac:dyDescent="0.25">
      <c r="AA223" s="114" t="s">
        <v>1686</v>
      </c>
      <c r="AB223" s="114">
        <f>SUM(AB221+AB222)</f>
        <v>14227.506225564997</v>
      </c>
    </row>
    <row r="224" spans="3:31" s="29" customFormat="1" x14ac:dyDescent="0.25"/>
    <row r="225" spans="3:31" s="29" customFormat="1" x14ac:dyDescent="0.25">
      <c r="C225" s="993" t="s">
        <v>8</v>
      </c>
      <c r="D225" s="993"/>
      <c r="E225" s="993"/>
      <c r="F225" s="993"/>
      <c r="G225" s="993"/>
      <c r="H225" s="993"/>
      <c r="I225" s="993"/>
      <c r="J225" s="993"/>
    </row>
    <row r="226" spans="3:31" s="29" customFormat="1" x14ac:dyDescent="0.25">
      <c r="C226" s="989" t="s">
        <v>0</v>
      </c>
      <c r="D226" s="989"/>
      <c r="E226" s="989"/>
      <c r="F226" s="989" t="s">
        <v>1</v>
      </c>
      <c r="G226" s="989"/>
      <c r="H226" s="989"/>
      <c r="I226" s="989"/>
      <c r="J226" s="989"/>
    </row>
    <row r="227" spans="3:31" s="29" customFormat="1" x14ac:dyDescent="0.25">
      <c r="C227" s="990" t="s">
        <v>2</v>
      </c>
      <c r="D227" s="990"/>
      <c r="E227" s="990"/>
      <c r="F227" s="991" t="s">
        <v>31</v>
      </c>
      <c r="G227" s="991"/>
      <c r="H227" s="991"/>
      <c r="I227" s="991"/>
      <c r="J227" s="991"/>
      <c r="M227" s="113" t="s">
        <v>336</v>
      </c>
      <c r="N227" s="113" t="s">
        <v>174</v>
      </c>
      <c r="O227" s="113" t="s">
        <v>248</v>
      </c>
      <c r="P227" s="113" t="s">
        <v>176</v>
      </c>
      <c r="Q227" s="113" t="s">
        <v>337</v>
      </c>
      <c r="R227" s="113" t="s">
        <v>1641</v>
      </c>
      <c r="S227" s="113" t="s">
        <v>1642</v>
      </c>
      <c r="T227" s="113" t="s">
        <v>1643</v>
      </c>
      <c r="U227" s="113" t="s">
        <v>1644</v>
      </c>
      <c r="W227" s="994" t="s">
        <v>1463</v>
      </c>
      <c r="X227" s="994"/>
      <c r="Y227" s="994"/>
      <c r="Z227" s="994"/>
      <c r="AA227" s="994"/>
      <c r="AB227" s="994"/>
      <c r="AC227" s="994"/>
      <c r="AD227" s="994"/>
      <c r="AE227" s="994"/>
    </row>
    <row r="228" spans="3:31" s="29" customFormat="1" x14ac:dyDescent="0.25">
      <c r="C228" s="990"/>
      <c r="D228" s="990"/>
      <c r="E228" s="990"/>
      <c r="F228" s="991"/>
      <c r="G228" s="991"/>
      <c r="H228" s="991"/>
      <c r="I228" s="991"/>
      <c r="J228" s="991"/>
      <c r="M228" s="114" t="s">
        <v>344</v>
      </c>
      <c r="N228" s="114">
        <f>E23</f>
        <v>2099.0723984875517</v>
      </c>
      <c r="O228" s="114" t="str">
        <f>D23</f>
        <v>g</v>
      </c>
      <c r="P228" s="114">
        <v>100</v>
      </c>
      <c r="Q228" s="114">
        <f>N228</f>
        <v>2099.0723984875517</v>
      </c>
      <c r="R228" s="114">
        <v>0</v>
      </c>
      <c r="S228" s="114">
        <f t="shared" ref="S228:S233" si="43">P228*R228</f>
        <v>0</v>
      </c>
      <c r="T228" s="114">
        <f t="shared" ref="T228:T233" si="44">P228-S228</f>
        <v>100</v>
      </c>
      <c r="U228" s="114">
        <f>Q228+((S228*Q228)/P228)</f>
        <v>2099.0723984875517</v>
      </c>
      <c r="W228" s="113" t="s">
        <v>336</v>
      </c>
      <c r="X228" s="113" t="s">
        <v>174</v>
      </c>
      <c r="Y228" s="113" t="s">
        <v>248</v>
      </c>
      <c r="Z228" s="113" t="s">
        <v>176</v>
      </c>
      <c r="AA228" s="113" t="s">
        <v>337</v>
      </c>
      <c r="AB228" s="113" t="s">
        <v>1641</v>
      </c>
      <c r="AC228" s="113" t="s">
        <v>1642</v>
      </c>
      <c r="AD228" s="113" t="s">
        <v>1643</v>
      </c>
      <c r="AE228" s="113" t="s">
        <v>1644</v>
      </c>
    </row>
    <row r="229" spans="3:31" s="29" customFormat="1" x14ac:dyDescent="0.25">
      <c r="C229" s="990"/>
      <c r="D229" s="990"/>
      <c r="E229" s="990"/>
      <c r="F229" s="991"/>
      <c r="G229" s="991"/>
      <c r="H229" s="991"/>
      <c r="I229" s="991"/>
      <c r="J229" s="991"/>
      <c r="M229" s="114" t="s">
        <v>340</v>
      </c>
      <c r="N229" s="114">
        <f>Y20</f>
        <v>0.64</v>
      </c>
      <c r="O229" s="114" t="str">
        <f>X20</f>
        <v>g</v>
      </c>
      <c r="P229" s="114">
        <v>2</v>
      </c>
      <c r="Q229" s="114">
        <f>N229*P229</f>
        <v>1.28</v>
      </c>
      <c r="R229" s="114">
        <v>0</v>
      </c>
      <c r="S229" s="114">
        <f t="shared" si="43"/>
        <v>0</v>
      </c>
      <c r="T229" s="114">
        <f t="shared" si="44"/>
        <v>2</v>
      </c>
      <c r="U229" s="114">
        <f t="shared" ref="U229:U233" si="45">Q229+((S229*Q229)/P229)</f>
        <v>1.28</v>
      </c>
      <c r="W229" s="114" t="s">
        <v>454</v>
      </c>
      <c r="X229" s="114">
        <f>P14</f>
        <v>18.86</v>
      </c>
      <c r="Y229" s="114" t="str">
        <f>O14</f>
        <v>g</v>
      </c>
      <c r="Z229" s="114">
        <v>30</v>
      </c>
      <c r="AA229" s="114">
        <f>X229*Z229</f>
        <v>565.79999999999995</v>
      </c>
      <c r="AB229" s="114">
        <v>0</v>
      </c>
      <c r="AC229" s="114">
        <f>Z229*AB229</f>
        <v>0</v>
      </c>
      <c r="AD229" s="114">
        <f>Z229-AC229</f>
        <v>30</v>
      </c>
      <c r="AE229" s="114">
        <f>AA229+((AC229*AA229)/Z229)</f>
        <v>565.79999999999995</v>
      </c>
    </row>
    <row r="230" spans="3:31" s="29" customFormat="1" x14ac:dyDescent="0.25">
      <c r="C230" s="989" t="s">
        <v>0</v>
      </c>
      <c r="D230" s="989"/>
      <c r="E230" s="989"/>
      <c r="F230" s="989" t="s">
        <v>1</v>
      </c>
      <c r="G230" s="989"/>
      <c r="H230" s="989"/>
      <c r="I230" s="989"/>
      <c r="J230" s="989"/>
      <c r="M230" s="114" t="s">
        <v>453</v>
      </c>
      <c r="N230" s="114">
        <f>AE236</f>
        <v>6049.74</v>
      </c>
      <c r="O230" s="114" t="s">
        <v>1388</v>
      </c>
      <c r="P230" s="114">
        <v>120</v>
      </c>
      <c r="Q230" s="114">
        <f>N230</f>
        <v>6049.74</v>
      </c>
      <c r="R230" s="114">
        <v>0</v>
      </c>
      <c r="S230" s="114">
        <f t="shared" si="43"/>
        <v>0</v>
      </c>
      <c r="T230" s="114">
        <f t="shared" si="44"/>
        <v>120</v>
      </c>
      <c r="U230" s="114">
        <f t="shared" si="45"/>
        <v>6049.74</v>
      </c>
      <c r="W230" s="114" t="s">
        <v>434</v>
      </c>
      <c r="X230" s="114">
        <f>AE3</f>
        <v>49.18</v>
      </c>
      <c r="Y230" s="114" t="str">
        <f>AD3</f>
        <v>mL</v>
      </c>
      <c r="Z230" s="114">
        <v>15</v>
      </c>
      <c r="AA230" s="114">
        <f t="shared" ref="AA230:AA235" si="46">X230*Z230</f>
        <v>737.7</v>
      </c>
      <c r="AB230" s="114">
        <v>0</v>
      </c>
      <c r="AC230" s="114">
        <f t="shared" ref="AC230:AC235" si="47">Z230*AB230</f>
        <v>0</v>
      </c>
      <c r="AD230" s="114">
        <f t="shared" ref="AD230:AD235" si="48">Z230-AC230</f>
        <v>15</v>
      </c>
      <c r="AE230" s="114">
        <f t="shared" ref="AE230:AE235" si="49">AA230+((AC230*AA230)/Z230)</f>
        <v>737.7</v>
      </c>
    </row>
    <row r="231" spans="3:31" s="29" customFormat="1" x14ac:dyDescent="0.25">
      <c r="C231" s="990" t="s">
        <v>3</v>
      </c>
      <c r="D231" s="990"/>
      <c r="E231" s="990"/>
      <c r="F231" s="992" t="s">
        <v>32</v>
      </c>
      <c r="G231" s="991"/>
      <c r="H231" s="991"/>
      <c r="I231" s="991"/>
      <c r="J231" s="991"/>
      <c r="M231" s="114" t="s">
        <v>452</v>
      </c>
      <c r="N231" s="114">
        <f>V13</f>
        <v>81.900000000000006</v>
      </c>
      <c r="O231" s="114" t="str">
        <f>U13</f>
        <v>g</v>
      </c>
      <c r="P231" s="114">
        <v>30</v>
      </c>
      <c r="Q231" s="114">
        <f>N231*P231</f>
        <v>2457</v>
      </c>
      <c r="R231" s="114">
        <v>0</v>
      </c>
      <c r="S231" s="114">
        <f t="shared" si="43"/>
        <v>0</v>
      </c>
      <c r="T231" s="114">
        <f t="shared" si="44"/>
        <v>30</v>
      </c>
      <c r="U231" s="114">
        <f t="shared" si="45"/>
        <v>2457</v>
      </c>
      <c r="W231" s="114" t="s">
        <v>455</v>
      </c>
      <c r="X231" s="114">
        <f>AE15</f>
        <v>51.96</v>
      </c>
      <c r="Y231" s="114" t="str">
        <f>AD15</f>
        <v>mL</v>
      </c>
      <c r="Z231" s="114">
        <v>25</v>
      </c>
      <c r="AA231" s="114">
        <f t="shared" si="46"/>
        <v>1299</v>
      </c>
      <c r="AB231" s="114">
        <v>0</v>
      </c>
      <c r="AC231" s="114">
        <f t="shared" si="47"/>
        <v>0</v>
      </c>
      <c r="AD231" s="114">
        <f t="shared" si="48"/>
        <v>25</v>
      </c>
      <c r="AE231" s="114">
        <f t="shared" si="49"/>
        <v>1299</v>
      </c>
    </row>
    <row r="232" spans="3:31" s="29" customFormat="1" x14ac:dyDescent="0.25">
      <c r="C232" s="990"/>
      <c r="D232" s="990"/>
      <c r="E232" s="990"/>
      <c r="F232" s="991"/>
      <c r="G232" s="991"/>
      <c r="H232" s="991"/>
      <c r="I232" s="991"/>
      <c r="J232" s="991"/>
      <c r="M232" s="114" t="s">
        <v>349</v>
      </c>
      <c r="N232" s="114">
        <f>S15</f>
        <v>41</v>
      </c>
      <c r="O232" s="114" t="str">
        <f>R15</f>
        <v>g</v>
      </c>
      <c r="P232" s="114">
        <v>40</v>
      </c>
      <c r="Q232" s="114">
        <f>N232*P232</f>
        <v>1640</v>
      </c>
      <c r="R232" s="114">
        <f>AN3</f>
        <v>0.47</v>
      </c>
      <c r="S232" s="114">
        <f t="shared" si="43"/>
        <v>18.799999999999997</v>
      </c>
      <c r="T232" s="114">
        <f t="shared" si="44"/>
        <v>21.200000000000003</v>
      </c>
      <c r="U232" s="114">
        <f t="shared" si="45"/>
        <v>2410.8000000000002</v>
      </c>
      <c r="W232" s="114" t="s">
        <v>347</v>
      </c>
      <c r="X232" s="114">
        <f>V6</f>
        <v>28.76</v>
      </c>
      <c r="Y232" s="114" t="str">
        <f>U6</f>
        <v>g</v>
      </c>
      <c r="Z232" s="114">
        <v>15</v>
      </c>
      <c r="AA232" s="114">
        <f t="shared" si="46"/>
        <v>431.40000000000003</v>
      </c>
      <c r="AB232" s="114">
        <v>0</v>
      </c>
      <c r="AC232" s="114">
        <f t="shared" si="47"/>
        <v>0</v>
      </c>
      <c r="AD232" s="114">
        <f t="shared" si="48"/>
        <v>15</v>
      </c>
      <c r="AE232" s="114">
        <f t="shared" si="49"/>
        <v>431.40000000000003</v>
      </c>
    </row>
    <row r="233" spans="3:31" s="29" customFormat="1" x14ac:dyDescent="0.25">
      <c r="C233" s="990"/>
      <c r="D233" s="990"/>
      <c r="E233" s="990"/>
      <c r="F233" s="991"/>
      <c r="G233" s="991"/>
      <c r="H233" s="991"/>
      <c r="I233" s="991"/>
      <c r="J233" s="991"/>
      <c r="M233" s="114" t="s">
        <v>438</v>
      </c>
      <c r="N233" s="114">
        <f>S14</f>
        <v>72.95</v>
      </c>
      <c r="O233" s="114" t="str">
        <f>R14</f>
        <v>g</v>
      </c>
      <c r="P233" s="114">
        <v>30</v>
      </c>
      <c r="Q233" s="114">
        <f>N233*P233</f>
        <v>2188.5</v>
      </c>
      <c r="R233" s="114">
        <v>0</v>
      </c>
      <c r="S233" s="114">
        <f t="shared" si="43"/>
        <v>0</v>
      </c>
      <c r="T233" s="114">
        <f t="shared" si="44"/>
        <v>30</v>
      </c>
      <c r="U233" s="114">
        <f t="shared" si="45"/>
        <v>2188.5</v>
      </c>
      <c r="W233" s="114" t="s">
        <v>348</v>
      </c>
      <c r="X233" s="114">
        <f>V2</f>
        <v>13.11</v>
      </c>
      <c r="Y233" s="114" t="str">
        <f>U2</f>
        <v>g</v>
      </c>
      <c r="Z233" s="114">
        <v>40</v>
      </c>
      <c r="AA233" s="114">
        <f t="shared" si="46"/>
        <v>524.4</v>
      </c>
      <c r="AB233" s="114">
        <v>0</v>
      </c>
      <c r="AC233" s="114">
        <f t="shared" si="47"/>
        <v>0</v>
      </c>
      <c r="AD233" s="114">
        <f t="shared" si="48"/>
        <v>40</v>
      </c>
      <c r="AE233" s="114">
        <f t="shared" si="49"/>
        <v>524.4</v>
      </c>
    </row>
    <row r="234" spans="3:31" s="29" customFormat="1" x14ac:dyDescent="0.25">
      <c r="C234" s="990" t="s">
        <v>4</v>
      </c>
      <c r="D234" s="990"/>
      <c r="E234" s="990"/>
      <c r="F234" s="991" t="s">
        <v>15</v>
      </c>
      <c r="G234" s="991"/>
      <c r="H234" s="991"/>
      <c r="I234" s="991"/>
      <c r="J234" s="991"/>
      <c r="M234" s="114"/>
      <c r="N234" s="114"/>
      <c r="O234" s="114"/>
      <c r="P234" s="114"/>
      <c r="Q234" s="114"/>
      <c r="R234" s="114"/>
      <c r="S234" s="114"/>
      <c r="T234" s="114"/>
      <c r="U234" s="114"/>
      <c r="W234" s="114" t="s">
        <v>547</v>
      </c>
      <c r="X234" s="114">
        <f>V13</f>
        <v>81.900000000000006</v>
      </c>
      <c r="Y234" s="114" t="str">
        <f>U13</f>
        <v>g</v>
      </c>
      <c r="Z234" s="114">
        <v>30</v>
      </c>
      <c r="AA234" s="114">
        <f t="shared" si="46"/>
        <v>2457</v>
      </c>
      <c r="AB234" s="114">
        <v>0</v>
      </c>
      <c r="AC234" s="114">
        <f t="shared" si="47"/>
        <v>0</v>
      </c>
      <c r="AD234" s="114">
        <f t="shared" si="48"/>
        <v>30</v>
      </c>
      <c r="AE234" s="114">
        <f t="shared" si="49"/>
        <v>2457</v>
      </c>
    </row>
    <row r="235" spans="3:31" s="29" customFormat="1" x14ac:dyDescent="0.25">
      <c r="C235" s="990"/>
      <c r="D235" s="990"/>
      <c r="E235" s="990"/>
      <c r="F235" s="991"/>
      <c r="G235" s="991"/>
      <c r="H235" s="991"/>
      <c r="I235" s="991"/>
      <c r="J235" s="991"/>
      <c r="M235" s="114"/>
      <c r="N235" s="114"/>
      <c r="O235" s="114"/>
      <c r="P235" s="114"/>
      <c r="Q235" s="114"/>
      <c r="R235" s="114"/>
      <c r="S235" s="114"/>
      <c r="T235" s="114"/>
      <c r="U235" s="114"/>
      <c r="W235" s="114" t="s">
        <v>346</v>
      </c>
      <c r="X235" s="114">
        <f>P3</f>
        <v>7</v>
      </c>
      <c r="Y235" s="114" t="str">
        <f>O3</f>
        <v>g</v>
      </c>
      <c r="Z235" s="114">
        <v>4</v>
      </c>
      <c r="AA235" s="114">
        <f t="shared" si="46"/>
        <v>28</v>
      </c>
      <c r="AB235" s="114">
        <f>AJ2</f>
        <v>0.23</v>
      </c>
      <c r="AC235" s="114">
        <f t="shared" si="47"/>
        <v>0.92</v>
      </c>
      <c r="AD235" s="114">
        <f t="shared" si="48"/>
        <v>3.08</v>
      </c>
      <c r="AE235" s="114">
        <f t="shared" si="49"/>
        <v>34.44</v>
      </c>
    </row>
    <row r="236" spans="3:31" s="29" customFormat="1" x14ac:dyDescent="0.25">
      <c r="C236" s="990"/>
      <c r="D236" s="990"/>
      <c r="E236" s="990"/>
      <c r="F236" s="991"/>
      <c r="G236" s="991"/>
      <c r="H236" s="991"/>
      <c r="I236" s="991"/>
      <c r="J236" s="991"/>
      <c r="M236" s="114" t="s">
        <v>337</v>
      </c>
      <c r="N236" s="114">
        <f>SUM(N228:N235)</f>
        <v>8345.3023984875526</v>
      </c>
      <c r="O236" s="114"/>
      <c r="P236" s="114">
        <f>SUM(P228:P235)</f>
        <v>322</v>
      </c>
      <c r="Q236" s="114">
        <f>SUM(Q228:Q235)</f>
        <v>14435.592398487552</v>
      </c>
      <c r="R236" s="114"/>
      <c r="S236" s="114"/>
      <c r="T236" s="114"/>
      <c r="U236" s="114">
        <f>SUM(U228:U235)</f>
        <v>15206.392398487551</v>
      </c>
      <c r="W236" s="114" t="s">
        <v>337</v>
      </c>
      <c r="X236" s="114">
        <f>SUM(X229:X235)</f>
        <v>250.77</v>
      </c>
      <c r="Y236" s="114"/>
      <c r="Z236" s="114">
        <f>SUM(Z229:Z235)</f>
        <v>159</v>
      </c>
      <c r="AA236" s="114">
        <f>SUM(AA229:AA235)</f>
        <v>6043.3</v>
      </c>
      <c r="AB236" s="114"/>
      <c r="AC236" s="114"/>
      <c r="AD236" s="114"/>
      <c r="AE236" s="114">
        <f>SUM(AE229:AE235)</f>
        <v>6049.74</v>
      </c>
    </row>
    <row r="237" spans="3:31" s="29" customFormat="1" x14ac:dyDescent="0.25">
      <c r="C237" s="990" t="s">
        <v>5</v>
      </c>
      <c r="D237" s="990"/>
      <c r="E237" s="990"/>
      <c r="F237" s="992" t="s">
        <v>33</v>
      </c>
      <c r="G237" s="991"/>
      <c r="H237" s="991"/>
      <c r="I237" s="991"/>
      <c r="J237" s="991"/>
    </row>
    <row r="238" spans="3:31" s="29" customFormat="1" x14ac:dyDescent="0.25">
      <c r="C238" s="990"/>
      <c r="D238" s="990"/>
      <c r="E238" s="990"/>
      <c r="F238" s="991"/>
      <c r="G238" s="991"/>
      <c r="H238" s="991"/>
      <c r="I238" s="991"/>
      <c r="J238" s="991"/>
      <c r="Q238" s="114" t="s">
        <v>1681</v>
      </c>
      <c r="R238" s="114">
        <f>U236</f>
        <v>15206.392398487551</v>
      </c>
      <c r="S238" s="608" t="s">
        <v>2142</v>
      </c>
      <c r="T238" s="608">
        <f>(R238*100)/R245</f>
        <v>51.302201507076035</v>
      </c>
      <c r="AA238" s="114" t="s">
        <v>1681</v>
      </c>
      <c r="AB238" s="114">
        <f>AE236</f>
        <v>6049.74</v>
      </c>
      <c r="AC238" s="608" t="s">
        <v>2142</v>
      </c>
      <c r="AD238" s="608">
        <f>(AB238*100)/AB245</f>
        <v>43.260453276284103</v>
      </c>
    </row>
    <row r="239" spans="3:31" s="29" customFormat="1" x14ac:dyDescent="0.25">
      <c r="C239" s="990"/>
      <c r="D239" s="990"/>
      <c r="E239" s="990"/>
      <c r="F239" s="991"/>
      <c r="G239" s="991"/>
      <c r="H239" s="991"/>
      <c r="I239" s="991"/>
      <c r="J239" s="991"/>
      <c r="Q239" s="114" t="s">
        <v>2326</v>
      </c>
      <c r="R239" s="114">
        <f>$AL$26</f>
        <v>1801.715474357886</v>
      </c>
      <c r="AA239" s="114" t="s">
        <v>2326</v>
      </c>
      <c r="AB239" s="114">
        <f>$AO$26/2</f>
        <v>476.87414947063905</v>
      </c>
    </row>
    <row r="240" spans="3:31" s="29" customFormat="1" x14ac:dyDescent="0.25">
      <c r="C240" s="990" t="s">
        <v>6</v>
      </c>
      <c r="D240" s="990"/>
      <c r="E240" s="990"/>
      <c r="F240" s="991" t="s">
        <v>9</v>
      </c>
      <c r="G240" s="991"/>
      <c r="H240" s="991"/>
      <c r="I240" s="991"/>
      <c r="J240" s="991"/>
      <c r="Q240" s="114" t="s">
        <v>2325</v>
      </c>
      <c r="R240" s="114">
        <f>$AL$27</f>
        <v>75.599999999999994</v>
      </c>
      <c r="AA240" s="114" t="s">
        <v>2325</v>
      </c>
      <c r="AB240" s="114">
        <f>$AO$27/4</f>
        <v>18.899999999999999</v>
      </c>
    </row>
    <row r="241" spans="3:31" s="29" customFormat="1" x14ac:dyDescent="0.25">
      <c r="C241" s="990"/>
      <c r="D241" s="990"/>
      <c r="E241" s="990"/>
      <c r="F241" s="991"/>
      <c r="G241" s="991"/>
      <c r="H241" s="991"/>
      <c r="I241" s="991"/>
      <c r="J241" s="991"/>
      <c r="Q241" s="114" t="s">
        <v>1684</v>
      </c>
      <c r="R241" s="114">
        <f>$AL$29</f>
        <v>69.543532482306858</v>
      </c>
      <c r="AA241" s="114" t="s">
        <v>1684</v>
      </c>
      <c r="AB241" s="114">
        <f>$AO$29</f>
        <v>1547.3435977313275</v>
      </c>
    </row>
    <row r="242" spans="3:31" s="29" customFormat="1" x14ac:dyDescent="0.25">
      <c r="C242" s="990"/>
      <c r="D242" s="990"/>
      <c r="E242" s="990"/>
      <c r="F242" s="991"/>
      <c r="G242" s="991"/>
      <c r="H242" s="991"/>
      <c r="I242" s="991"/>
      <c r="J242" s="991"/>
      <c r="Q242" s="114" t="s">
        <v>1685</v>
      </c>
      <c r="R242" s="114">
        <v>0.6</v>
      </c>
      <c r="AA242" s="114" t="s">
        <v>1685</v>
      </c>
      <c r="AB242" s="114">
        <v>0.6</v>
      </c>
    </row>
    <row r="243" spans="3:31" s="29" customFormat="1" x14ac:dyDescent="0.25">
      <c r="C243" s="990" t="s">
        <v>7</v>
      </c>
      <c r="D243" s="990"/>
      <c r="E243" s="990"/>
      <c r="F243" s="992" t="s">
        <v>565</v>
      </c>
      <c r="G243" s="991"/>
      <c r="H243" s="991"/>
      <c r="I243" s="991"/>
      <c r="J243" s="991"/>
      <c r="Q243" s="114" t="s">
        <v>1708</v>
      </c>
      <c r="R243" s="114">
        <f>(SUM(R238:R241)*R242)+SUM(R238:R241)</f>
        <v>27445.202248524391</v>
      </c>
      <c r="AA243" s="114" t="s">
        <v>1708</v>
      </c>
      <c r="AB243" s="114">
        <f>(SUM(AB238:AB241)*AB242)+SUM(AB238:AB241)</f>
        <v>12948.572395523144</v>
      </c>
    </row>
    <row r="244" spans="3:31" s="29" customFormat="1" x14ac:dyDescent="0.25">
      <c r="C244" s="990"/>
      <c r="D244" s="990"/>
      <c r="E244" s="990"/>
      <c r="F244" s="991"/>
      <c r="G244" s="991"/>
      <c r="H244" s="991"/>
      <c r="I244" s="991"/>
      <c r="J244" s="991"/>
      <c r="Q244" s="114" t="s">
        <v>2130</v>
      </c>
      <c r="R244" s="114">
        <f>R243*0.08</f>
        <v>2195.6161798819512</v>
      </c>
      <c r="AA244" s="114" t="s">
        <v>2130</v>
      </c>
      <c r="AB244" s="114">
        <f>AB243*0.08</f>
        <v>1035.8857916418515</v>
      </c>
    </row>
    <row r="245" spans="3:31" s="29" customFormat="1" x14ac:dyDescent="0.25">
      <c r="C245" s="990"/>
      <c r="D245" s="990"/>
      <c r="E245" s="990"/>
      <c r="F245" s="991"/>
      <c r="G245" s="991"/>
      <c r="H245" s="991"/>
      <c r="I245" s="991"/>
      <c r="J245" s="991"/>
      <c r="Q245" s="114" t="s">
        <v>1686</v>
      </c>
      <c r="R245" s="114">
        <f>SUM(R243+R244)</f>
        <v>29640.818428406343</v>
      </c>
      <c r="AA245" s="114" t="s">
        <v>1686</v>
      </c>
      <c r="AB245" s="114">
        <f>SUM(AB243+AB244)</f>
        <v>13984.458187164995</v>
      </c>
    </row>
    <row r="246" spans="3:31" s="29" customFormat="1" x14ac:dyDescent="0.25"/>
    <row r="247" spans="3:31" s="29" customFormat="1" x14ac:dyDescent="0.25"/>
    <row r="248" spans="3:31" s="29" customFormat="1" x14ac:dyDescent="0.25">
      <c r="C248" s="993" t="s">
        <v>8</v>
      </c>
      <c r="D248" s="993"/>
      <c r="E248" s="993"/>
      <c r="F248" s="993"/>
      <c r="G248" s="993"/>
      <c r="H248" s="993"/>
      <c r="I248" s="993"/>
      <c r="J248" s="993"/>
    </row>
    <row r="249" spans="3:31" s="29" customFormat="1" x14ac:dyDescent="0.25">
      <c r="C249" s="989" t="s">
        <v>0</v>
      </c>
      <c r="D249" s="989"/>
      <c r="E249" s="989"/>
      <c r="F249" s="989" t="s">
        <v>1</v>
      </c>
      <c r="G249" s="989"/>
      <c r="H249" s="989"/>
      <c r="I249" s="989"/>
      <c r="J249" s="989"/>
    </row>
    <row r="250" spans="3:31" s="29" customFormat="1" x14ac:dyDescent="0.25">
      <c r="C250" s="990" t="s">
        <v>2</v>
      </c>
      <c r="D250" s="990"/>
      <c r="E250" s="990"/>
      <c r="F250" s="991" t="s">
        <v>304</v>
      </c>
      <c r="G250" s="991"/>
      <c r="H250" s="991"/>
      <c r="I250" s="991"/>
      <c r="J250" s="991"/>
      <c r="M250" s="113" t="s">
        <v>336</v>
      </c>
      <c r="N250" s="113" t="s">
        <v>174</v>
      </c>
      <c r="O250" s="113" t="s">
        <v>248</v>
      </c>
      <c r="P250" s="113" t="s">
        <v>176</v>
      </c>
      <c r="Q250" s="113" t="s">
        <v>337</v>
      </c>
      <c r="R250" s="113" t="s">
        <v>1641</v>
      </c>
      <c r="S250" s="113" t="s">
        <v>1642</v>
      </c>
      <c r="T250" s="113" t="s">
        <v>1643</v>
      </c>
      <c r="U250" s="113" t="s">
        <v>1644</v>
      </c>
      <c r="W250" s="994" t="s">
        <v>1464</v>
      </c>
      <c r="X250" s="994"/>
      <c r="Y250" s="994"/>
      <c r="Z250" s="994"/>
      <c r="AA250" s="994"/>
      <c r="AB250" s="994"/>
      <c r="AC250" s="994"/>
      <c r="AD250" s="994"/>
      <c r="AE250" s="994"/>
    </row>
    <row r="251" spans="3:31" s="29" customFormat="1" x14ac:dyDescent="0.25">
      <c r="C251" s="990"/>
      <c r="D251" s="990"/>
      <c r="E251" s="990"/>
      <c r="F251" s="991"/>
      <c r="G251" s="991"/>
      <c r="H251" s="991"/>
      <c r="I251" s="991"/>
      <c r="J251" s="991"/>
      <c r="M251" s="114" t="s">
        <v>344</v>
      </c>
      <c r="N251" s="114">
        <f>E23</f>
        <v>2099.0723984875517</v>
      </c>
      <c r="O251" s="114" t="str">
        <f>D23</f>
        <v>g</v>
      </c>
      <c r="P251" s="114">
        <v>100</v>
      </c>
      <c r="Q251" s="114">
        <f>N251</f>
        <v>2099.0723984875517</v>
      </c>
      <c r="R251" s="114">
        <v>0</v>
      </c>
      <c r="S251" s="114">
        <f>P251*R251</f>
        <v>0</v>
      </c>
      <c r="T251" s="114">
        <f>P251-S251</f>
        <v>100</v>
      </c>
      <c r="U251" s="114">
        <f>Q251+((S251*Q251)/P251)</f>
        <v>2099.0723984875517</v>
      </c>
      <c r="W251" s="113" t="s">
        <v>336</v>
      </c>
      <c r="X251" s="113" t="s">
        <v>174</v>
      </c>
      <c r="Y251" s="113" t="s">
        <v>248</v>
      </c>
      <c r="Z251" s="113" t="s">
        <v>176</v>
      </c>
      <c r="AA251" s="113" t="s">
        <v>337</v>
      </c>
      <c r="AB251" s="113" t="s">
        <v>1641</v>
      </c>
      <c r="AC251" s="113" t="s">
        <v>1642</v>
      </c>
      <c r="AD251" s="113" t="s">
        <v>1643</v>
      </c>
      <c r="AE251" s="113" t="s">
        <v>1644</v>
      </c>
    </row>
    <row r="252" spans="3:31" s="29" customFormat="1" x14ac:dyDescent="0.25">
      <c r="C252" s="990"/>
      <c r="D252" s="990"/>
      <c r="E252" s="990"/>
      <c r="F252" s="991"/>
      <c r="G252" s="991"/>
      <c r="H252" s="991"/>
      <c r="I252" s="991"/>
      <c r="J252" s="991"/>
      <c r="M252" s="114" t="s">
        <v>340</v>
      </c>
      <c r="N252" s="114">
        <f>Y20</f>
        <v>0.64</v>
      </c>
      <c r="O252" s="114" t="str">
        <f>X20</f>
        <v>g</v>
      </c>
      <c r="P252" s="114">
        <v>2</v>
      </c>
      <c r="Q252" s="114">
        <f t="shared" ref="Q252:Q258" si="50">N252*P252</f>
        <v>1.28</v>
      </c>
      <c r="R252" s="114">
        <v>0</v>
      </c>
      <c r="S252" s="114">
        <f t="shared" ref="S252:S258" si="51">P252*R252</f>
        <v>0</v>
      </c>
      <c r="T252" s="114">
        <f t="shared" ref="T252:T258" si="52">P252-S252</f>
        <v>2</v>
      </c>
      <c r="U252" s="114">
        <f t="shared" ref="U252:U258" si="53">Q252+((S252*Q252)/P252)</f>
        <v>1.28</v>
      </c>
      <c r="W252" s="114" t="s">
        <v>338</v>
      </c>
      <c r="X252" s="114">
        <f>AE4</f>
        <v>2.25</v>
      </c>
      <c r="Y252" s="114" t="str">
        <f>AD4</f>
        <v>g</v>
      </c>
      <c r="Z252" s="114">
        <v>10</v>
      </c>
      <c r="AA252" s="114">
        <f t="shared" ref="AA252:AA257" si="54">X252*Z252</f>
        <v>22.5</v>
      </c>
      <c r="AB252" s="114">
        <v>0</v>
      </c>
      <c r="AC252" s="114">
        <f>Z252*AB252</f>
        <v>0</v>
      </c>
      <c r="AD252" s="114">
        <f>Z252-AC252</f>
        <v>10</v>
      </c>
      <c r="AE252" s="114">
        <f>AA252+((AC252*AA252)/Z252)</f>
        <v>22.5</v>
      </c>
    </row>
    <row r="253" spans="3:31" s="29" customFormat="1" x14ac:dyDescent="0.25">
      <c r="C253" s="989" t="s">
        <v>0</v>
      </c>
      <c r="D253" s="989"/>
      <c r="E253" s="989"/>
      <c r="F253" s="989" t="s">
        <v>1</v>
      </c>
      <c r="G253" s="989"/>
      <c r="H253" s="989"/>
      <c r="I253" s="989"/>
      <c r="J253" s="989"/>
      <c r="M253" s="114" t="s">
        <v>346</v>
      </c>
      <c r="N253" s="114">
        <f>P3</f>
        <v>7</v>
      </c>
      <c r="O253" s="114" t="str">
        <f>O3</f>
        <v>g</v>
      </c>
      <c r="P253" s="114">
        <v>6</v>
      </c>
      <c r="Q253" s="114">
        <f t="shared" si="50"/>
        <v>42</v>
      </c>
      <c r="R253" s="114">
        <f>AJ2</f>
        <v>0.23</v>
      </c>
      <c r="S253" s="114">
        <f t="shared" si="51"/>
        <v>1.3800000000000001</v>
      </c>
      <c r="T253" s="114">
        <f t="shared" si="52"/>
        <v>4.62</v>
      </c>
      <c r="U253" s="114">
        <f t="shared" si="53"/>
        <v>51.660000000000004</v>
      </c>
      <c r="W253" s="114" t="s">
        <v>354</v>
      </c>
      <c r="X253" s="114">
        <f>V4</f>
        <v>3.08</v>
      </c>
      <c r="Y253" s="114" t="str">
        <f>U4</f>
        <v>mL</v>
      </c>
      <c r="Z253" s="114">
        <v>60</v>
      </c>
      <c r="AA253" s="114">
        <f t="shared" si="54"/>
        <v>184.8</v>
      </c>
      <c r="AB253" s="114">
        <v>0</v>
      </c>
      <c r="AC253" s="114">
        <f t="shared" ref="AC253:AC257" si="55">Z253*AB253</f>
        <v>0</v>
      </c>
      <c r="AD253" s="114">
        <f t="shared" ref="AD253:AD257" si="56">Z253-AC253</f>
        <v>60</v>
      </c>
      <c r="AE253" s="114">
        <f t="shared" ref="AE253:AE257" si="57">AA253+((AC253*AA253)/Z253)</f>
        <v>184.8</v>
      </c>
    </row>
    <row r="254" spans="3:31" s="29" customFormat="1" x14ac:dyDescent="0.25">
      <c r="C254" s="990" t="s">
        <v>3</v>
      </c>
      <c r="D254" s="990"/>
      <c r="E254" s="990"/>
      <c r="F254" s="992" t="s">
        <v>308</v>
      </c>
      <c r="G254" s="991"/>
      <c r="H254" s="991"/>
      <c r="I254" s="991"/>
      <c r="J254" s="991"/>
      <c r="M254" s="114" t="s">
        <v>433</v>
      </c>
      <c r="N254" s="114">
        <f>Y18</f>
        <v>223.57</v>
      </c>
      <c r="O254" s="114" t="str">
        <f>X18</f>
        <v>g</v>
      </c>
      <c r="P254" s="114">
        <v>10</v>
      </c>
      <c r="Q254" s="114">
        <f t="shared" si="50"/>
        <v>2235.6999999999998</v>
      </c>
      <c r="R254" s="114">
        <v>0</v>
      </c>
      <c r="S254" s="114">
        <f t="shared" si="51"/>
        <v>0</v>
      </c>
      <c r="T254" s="114">
        <f t="shared" si="52"/>
        <v>10</v>
      </c>
      <c r="U254" s="114">
        <f t="shared" si="53"/>
        <v>2235.6999999999998</v>
      </c>
      <c r="W254" s="114" t="s">
        <v>347</v>
      </c>
      <c r="X254" s="114">
        <f>V6</f>
        <v>28.76</v>
      </c>
      <c r="Y254" s="114" t="str">
        <f>U6</f>
        <v>g</v>
      </c>
      <c r="Z254" s="114">
        <v>10</v>
      </c>
      <c r="AA254" s="114">
        <f t="shared" si="54"/>
        <v>287.60000000000002</v>
      </c>
      <c r="AB254" s="114">
        <v>0</v>
      </c>
      <c r="AC254" s="114">
        <f t="shared" si="55"/>
        <v>0</v>
      </c>
      <c r="AD254" s="114">
        <f t="shared" si="56"/>
        <v>10</v>
      </c>
      <c r="AE254" s="114">
        <f t="shared" si="57"/>
        <v>287.60000000000002</v>
      </c>
    </row>
    <row r="255" spans="3:31" s="29" customFormat="1" x14ac:dyDescent="0.25">
      <c r="C255" s="990"/>
      <c r="D255" s="990"/>
      <c r="E255" s="990"/>
      <c r="F255" s="991"/>
      <c r="G255" s="991"/>
      <c r="H255" s="991"/>
      <c r="I255" s="991"/>
      <c r="J255" s="991"/>
      <c r="M255" s="114" t="s">
        <v>345</v>
      </c>
      <c r="N255" s="114">
        <f>P23</f>
        <v>1.6</v>
      </c>
      <c r="O255" s="114" t="str">
        <f>O23</f>
        <v>g</v>
      </c>
      <c r="P255" s="114">
        <v>10</v>
      </c>
      <c r="Q255" s="114">
        <f t="shared" si="50"/>
        <v>16</v>
      </c>
      <c r="R255" s="114">
        <v>0</v>
      </c>
      <c r="S255" s="114">
        <f t="shared" si="51"/>
        <v>0</v>
      </c>
      <c r="T255" s="114">
        <f t="shared" si="52"/>
        <v>10</v>
      </c>
      <c r="U255" s="114">
        <f t="shared" si="53"/>
        <v>16</v>
      </c>
      <c r="W255" s="114" t="s">
        <v>450</v>
      </c>
      <c r="X255" s="114">
        <f>AE11</f>
        <v>22.95</v>
      </c>
      <c r="Y255" s="114" t="str">
        <f>AD11</f>
        <v>g</v>
      </c>
      <c r="Z255" s="114">
        <v>25</v>
      </c>
      <c r="AA255" s="114">
        <f t="shared" si="54"/>
        <v>573.75</v>
      </c>
      <c r="AB255" s="114">
        <v>0</v>
      </c>
      <c r="AC255" s="114">
        <f t="shared" si="55"/>
        <v>0</v>
      </c>
      <c r="AD255" s="114">
        <f t="shared" si="56"/>
        <v>25</v>
      </c>
      <c r="AE255" s="114">
        <f t="shared" si="57"/>
        <v>573.75</v>
      </c>
    </row>
    <row r="256" spans="3:31" s="29" customFormat="1" x14ac:dyDescent="0.25">
      <c r="C256" s="990"/>
      <c r="D256" s="990"/>
      <c r="E256" s="990"/>
      <c r="F256" s="991"/>
      <c r="G256" s="991"/>
      <c r="H256" s="991"/>
      <c r="I256" s="991"/>
      <c r="J256" s="991"/>
      <c r="M256" s="114" t="s">
        <v>462</v>
      </c>
      <c r="N256" s="114">
        <f>V12</f>
        <v>25.98</v>
      </c>
      <c r="O256" s="114" t="str">
        <f>U12</f>
        <v>g</v>
      </c>
      <c r="P256" s="114">
        <v>30</v>
      </c>
      <c r="Q256" s="114">
        <f t="shared" si="50"/>
        <v>779.4</v>
      </c>
      <c r="R256" s="114">
        <v>0</v>
      </c>
      <c r="S256" s="114">
        <f t="shared" si="51"/>
        <v>0</v>
      </c>
      <c r="T256" s="114">
        <f t="shared" si="52"/>
        <v>30</v>
      </c>
      <c r="U256" s="114">
        <f t="shared" si="53"/>
        <v>779.4</v>
      </c>
      <c r="W256" s="114" t="s">
        <v>356</v>
      </c>
      <c r="X256" s="114">
        <f>Y14</f>
        <v>131.80000000000001</v>
      </c>
      <c r="Y256" s="114" t="str">
        <f>X14</f>
        <v>g</v>
      </c>
      <c r="Z256" s="114">
        <v>2</v>
      </c>
      <c r="AA256" s="114">
        <f t="shared" si="54"/>
        <v>263.60000000000002</v>
      </c>
      <c r="AB256" s="114">
        <v>0</v>
      </c>
      <c r="AC256" s="114">
        <f t="shared" si="55"/>
        <v>0</v>
      </c>
      <c r="AD256" s="114">
        <f t="shared" si="56"/>
        <v>2</v>
      </c>
      <c r="AE256" s="114">
        <f t="shared" si="57"/>
        <v>263.60000000000002</v>
      </c>
    </row>
    <row r="257" spans="3:31" s="29" customFormat="1" x14ac:dyDescent="0.25">
      <c r="C257" s="990" t="s">
        <v>4</v>
      </c>
      <c r="D257" s="990"/>
      <c r="E257" s="990"/>
      <c r="F257" s="991" t="s">
        <v>15</v>
      </c>
      <c r="G257" s="991"/>
      <c r="H257" s="991"/>
      <c r="I257" s="991"/>
      <c r="J257" s="991"/>
      <c r="M257" s="114" t="s">
        <v>457</v>
      </c>
      <c r="N257" s="114">
        <f>AE258</f>
        <v>2537.65</v>
      </c>
      <c r="O257" s="114" t="s">
        <v>1388</v>
      </c>
      <c r="P257" s="114">
        <v>120</v>
      </c>
      <c r="Q257" s="114">
        <f>N257</f>
        <v>2537.65</v>
      </c>
      <c r="R257" s="114">
        <v>0</v>
      </c>
      <c r="S257" s="114">
        <f t="shared" si="51"/>
        <v>0</v>
      </c>
      <c r="T257" s="114">
        <f t="shared" si="52"/>
        <v>120</v>
      </c>
      <c r="U257" s="114">
        <f t="shared" si="53"/>
        <v>2537.65</v>
      </c>
      <c r="W257" s="114" t="s">
        <v>566</v>
      </c>
      <c r="X257" s="114">
        <f>S15</f>
        <v>41</v>
      </c>
      <c r="Y257" s="114" t="str">
        <f>R15</f>
        <v>g</v>
      </c>
      <c r="Z257" s="114">
        <v>20</v>
      </c>
      <c r="AA257" s="114">
        <f t="shared" si="54"/>
        <v>820</v>
      </c>
      <c r="AB257" s="114">
        <f>AN3</f>
        <v>0.47</v>
      </c>
      <c r="AC257" s="114">
        <f t="shared" si="55"/>
        <v>9.3999999999999986</v>
      </c>
      <c r="AD257" s="114">
        <f t="shared" si="56"/>
        <v>10.600000000000001</v>
      </c>
      <c r="AE257" s="114">
        <f t="shared" si="57"/>
        <v>1205.4000000000001</v>
      </c>
    </row>
    <row r="258" spans="3:31" s="29" customFormat="1" x14ac:dyDescent="0.25">
      <c r="C258" s="990"/>
      <c r="D258" s="990"/>
      <c r="E258" s="990"/>
      <c r="F258" s="991"/>
      <c r="G258" s="991"/>
      <c r="H258" s="991"/>
      <c r="I258" s="991"/>
      <c r="J258" s="991"/>
      <c r="M258" s="114" t="s">
        <v>458</v>
      </c>
      <c r="N258" s="114">
        <f>S10</f>
        <v>32.46</v>
      </c>
      <c r="O258" s="114" t="str">
        <f>R10</f>
        <v>g</v>
      </c>
      <c r="P258" s="114">
        <v>30</v>
      </c>
      <c r="Q258" s="114">
        <f t="shared" si="50"/>
        <v>973.80000000000007</v>
      </c>
      <c r="R258" s="114">
        <v>0</v>
      </c>
      <c r="S258" s="114">
        <f t="shared" si="51"/>
        <v>0</v>
      </c>
      <c r="T258" s="114">
        <f t="shared" si="52"/>
        <v>30</v>
      </c>
      <c r="U258" s="114">
        <f t="shared" si="53"/>
        <v>973.80000000000007</v>
      </c>
      <c r="W258" s="114" t="s">
        <v>337</v>
      </c>
      <c r="X258" s="114">
        <f>SUM(X252:X257)</f>
        <v>229.84000000000003</v>
      </c>
      <c r="Y258" s="114"/>
      <c r="Z258" s="114">
        <f>SUM(Z252:Z257)</f>
        <v>127</v>
      </c>
      <c r="AA258" s="114">
        <f>SUM(AA252:AA257)</f>
        <v>2152.25</v>
      </c>
      <c r="AB258" s="114"/>
      <c r="AC258" s="114"/>
      <c r="AD258" s="114"/>
      <c r="AE258" s="114">
        <f>SUM(AE252:AE257)</f>
        <v>2537.65</v>
      </c>
    </row>
    <row r="259" spans="3:31" s="29" customFormat="1" x14ac:dyDescent="0.25">
      <c r="C259" s="990"/>
      <c r="D259" s="990"/>
      <c r="E259" s="990"/>
      <c r="F259" s="991"/>
      <c r="G259" s="991"/>
      <c r="H259" s="991"/>
      <c r="I259" s="991"/>
      <c r="J259" s="991"/>
      <c r="M259" s="114"/>
      <c r="N259" s="114"/>
      <c r="O259" s="114"/>
      <c r="P259" s="114"/>
      <c r="Q259" s="114"/>
      <c r="R259" s="114"/>
      <c r="S259" s="114"/>
      <c r="T259" s="114"/>
      <c r="U259" s="114"/>
    </row>
    <row r="260" spans="3:31" s="29" customFormat="1" x14ac:dyDescent="0.25">
      <c r="C260" s="990" t="s">
        <v>5</v>
      </c>
      <c r="D260" s="990"/>
      <c r="E260" s="990"/>
      <c r="F260" s="992" t="s">
        <v>34</v>
      </c>
      <c r="G260" s="991"/>
      <c r="H260" s="991"/>
      <c r="I260" s="991"/>
      <c r="J260" s="991"/>
      <c r="M260" s="114" t="s">
        <v>337</v>
      </c>
      <c r="N260" s="114">
        <f>SUM(N251:N259)</f>
        <v>4927.9723984875518</v>
      </c>
      <c r="O260" s="114"/>
      <c r="P260" s="114">
        <f>SUM(P251:P259)</f>
        <v>308</v>
      </c>
      <c r="Q260" s="114">
        <f>SUM(Q251:Q259)</f>
        <v>8684.9023984875512</v>
      </c>
      <c r="R260" s="114"/>
      <c r="S260" s="114"/>
      <c r="T260" s="114"/>
      <c r="U260" s="114">
        <f>SUM(U251:U259)</f>
        <v>8694.562398487551</v>
      </c>
      <c r="AA260" s="114" t="s">
        <v>1681</v>
      </c>
      <c r="AB260" s="114">
        <f>AE258</f>
        <v>2537.65</v>
      </c>
      <c r="AC260" s="608" t="s">
        <v>2142</v>
      </c>
      <c r="AD260" s="608">
        <f>(AB260*100)/AB267</f>
        <v>32.058980824791313</v>
      </c>
    </row>
    <row r="261" spans="3:31" s="29" customFormat="1" x14ac:dyDescent="0.25">
      <c r="C261" s="990"/>
      <c r="D261" s="990"/>
      <c r="E261" s="990"/>
      <c r="F261" s="991"/>
      <c r="G261" s="991"/>
      <c r="H261" s="991"/>
      <c r="I261" s="991"/>
      <c r="J261" s="991"/>
      <c r="AA261" s="114" t="s">
        <v>2326</v>
      </c>
      <c r="AB261" s="114">
        <f>$AO$26/2</f>
        <v>476.87414947063905</v>
      </c>
    </row>
    <row r="262" spans="3:31" s="29" customFormat="1" x14ac:dyDescent="0.25">
      <c r="C262" s="990"/>
      <c r="D262" s="990"/>
      <c r="E262" s="990"/>
      <c r="F262" s="991"/>
      <c r="G262" s="991"/>
      <c r="H262" s="991"/>
      <c r="I262" s="991"/>
      <c r="J262" s="991"/>
      <c r="Q262" s="114" t="s">
        <v>1681</v>
      </c>
      <c r="R262" s="114">
        <f>U260</f>
        <v>8694.562398487551</v>
      </c>
      <c r="S262" s="608" t="s">
        <v>2142</v>
      </c>
      <c r="T262" s="608">
        <f>(R262*100)/R269</f>
        <v>47.282926504241146</v>
      </c>
      <c r="AA262" s="114" t="s">
        <v>2325</v>
      </c>
      <c r="AB262" s="114">
        <f>$AO$27/4</f>
        <v>18.899999999999999</v>
      </c>
    </row>
    <row r="263" spans="3:31" s="29" customFormat="1" x14ac:dyDescent="0.25">
      <c r="C263" s="990" t="s">
        <v>6</v>
      </c>
      <c r="D263" s="990"/>
      <c r="E263" s="990"/>
      <c r="F263" s="991" t="s">
        <v>9</v>
      </c>
      <c r="G263" s="991"/>
      <c r="H263" s="991"/>
      <c r="I263" s="991"/>
      <c r="J263" s="991"/>
      <c r="Q263" s="114" t="s">
        <v>2326</v>
      </c>
      <c r="R263" s="114">
        <f>$AL$26</f>
        <v>1801.715474357886</v>
      </c>
      <c r="AA263" s="114" t="s">
        <v>1684</v>
      </c>
      <c r="AB263" s="114">
        <f>$AO$29</f>
        <v>1547.3435977313275</v>
      </c>
    </row>
    <row r="264" spans="3:31" s="29" customFormat="1" x14ac:dyDescent="0.25">
      <c r="C264" s="990"/>
      <c r="D264" s="990"/>
      <c r="E264" s="990"/>
      <c r="F264" s="991"/>
      <c r="G264" s="991"/>
      <c r="H264" s="991"/>
      <c r="I264" s="991"/>
      <c r="J264" s="991"/>
      <c r="Q264" s="114" t="s">
        <v>2325</v>
      </c>
      <c r="R264" s="114">
        <f>$AL$27</f>
        <v>75.599999999999994</v>
      </c>
      <c r="AA264" s="114" t="s">
        <v>1685</v>
      </c>
      <c r="AB264" s="114">
        <v>0.6</v>
      </c>
    </row>
    <row r="265" spans="3:31" s="29" customFormat="1" x14ac:dyDescent="0.25">
      <c r="C265" s="990"/>
      <c r="D265" s="990"/>
      <c r="E265" s="990"/>
      <c r="F265" s="991"/>
      <c r="G265" s="991"/>
      <c r="H265" s="991"/>
      <c r="I265" s="991"/>
      <c r="J265" s="991"/>
      <c r="Q265" s="114" t="s">
        <v>1684</v>
      </c>
      <c r="R265" s="114">
        <f>$AL$29</f>
        <v>69.543532482306858</v>
      </c>
      <c r="AA265" s="114" t="s">
        <v>1708</v>
      </c>
      <c r="AB265" s="114">
        <f>(SUM(AB260:AB263)*AB264)+SUM(AB260:AB263)</f>
        <v>7329.2283955231469</v>
      </c>
    </row>
    <row r="266" spans="3:31" s="29" customFormat="1" x14ac:dyDescent="0.25">
      <c r="C266" s="990" t="s">
        <v>7</v>
      </c>
      <c r="D266" s="990"/>
      <c r="E266" s="990"/>
      <c r="F266" s="992" t="s">
        <v>567</v>
      </c>
      <c r="G266" s="991"/>
      <c r="H266" s="991"/>
      <c r="I266" s="991"/>
      <c r="J266" s="991"/>
      <c r="Q266" s="114" t="s">
        <v>1685</v>
      </c>
      <c r="R266" s="114">
        <v>0.6</v>
      </c>
      <c r="AA266" s="114" t="s">
        <v>2130</v>
      </c>
      <c r="AB266" s="114">
        <f>AB265*0.08</f>
        <v>586.33827164185175</v>
      </c>
    </row>
    <row r="267" spans="3:31" s="29" customFormat="1" x14ac:dyDescent="0.25">
      <c r="C267" s="990"/>
      <c r="D267" s="990"/>
      <c r="E267" s="990"/>
      <c r="F267" s="991"/>
      <c r="G267" s="991"/>
      <c r="H267" s="991"/>
      <c r="I267" s="991"/>
      <c r="J267" s="991"/>
      <c r="Q267" s="114" t="s">
        <v>1708</v>
      </c>
      <c r="R267" s="114">
        <f>(SUM(R262:R265)*R266)+SUM(R262:R265)</f>
        <v>17026.274248524391</v>
      </c>
      <c r="AA267" s="114" t="s">
        <v>1686</v>
      </c>
      <c r="AB267" s="114">
        <f>SUM(AB265+AB266)</f>
        <v>7915.5666671649988</v>
      </c>
    </row>
    <row r="268" spans="3:31" s="29" customFormat="1" x14ac:dyDescent="0.25">
      <c r="C268" s="990"/>
      <c r="D268" s="990"/>
      <c r="E268" s="990"/>
      <c r="F268" s="991"/>
      <c r="G268" s="991"/>
      <c r="H268" s="991"/>
      <c r="I268" s="991"/>
      <c r="J268" s="991"/>
      <c r="Q268" s="114" t="s">
        <v>2130</v>
      </c>
      <c r="R268" s="114">
        <f>R267*0.08</f>
        <v>1362.1019398819512</v>
      </c>
    </row>
    <row r="269" spans="3:31" s="29" customFormat="1" x14ac:dyDescent="0.25">
      <c r="Q269" s="114" t="s">
        <v>1686</v>
      </c>
      <c r="R269" s="114">
        <f>SUM(R267+R268)</f>
        <v>18388.376188406342</v>
      </c>
    </row>
    <row r="270" spans="3:31" s="29" customFormat="1" x14ac:dyDescent="0.25"/>
    <row r="271" spans="3:31" s="29" customFormat="1" x14ac:dyDescent="0.25">
      <c r="C271" s="993" t="s">
        <v>8</v>
      </c>
      <c r="D271" s="993"/>
      <c r="E271" s="993"/>
      <c r="F271" s="993"/>
      <c r="G271" s="993"/>
      <c r="H271" s="993"/>
      <c r="I271" s="993"/>
      <c r="J271" s="993"/>
    </row>
    <row r="272" spans="3:31" s="29" customFormat="1" x14ac:dyDescent="0.25">
      <c r="C272" s="989" t="s">
        <v>0</v>
      </c>
      <c r="D272" s="989"/>
      <c r="E272" s="989"/>
      <c r="F272" s="989" t="s">
        <v>1</v>
      </c>
      <c r="G272" s="989"/>
      <c r="H272" s="989"/>
      <c r="I272" s="989"/>
      <c r="J272" s="989"/>
    </row>
    <row r="273" spans="3:31" s="29" customFormat="1" x14ac:dyDescent="0.25">
      <c r="C273" s="990" t="s">
        <v>2</v>
      </c>
      <c r="D273" s="990"/>
      <c r="E273" s="990"/>
      <c r="F273" s="991" t="s">
        <v>35</v>
      </c>
      <c r="G273" s="991"/>
      <c r="H273" s="991"/>
      <c r="I273" s="991"/>
      <c r="J273" s="991"/>
      <c r="M273" s="113" t="s">
        <v>336</v>
      </c>
      <c r="N273" s="113" t="s">
        <v>174</v>
      </c>
      <c r="O273" s="113" t="s">
        <v>248</v>
      </c>
      <c r="P273" s="113" t="s">
        <v>176</v>
      </c>
      <c r="Q273" s="113" t="s">
        <v>337</v>
      </c>
      <c r="R273" s="113" t="s">
        <v>1641</v>
      </c>
      <c r="S273" s="113" t="s">
        <v>1642</v>
      </c>
      <c r="T273" s="113" t="s">
        <v>1643</v>
      </c>
      <c r="U273" s="113" t="s">
        <v>1644</v>
      </c>
      <c r="W273" s="994" t="s">
        <v>1461</v>
      </c>
      <c r="X273" s="994"/>
      <c r="Y273" s="994"/>
      <c r="Z273" s="994"/>
      <c r="AA273" s="994"/>
      <c r="AB273" s="994"/>
      <c r="AC273" s="994"/>
      <c r="AD273" s="994"/>
      <c r="AE273" s="994"/>
    </row>
    <row r="274" spans="3:31" s="29" customFormat="1" x14ac:dyDescent="0.25">
      <c r="C274" s="990"/>
      <c r="D274" s="990"/>
      <c r="E274" s="990"/>
      <c r="F274" s="991"/>
      <c r="G274" s="991"/>
      <c r="H274" s="991"/>
      <c r="I274" s="991"/>
      <c r="J274" s="991"/>
      <c r="M274" s="114" t="s">
        <v>344</v>
      </c>
      <c r="N274" s="114">
        <f>E23</f>
        <v>2099.0723984875517</v>
      </c>
      <c r="O274" s="114" t="str">
        <f>D23</f>
        <v>g</v>
      </c>
      <c r="P274" s="114">
        <v>100</v>
      </c>
      <c r="Q274" s="114">
        <f>N274</f>
        <v>2099.0723984875517</v>
      </c>
      <c r="R274" s="114">
        <v>0</v>
      </c>
      <c r="S274" s="114">
        <f>P274*R274</f>
        <v>0</v>
      </c>
      <c r="T274" s="114">
        <f>P274-S274</f>
        <v>100</v>
      </c>
      <c r="U274" s="114">
        <f>Q274+((S274*Q274)/P274)</f>
        <v>2099.0723984875517</v>
      </c>
      <c r="W274" s="113" t="s">
        <v>336</v>
      </c>
      <c r="X274" s="113" t="s">
        <v>174</v>
      </c>
      <c r="Y274" s="113" t="s">
        <v>248</v>
      </c>
      <c r="Z274" s="113" t="s">
        <v>176</v>
      </c>
      <c r="AA274" s="113" t="s">
        <v>337</v>
      </c>
      <c r="AB274" s="113" t="s">
        <v>1641</v>
      </c>
      <c r="AC274" s="113" t="s">
        <v>1642</v>
      </c>
      <c r="AD274" s="113" t="s">
        <v>1643</v>
      </c>
      <c r="AE274" s="113" t="s">
        <v>1644</v>
      </c>
    </row>
    <row r="275" spans="3:31" s="29" customFormat="1" x14ac:dyDescent="0.25">
      <c r="C275" s="990"/>
      <c r="D275" s="990"/>
      <c r="E275" s="990"/>
      <c r="F275" s="991"/>
      <c r="G275" s="991"/>
      <c r="H275" s="991"/>
      <c r="I275" s="991"/>
      <c r="J275" s="991"/>
      <c r="M275" s="114" t="s">
        <v>340</v>
      </c>
      <c r="N275" s="114">
        <f>Y20</f>
        <v>0.64</v>
      </c>
      <c r="O275" s="114" t="str">
        <f>X20</f>
        <v>g</v>
      </c>
      <c r="P275" s="114">
        <v>2</v>
      </c>
      <c r="Q275" s="114">
        <f>N275*P275</f>
        <v>1.28</v>
      </c>
      <c r="R275" s="114">
        <v>0</v>
      </c>
      <c r="S275" s="114">
        <f t="shared" ref="S275:S279" si="58">P275*R275</f>
        <v>0</v>
      </c>
      <c r="T275" s="114">
        <f t="shared" ref="T275:T279" si="59">P275-S275</f>
        <v>2</v>
      </c>
      <c r="U275" s="114">
        <f t="shared" ref="U275:U279" si="60">Q275+((S275*Q275)/P275)</f>
        <v>1.28</v>
      </c>
      <c r="W275" s="114" t="s">
        <v>430</v>
      </c>
      <c r="X275" s="114">
        <f>P10</f>
        <v>0.7</v>
      </c>
      <c r="Y275" s="114" t="str">
        <f>O10</f>
        <v>g</v>
      </c>
      <c r="Z275" s="114">
        <v>20</v>
      </c>
      <c r="AA275" s="114">
        <f t="shared" ref="AA275:AA283" si="61">X275*Z275</f>
        <v>14</v>
      </c>
      <c r="AB275" s="114">
        <f>AJ7</f>
        <v>0.15</v>
      </c>
      <c r="AC275" s="114">
        <f>Z275*AB275</f>
        <v>3</v>
      </c>
      <c r="AD275" s="114">
        <f>Z275-AC275</f>
        <v>17</v>
      </c>
      <c r="AE275" s="114">
        <f>AA275+((AC275*AA275)/Z275)</f>
        <v>16.100000000000001</v>
      </c>
    </row>
    <row r="276" spans="3:31" s="29" customFormat="1" x14ac:dyDescent="0.25">
      <c r="C276" s="989" t="s">
        <v>0</v>
      </c>
      <c r="D276" s="989"/>
      <c r="E276" s="989"/>
      <c r="F276" s="989" t="s">
        <v>1</v>
      </c>
      <c r="G276" s="989"/>
      <c r="H276" s="989"/>
      <c r="I276" s="989"/>
      <c r="J276" s="989"/>
      <c r="M276" s="114" t="s">
        <v>346</v>
      </c>
      <c r="N276" s="114">
        <f>P3</f>
        <v>7</v>
      </c>
      <c r="O276" s="114" t="str">
        <f>O3</f>
        <v>g</v>
      </c>
      <c r="P276" s="114">
        <v>4</v>
      </c>
      <c r="Q276" s="114">
        <f>N276*P276</f>
        <v>28</v>
      </c>
      <c r="R276" s="114">
        <f>AJ2</f>
        <v>0.23</v>
      </c>
      <c r="S276" s="114">
        <f t="shared" si="58"/>
        <v>0.92</v>
      </c>
      <c r="T276" s="114">
        <f t="shared" si="59"/>
        <v>3.08</v>
      </c>
      <c r="U276" s="114">
        <f t="shared" si="60"/>
        <v>34.44</v>
      </c>
      <c r="W276" s="114" t="s">
        <v>429</v>
      </c>
      <c r="X276" s="114">
        <f>P29</f>
        <v>1.8</v>
      </c>
      <c r="Y276" s="114" t="str">
        <f>O29</f>
        <v>g</v>
      </c>
      <c r="Z276" s="114">
        <v>60</v>
      </c>
      <c r="AA276" s="114">
        <f t="shared" si="61"/>
        <v>108</v>
      </c>
      <c r="AB276" s="114">
        <f>AJ18</f>
        <v>0.05</v>
      </c>
      <c r="AC276" s="114">
        <f t="shared" ref="AC276:AC283" si="62">Z276*AB276</f>
        <v>3</v>
      </c>
      <c r="AD276" s="114">
        <f t="shared" ref="AD276:AD283" si="63">Z276-AC276</f>
        <v>57</v>
      </c>
      <c r="AE276" s="114">
        <f t="shared" ref="AE276:AE283" si="64">AA276+((AC276*AA276)/Z276)</f>
        <v>113.4</v>
      </c>
    </row>
    <row r="277" spans="3:31" s="29" customFormat="1" x14ac:dyDescent="0.25">
      <c r="C277" s="990" t="s">
        <v>3</v>
      </c>
      <c r="D277" s="990"/>
      <c r="E277" s="990"/>
      <c r="F277" s="992" t="s">
        <v>36</v>
      </c>
      <c r="G277" s="991"/>
      <c r="H277" s="991"/>
      <c r="I277" s="991"/>
      <c r="J277" s="991"/>
      <c r="M277" s="114" t="s">
        <v>433</v>
      </c>
      <c r="N277" s="114">
        <f>Y18</f>
        <v>223.57</v>
      </c>
      <c r="O277" s="114" t="str">
        <f>X18</f>
        <v>g</v>
      </c>
      <c r="P277" s="114">
        <v>10</v>
      </c>
      <c r="Q277" s="114">
        <f>N277*P277</f>
        <v>2235.6999999999998</v>
      </c>
      <c r="R277" s="114">
        <v>0</v>
      </c>
      <c r="S277" s="114">
        <f t="shared" si="58"/>
        <v>0</v>
      </c>
      <c r="T277" s="114">
        <f t="shared" si="59"/>
        <v>10</v>
      </c>
      <c r="U277" s="114">
        <f t="shared" si="60"/>
        <v>2235.6999999999998</v>
      </c>
      <c r="W277" s="114" t="s">
        <v>442</v>
      </c>
      <c r="X277" s="114">
        <f>Y3</f>
        <v>30</v>
      </c>
      <c r="Y277" s="114" t="str">
        <f>X3</f>
        <v>g</v>
      </c>
      <c r="Z277" s="114">
        <v>8</v>
      </c>
      <c r="AA277" s="114">
        <f t="shared" si="61"/>
        <v>240</v>
      </c>
      <c r="AB277" s="114">
        <v>0</v>
      </c>
      <c r="AC277" s="114">
        <f t="shared" si="62"/>
        <v>0</v>
      </c>
      <c r="AD277" s="114">
        <f t="shared" si="63"/>
        <v>8</v>
      </c>
      <c r="AE277" s="114">
        <f t="shared" si="64"/>
        <v>240</v>
      </c>
    </row>
    <row r="278" spans="3:31" s="29" customFormat="1" x14ac:dyDescent="0.25">
      <c r="C278" s="990"/>
      <c r="D278" s="990"/>
      <c r="E278" s="990"/>
      <c r="F278" s="991"/>
      <c r="G278" s="991"/>
      <c r="H278" s="991"/>
      <c r="I278" s="991"/>
      <c r="J278" s="991"/>
      <c r="M278" s="114" t="s">
        <v>460</v>
      </c>
      <c r="N278" s="114">
        <f>AE284</f>
        <v>7214.81</v>
      </c>
      <c r="O278" s="114" t="s">
        <v>1388</v>
      </c>
      <c r="P278" s="114">
        <v>120</v>
      </c>
      <c r="Q278" s="114">
        <f>N278</f>
        <v>7214.81</v>
      </c>
      <c r="R278" s="114">
        <v>0</v>
      </c>
      <c r="S278" s="114">
        <f t="shared" si="58"/>
        <v>0</v>
      </c>
      <c r="T278" s="114">
        <f t="shared" si="59"/>
        <v>120</v>
      </c>
      <c r="U278" s="114">
        <f t="shared" si="60"/>
        <v>7214.81</v>
      </c>
      <c r="W278" s="114" t="s">
        <v>561</v>
      </c>
      <c r="X278" s="114">
        <f>Y18</f>
        <v>223.57</v>
      </c>
      <c r="Y278" s="114" t="str">
        <f>X18</f>
        <v>g</v>
      </c>
      <c r="Z278" s="114">
        <v>6</v>
      </c>
      <c r="AA278" s="114">
        <f t="shared" si="61"/>
        <v>1341.42</v>
      </c>
      <c r="AB278" s="114">
        <v>0</v>
      </c>
      <c r="AC278" s="114">
        <f t="shared" si="62"/>
        <v>0</v>
      </c>
      <c r="AD278" s="114">
        <f t="shared" si="63"/>
        <v>6</v>
      </c>
      <c r="AE278" s="114">
        <f t="shared" si="64"/>
        <v>1341.42</v>
      </c>
    </row>
    <row r="279" spans="3:31" s="29" customFormat="1" x14ac:dyDescent="0.25">
      <c r="C279" s="990"/>
      <c r="D279" s="990"/>
      <c r="E279" s="990"/>
      <c r="F279" s="991"/>
      <c r="G279" s="991"/>
      <c r="H279" s="991"/>
      <c r="I279" s="991"/>
      <c r="J279" s="991"/>
      <c r="M279" s="114" t="s">
        <v>459</v>
      </c>
      <c r="N279" s="114">
        <f>S6</f>
        <v>30</v>
      </c>
      <c r="O279" s="114" t="str">
        <f>R6</f>
        <v>g</v>
      </c>
      <c r="P279" s="114">
        <v>70</v>
      </c>
      <c r="Q279" s="114">
        <f>N279*P279</f>
        <v>2100</v>
      </c>
      <c r="R279" s="114">
        <f>AN6</f>
        <v>0</v>
      </c>
      <c r="S279" s="114">
        <f t="shared" si="58"/>
        <v>0</v>
      </c>
      <c r="T279" s="114">
        <f t="shared" si="59"/>
        <v>70</v>
      </c>
      <c r="U279" s="114">
        <f t="shared" si="60"/>
        <v>2100</v>
      </c>
      <c r="W279" s="114" t="s">
        <v>443</v>
      </c>
      <c r="X279" s="114">
        <f>Y7</f>
        <v>3.6</v>
      </c>
      <c r="Y279" s="114" t="str">
        <f>X7</f>
        <v>g</v>
      </c>
      <c r="Z279" s="114">
        <v>5</v>
      </c>
      <c r="AA279" s="114">
        <f t="shared" si="61"/>
        <v>18</v>
      </c>
      <c r="AB279" s="114">
        <v>0</v>
      </c>
      <c r="AC279" s="114">
        <f t="shared" si="62"/>
        <v>0</v>
      </c>
      <c r="AD279" s="114">
        <f t="shared" si="63"/>
        <v>5</v>
      </c>
      <c r="AE279" s="114">
        <f t="shared" si="64"/>
        <v>18</v>
      </c>
    </row>
    <row r="280" spans="3:31" s="29" customFormat="1" x14ac:dyDescent="0.25">
      <c r="C280" s="990" t="s">
        <v>4</v>
      </c>
      <c r="D280" s="990"/>
      <c r="E280" s="990"/>
      <c r="F280" s="991" t="s">
        <v>15</v>
      </c>
      <c r="G280" s="991"/>
      <c r="H280" s="991"/>
      <c r="I280" s="991"/>
      <c r="J280" s="991"/>
      <c r="M280" s="114"/>
      <c r="N280" s="114"/>
      <c r="O280" s="114"/>
      <c r="P280" s="114"/>
      <c r="Q280" s="114"/>
      <c r="R280" s="114"/>
      <c r="S280" s="114"/>
      <c r="T280" s="114"/>
      <c r="U280" s="114"/>
      <c r="W280" s="114" t="s">
        <v>444</v>
      </c>
      <c r="X280" s="114">
        <f>AE3</f>
        <v>49.18</v>
      </c>
      <c r="Y280" s="114" t="str">
        <f>AD3</f>
        <v>mL</v>
      </c>
      <c r="Z280" s="114">
        <v>20</v>
      </c>
      <c r="AA280" s="114">
        <f t="shared" si="61"/>
        <v>983.6</v>
      </c>
      <c r="AB280" s="114">
        <v>0</v>
      </c>
      <c r="AC280" s="114">
        <f t="shared" si="62"/>
        <v>0</v>
      </c>
      <c r="AD280" s="114">
        <f t="shared" si="63"/>
        <v>20</v>
      </c>
      <c r="AE280" s="114">
        <f t="shared" si="64"/>
        <v>983.6</v>
      </c>
    </row>
    <row r="281" spans="3:31" s="29" customFormat="1" x14ac:dyDescent="0.25">
      <c r="C281" s="990"/>
      <c r="D281" s="990"/>
      <c r="E281" s="990"/>
      <c r="F281" s="991"/>
      <c r="G281" s="991"/>
      <c r="H281" s="991"/>
      <c r="I281" s="991"/>
      <c r="J281" s="991"/>
      <c r="M281" s="114"/>
      <c r="N281" s="114"/>
      <c r="O281" s="114"/>
      <c r="P281" s="114"/>
      <c r="Q281" s="114"/>
      <c r="R281" s="114"/>
      <c r="S281" s="114"/>
      <c r="T281" s="114"/>
      <c r="U281" s="114"/>
      <c r="W281" s="114" t="s">
        <v>432</v>
      </c>
      <c r="X281" s="114">
        <f>S8</f>
        <v>59</v>
      </c>
      <c r="Y281" s="114" t="str">
        <f>R8</f>
        <v>g</v>
      </c>
      <c r="Z281" s="114">
        <v>35</v>
      </c>
      <c r="AA281" s="114">
        <f t="shared" si="61"/>
        <v>2065</v>
      </c>
      <c r="AB281" s="114">
        <f>AN4</f>
        <v>0.41</v>
      </c>
      <c r="AC281" s="114">
        <f t="shared" si="62"/>
        <v>14.35</v>
      </c>
      <c r="AD281" s="114">
        <f t="shared" si="63"/>
        <v>20.65</v>
      </c>
      <c r="AE281" s="114">
        <f t="shared" si="64"/>
        <v>2911.65</v>
      </c>
    </row>
    <row r="282" spans="3:31" s="29" customFormat="1" x14ac:dyDescent="0.25">
      <c r="C282" s="990"/>
      <c r="D282" s="990"/>
      <c r="E282" s="990"/>
      <c r="F282" s="991"/>
      <c r="G282" s="991"/>
      <c r="H282" s="991"/>
      <c r="I282" s="991"/>
      <c r="J282" s="991"/>
      <c r="M282" s="114" t="s">
        <v>337</v>
      </c>
      <c r="N282" s="114">
        <f>SUM(N274:N281)</f>
        <v>9575.0923984875517</v>
      </c>
      <c r="O282" s="114"/>
      <c r="P282" s="114">
        <f>SUM(P274:P281)</f>
        <v>306</v>
      </c>
      <c r="Q282" s="114">
        <f>SUM(Q274:Q281)</f>
        <v>13678.862398487552</v>
      </c>
      <c r="R282" s="114"/>
      <c r="S282" s="114"/>
      <c r="T282" s="114"/>
      <c r="U282" s="114">
        <f>SUM(U274:U281)</f>
        <v>13685.302398487551</v>
      </c>
      <c r="W282" s="114" t="s">
        <v>445</v>
      </c>
      <c r="X282" s="114">
        <f>Y15</f>
        <v>159</v>
      </c>
      <c r="Y282" s="114" t="str">
        <f>X15</f>
        <v>g</v>
      </c>
      <c r="Z282" s="114">
        <v>10</v>
      </c>
      <c r="AA282" s="114">
        <f t="shared" si="61"/>
        <v>1590</v>
      </c>
      <c r="AB282" s="114">
        <v>0</v>
      </c>
      <c r="AC282" s="114">
        <f t="shared" si="62"/>
        <v>0</v>
      </c>
      <c r="AD282" s="114">
        <f t="shared" si="63"/>
        <v>10</v>
      </c>
      <c r="AE282" s="114">
        <f t="shared" si="64"/>
        <v>1590</v>
      </c>
    </row>
    <row r="283" spans="3:31" s="29" customFormat="1" x14ac:dyDescent="0.25">
      <c r="C283" s="990" t="s">
        <v>5</v>
      </c>
      <c r="D283" s="990"/>
      <c r="E283" s="990"/>
      <c r="F283" s="992" t="s">
        <v>37</v>
      </c>
      <c r="G283" s="991"/>
      <c r="H283" s="991"/>
      <c r="I283" s="991"/>
      <c r="J283" s="991"/>
      <c r="W283" s="114" t="s">
        <v>340</v>
      </c>
      <c r="X283" s="114">
        <f>Y20</f>
        <v>0.64</v>
      </c>
      <c r="Y283" s="114" t="str">
        <f>X20</f>
        <v>g</v>
      </c>
      <c r="Z283" s="114">
        <v>1</v>
      </c>
      <c r="AA283" s="114">
        <f t="shared" si="61"/>
        <v>0.64</v>
      </c>
      <c r="AB283" s="114">
        <v>0</v>
      </c>
      <c r="AC283" s="114">
        <f t="shared" si="62"/>
        <v>0</v>
      </c>
      <c r="AD283" s="114">
        <f t="shared" si="63"/>
        <v>1</v>
      </c>
      <c r="AE283" s="114">
        <f t="shared" si="64"/>
        <v>0.64</v>
      </c>
    </row>
    <row r="284" spans="3:31" s="29" customFormat="1" x14ac:dyDescent="0.25">
      <c r="C284" s="990"/>
      <c r="D284" s="990"/>
      <c r="E284" s="990"/>
      <c r="F284" s="991"/>
      <c r="G284" s="991"/>
      <c r="H284" s="991"/>
      <c r="I284" s="991"/>
      <c r="J284" s="991"/>
      <c r="Q284" s="114" t="s">
        <v>1681</v>
      </c>
      <c r="R284" s="114">
        <f>U282</f>
        <v>13685.302398487551</v>
      </c>
      <c r="S284" s="608" t="s">
        <v>2142</v>
      </c>
      <c r="T284" s="608">
        <f>(R284*100)/R291</f>
        <v>50.663084770930823</v>
      </c>
      <c r="W284" s="114" t="s">
        <v>337</v>
      </c>
      <c r="X284" s="114">
        <f>SUM(X275:X283)</f>
        <v>527.49</v>
      </c>
      <c r="Y284" s="114"/>
      <c r="Z284" s="114">
        <f>SUM(Z275:Z283)</f>
        <v>165</v>
      </c>
      <c r="AA284" s="114">
        <f>SUM(AA275:AA283)</f>
        <v>6360.6600000000008</v>
      </c>
      <c r="AB284" s="114"/>
      <c r="AC284" s="114"/>
      <c r="AD284" s="114"/>
      <c r="AE284" s="114">
        <f>SUM(AE275:AE283)</f>
        <v>7214.81</v>
      </c>
    </row>
    <row r="285" spans="3:31" s="29" customFormat="1" x14ac:dyDescent="0.25">
      <c r="C285" s="990"/>
      <c r="D285" s="990"/>
      <c r="E285" s="990"/>
      <c r="F285" s="991"/>
      <c r="G285" s="991"/>
      <c r="H285" s="991"/>
      <c r="I285" s="991"/>
      <c r="J285" s="991"/>
      <c r="Q285" s="114" t="s">
        <v>2326</v>
      </c>
      <c r="R285" s="114">
        <f>$AL$26</f>
        <v>1801.715474357886</v>
      </c>
    </row>
    <row r="286" spans="3:31" s="29" customFormat="1" x14ac:dyDescent="0.25">
      <c r="C286" s="990" t="s">
        <v>6</v>
      </c>
      <c r="D286" s="990"/>
      <c r="E286" s="990"/>
      <c r="F286" s="991" t="s">
        <v>9</v>
      </c>
      <c r="G286" s="991"/>
      <c r="H286" s="991"/>
      <c r="I286" s="991"/>
      <c r="J286" s="991"/>
      <c r="Q286" s="114" t="s">
        <v>2325</v>
      </c>
      <c r="R286" s="114">
        <f>$AL$27</f>
        <v>75.599999999999994</v>
      </c>
      <c r="AA286" s="114" t="s">
        <v>1681</v>
      </c>
      <c r="AB286" s="114">
        <f>AE284</f>
        <v>7214.81</v>
      </c>
      <c r="AC286" s="608" t="s">
        <v>2142</v>
      </c>
      <c r="AD286" s="608">
        <f>(AB286*100)/AB293</f>
        <v>45.099047892012386</v>
      </c>
    </row>
    <row r="287" spans="3:31" s="29" customFormat="1" x14ac:dyDescent="0.25">
      <c r="C287" s="990"/>
      <c r="D287" s="990"/>
      <c r="E287" s="990"/>
      <c r="F287" s="991"/>
      <c r="G287" s="991"/>
      <c r="H287" s="991"/>
      <c r="I287" s="991"/>
      <c r="J287" s="991"/>
      <c r="Q287" s="114" t="s">
        <v>1684</v>
      </c>
      <c r="R287" s="114">
        <f>$AL$29</f>
        <v>69.543532482306858</v>
      </c>
      <c r="AA287" s="114" t="s">
        <v>2326</v>
      </c>
      <c r="AB287" s="114">
        <f>$AO$26/2</f>
        <v>476.87414947063905</v>
      </c>
    </row>
    <row r="288" spans="3:31" s="29" customFormat="1" x14ac:dyDescent="0.25">
      <c r="C288" s="990"/>
      <c r="D288" s="990"/>
      <c r="E288" s="990"/>
      <c r="F288" s="991"/>
      <c r="G288" s="991"/>
      <c r="H288" s="991"/>
      <c r="I288" s="991"/>
      <c r="J288" s="991"/>
      <c r="Q288" s="114" t="s">
        <v>1685</v>
      </c>
      <c r="R288" s="114">
        <v>0.6</v>
      </c>
      <c r="AA288" s="114" t="s">
        <v>2325</v>
      </c>
      <c r="AB288" s="114">
        <f>$AO$27/4</f>
        <v>18.899999999999999</v>
      </c>
    </row>
    <row r="289" spans="3:31" s="29" customFormat="1" x14ac:dyDescent="0.25">
      <c r="C289" s="990" t="s">
        <v>7</v>
      </c>
      <c r="D289" s="990"/>
      <c r="E289" s="990"/>
      <c r="F289" s="1007" t="s">
        <v>568</v>
      </c>
      <c r="G289" s="1008"/>
      <c r="H289" s="1008"/>
      <c r="I289" s="1008"/>
      <c r="J289" s="1009"/>
      <c r="Q289" s="114" t="s">
        <v>1708</v>
      </c>
      <c r="R289" s="114">
        <f>(SUM(R284:R287)*R288)+SUM(R284:R287)</f>
        <v>25011.458248524388</v>
      </c>
      <c r="AA289" s="114" t="s">
        <v>1684</v>
      </c>
      <c r="AB289" s="114">
        <f>$AO$29</f>
        <v>1547.3435977313275</v>
      </c>
    </row>
    <row r="290" spans="3:31" s="29" customFormat="1" x14ac:dyDescent="0.25">
      <c r="C290" s="990"/>
      <c r="D290" s="990"/>
      <c r="E290" s="990"/>
      <c r="F290" s="1010"/>
      <c r="G290" s="1011"/>
      <c r="H290" s="1011"/>
      <c r="I290" s="1011"/>
      <c r="J290" s="1012"/>
      <c r="Q290" s="114" t="s">
        <v>2130</v>
      </c>
      <c r="R290" s="114">
        <f>R289*0.08</f>
        <v>2000.9166598819511</v>
      </c>
      <c r="AA290" s="114" t="s">
        <v>1685</v>
      </c>
      <c r="AB290" s="114">
        <v>0.6</v>
      </c>
    </row>
    <row r="291" spans="3:31" s="29" customFormat="1" x14ac:dyDescent="0.25">
      <c r="C291" s="990"/>
      <c r="D291" s="990"/>
      <c r="E291" s="990"/>
      <c r="F291" s="1013"/>
      <c r="G291" s="1014"/>
      <c r="H291" s="1014"/>
      <c r="I291" s="1014"/>
      <c r="J291" s="1015"/>
      <c r="Q291" s="114" t="s">
        <v>1686</v>
      </c>
      <c r="R291" s="114">
        <f>SUM(R289+R290)</f>
        <v>27012.374908406338</v>
      </c>
      <c r="AA291" s="114" t="s">
        <v>1708</v>
      </c>
      <c r="AB291" s="114">
        <f>(SUM(AB286:AB289)*AB290)+SUM(AB286:AB289)</f>
        <v>14812.684395523149</v>
      </c>
    </row>
    <row r="292" spans="3:31" s="29" customFormat="1" x14ac:dyDescent="0.25">
      <c r="AA292" s="114" t="s">
        <v>2130</v>
      </c>
      <c r="AB292" s="114">
        <f>AB291*0.08</f>
        <v>1185.0147516418519</v>
      </c>
    </row>
    <row r="293" spans="3:31" s="29" customFormat="1" x14ac:dyDescent="0.25">
      <c r="AA293" s="114" t="s">
        <v>1686</v>
      </c>
      <c r="AB293" s="114">
        <f>SUM(AB291+AB292)</f>
        <v>15997.699147165</v>
      </c>
    </row>
    <row r="294" spans="3:31" s="29" customFormat="1" x14ac:dyDescent="0.25"/>
    <row r="295" spans="3:31" s="29" customFormat="1" x14ac:dyDescent="0.25"/>
    <row r="296" spans="3:31" s="29" customFormat="1" x14ac:dyDescent="0.25"/>
    <row r="297" spans="3:31" s="29" customFormat="1" x14ac:dyDescent="0.25">
      <c r="C297" s="993" t="s">
        <v>8</v>
      </c>
      <c r="D297" s="993"/>
      <c r="E297" s="993"/>
      <c r="F297" s="993"/>
      <c r="G297" s="993"/>
      <c r="H297" s="993"/>
      <c r="I297" s="993"/>
      <c r="J297" s="993"/>
    </row>
    <row r="298" spans="3:31" s="29" customFormat="1" x14ac:dyDescent="0.25">
      <c r="C298" s="989" t="s">
        <v>0</v>
      </c>
      <c r="D298" s="989"/>
      <c r="E298" s="989"/>
      <c r="F298" s="989" t="s">
        <v>1</v>
      </c>
      <c r="G298" s="989"/>
      <c r="H298" s="989"/>
      <c r="I298" s="989"/>
      <c r="J298" s="989"/>
    </row>
    <row r="299" spans="3:31" s="29" customFormat="1" x14ac:dyDescent="0.25">
      <c r="C299" s="990" t="s">
        <v>2</v>
      </c>
      <c r="D299" s="990"/>
      <c r="E299" s="990"/>
      <c r="F299" s="991" t="s">
        <v>38</v>
      </c>
      <c r="G299" s="991"/>
      <c r="H299" s="991"/>
      <c r="I299" s="991"/>
      <c r="J299" s="991"/>
      <c r="M299" s="113" t="s">
        <v>336</v>
      </c>
      <c r="N299" s="113" t="s">
        <v>174</v>
      </c>
      <c r="O299" s="113" t="s">
        <v>248</v>
      </c>
      <c r="P299" s="113" t="s">
        <v>176</v>
      </c>
      <c r="Q299" s="113" t="s">
        <v>337</v>
      </c>
      <c r="R299" s="113" t="s">
        <v>1641</v>
      </c>
      <c r="S299" s="113" t="s">
        <v>1642</v>
      </c>
      <c r="T299" s="113" t="s">
        <v>1643</v>
      </c>
      <c r="U299" s="113" t="s">
        <v>1644</v>
      </c>
      <c r="W299" s="988" t="s">
        <v>1456</v>
      </c>
      <c r="X299" s="988"/>
      <c r="Y299" s="988"/>
      <c r="Z299" s="988"/>
      <c r="AA299" s="988"/>
      <c r="AB299" s="988"/>
      <c r="AC299" s="988"/>
      <c r="AD299" s="988"/>
      <c r="AE299" s="988"/>
    </row>
    <row r="300" spans="3:31" s="29" customFormat="1" x14ac:dyDescent="0.25">
      <c r="C300" s="990"/>
      <c r="D300" s="990"/>
      <c r="E300" s="990"/>
      <c r="F300" s="991"/>
      <c r="G300" s="991"/>
      <c r="H300" s="991"/>
      <c r="I300" s="991"/>
      <c r="J300" s="991"/>
      <c r="M300" s="114" t="s">
        <v>344</v>
      </c>
      <c r="N300" s="114">
        <f>E23</f>
        <v>2099.0723984875517</v>
      </c>
      <c r="O300" s="114" t="str">
        <f>D23</f>
        <v>g</v>
      </c>
      <c r="P300" s="114">
        <v>100</v>
      </c>
      <c r="Q300" s="114">
        <f>N300</f>
        <v>2099.0723984875517</v>
      </c>
      <c r="R300" s="114">
        <v>0</v>
      </c>
      <c r="S300" s="114">
        <f>P300*R300</f>
        <v>0</v>
      </c>
      <c r="T300" s="114">
        <f>P300-S300</f>
        <v>100</v>
      </c>
      <c r="U300" s="114">
        <f>Q300+((S300*Q300)/P300)</f>
        <v>2099.0723984875517</v>
      </c>
      <c r="W300" s="113" t="s">
        <v>336</v>
      </c>
      <c r="X300" s="113" t="s">
        <v>174</v>
      </c>
      <c r="Y300" s="113" t="s">
        <v>248</v>
      </c>
      <c r="Z300" s="113" t="s">
        <v>176</v>
      </c>
      <c r="AA300" s="113" t="s">
        <v>337</v>
      </c>
      <c r="AB300" s="113" t="s">
        <v>1641</v>
      </c>
      <c r="AC300" s="113" t="s">
        <v>1642</v>
      </c>
      <c r="AD300" s="113" t="s">
        <v>1643</v>
      </c>
      <c r="AE300" s="113" t="s">
        <v>1644</v>
      </c>
    </row>
    <row r="301" spans="3:31" s="29" customFormat="1" x14ac:dyDescent="0.25">
      <c r="C301" s="990"/>
      <c r="D301" s="990"/>
      <c r="E301" s="990"/>
      <c r="F301" s="991"/>
      <c r="G301" s="991"/>
      <c r="H301" s="991"/>
      <c r="I301" s="991"/>
      <c r="J301" s="991"/>
      <c r="M301" s="114" t="s">
        <v>340</v>
      </c>
      <c r="N301" s="114">
        <f>Y20</f>
        <v>0.64</v>
      </c>
      <c r="O301" s="114" t="str">
        <f>X20</f>
        <v>g</v>
      </c>
      <c r="P301" s="114">
        <v>2</v>
      </c>
      <c r="Q301" s="114">
        <f t="shared" ref="Q301:Q307" si="65">N301*P301</f>
        <v>1.28</v>
      </c>
      <c r="R301" s="114">
        <v>0</v>
      </c>
      <c r="S301" s="114">
        <f t="shared" ref="S301:S308" si="66">P301*R301</f>
        <v>0</v>
      </c>
      <c r="T301" s="114">
        <f t="shared" ref="T301:T307" si="67">P301-S301</f>
        <v>2</v>
      </c>
      <c r="U301" s="114">
        <f t="shared" ref="U301:U307" si="68">Q301+((S301*Q301)/P301)</f>
        <v>1.28</v>
      </c>
      <c r="W301" s="114" t="s">
        <v>347</v>
      </c>
      <c r="X301" s="114">
        <f>V6</f>
        <v>28.76</v>
      </c>
      <c r="Y301" s="114" t="str">
        <f>U6</f>
        <v>g</v>
      </c>
      <c r="Z301" s="114">
        <v>30</v>
      </c>
      <c r="AA301" s="114">
        <f>X301*Z301</f>
        <v>862.80000000000007</v>
      </c>
      <c r="AB301" s="114">
        <v>0</v>
      </c>
      <c r="AC301" s="114">
        <f>Z301*AB301</f>
        <v>0</v>
      </c>
      <c r="AD301" s="114">
        <f>Z301-AC301</f>
        <v>30</v>
      </c>
      <c r="AE301" s="114">
        <f>AA301+((AC301*AA301)/Z301)</f>
        <v>862.80000000000007</v>
      </c>
    </row>
    <row r="302" spans="3:31" s="29" customFormat="1" x14ac:dyDescent="0.25">
      <c r="C302" s="989" t="s">
        <v>0</v>
      </c>
      <c r="D302" s="989"/>
      <c r="E302" s="989"/>
      <c r="F302" s="989" t="s">
        <v>1</v>
      </c>
      <c r="G302" s="989"/>
      <c r="H302" s="989"/>
      <c r="I302" s="989"/>
      <c r="J302" s="989"/>
      <c r="M302" s="114" t="s">
        <v>346</v>
      </c>
      <c r="N302" s="114">
        <f>P3</f>
        <v>7</v>
      </c>
      <c r="O302" s="114" t="str">
        <f>O3</f>
        <v>g</v>
      </c>
      <c r="P302" s="114">
        <v>4</v>
      </c>
      <c r="Q302" s="114">
        <f t="shared" si="65"/>
        <v>28</v>
      </c>
      <c r="R302" s="114">
        <f>AJ2</f>
        <v>0.23</v>
      </c>
      <c r="S302" s="114">
        <f t="shared" si="66"/>
        <v>0.92</v>
      </c>
      <c r="T302" s="114">
        <f t="shared" si="67"/>
        <v>3.08</v>
      </c>
      <c r="U302" s="114">
        <f t="shared" si="68"/>
        <v>34.44</v>
      </c>
      <c r="W302" s="114" t="s">
        <v>546</v>
      </c>
      <c r="X302" s="114">
        <f>AE3</f>
        <v>49.18</v>
      </c>
      <c r="Y302" s="114" t="str">
        <f>AD3</f>
        <v>mL</v>
      </c>
      <c r="Z302" s="114">
        <v>5</v>
      </c>
      <c r="AA302" s="114">
        <f t="shared" ref="AA302:AA307" si="69">X302*Z302</f>
        <v>245.9</v>
      </c>
      <c r="AB302" s="114">
        <v>0</v>
      </c>
      <c r="AC302" s="114">
        <f t="shared" ref="AC302:AC307" si="70">Z302*AB302</f>
        <v>0</v>
      </c>
      <c r="AD302" s="114">
        <f t="shared" ref="AD302:AD307" si="71">Z302-AC302</f>
        <v>5</v>
      </c>
      <c r="AE302" s="114">
        <f t="shared" ref="AE302:AE307" si="72">AA302+((AC302*AA302)/Z302)</f>
        <v>245.9</v>
      </c>
    </row>
    <row r="303" spans="3:31" s="29" customFormat="1" x14ac:dyDescent="0.25">
      <c r="C303" s="990" t="s">
        <v>3</v>
      </c>
      <c r="D303" s="990"/>
      <c r="E303" s="990"/>
      <c r="F303" s="992" t="s">
        <v>39</v>
      </c>
      <c r="G303" s="991"/>
      <c r="H303" s="991"/>
      <c r="I303" s="991"/>
      <c r="J303" s="991"/>
      <c r="M303" s="114" t="s">
        <v>547</v>
      </c>
      <c r="N303" s="114">
        <f>V13</f>
        <v>81.900000000000006</v>
      </c>
      <c r="O303" s="114" t="str">
        <f>U13</f>
        <v>g</v>
      </c>
      <c r="P303" s="114">
        <v>30</v>
      </c>
      <c r="Q303" s="114">
        <f t="shared" si="65"/>
        <v>2457</v>
      </c>
      <c r="R303" s="114">
        <v>0</v>
      </c>
      <c r="S303" s="114">
        <f t="shared" si="66"/>
        <v>0</v>
      </c>
      <c r="T303" s="114">
        <f t="shared" si="67"/>
        <v>30</v>
      </c>
      <c r="U303" s="114">
        <f t="shared" si="68"/>
        <v>2457</v>
      </c>
      <c r="W303" s="114" t="s">
        <v>346</v>
      </c>
      <c r="X303" s="114">
        <f>P3</f>
        <v>7</v>
      </c>
      <c r="Y303" s="114" t="str">
        <f>O3</f>
        <v>g</v>
      </c>
      <c r="Z303" s="114">
        <v>12</v>
      </c>
      <c r="AA303" s="114">
        <f t="shared" si="69"/>
        <v>84</v>
      </c>
      <c r="AB303" s="114">
        <f>AJ2</f>
        <v>0.23</v>
      </c>
      <c r="AC303" s="114">
        <f t="shared" si="70"/>
        <v>2.7600000000000002</v>
      </c>
      <c r="AD303" s="114">
        <f t="shared" si="71"/>
        <v>9.24</v>
      </c>
      <c r="AE303" s="114">
        <f t="shared" si="72"/>
        <v>103.32000000000001</v>
      </c>
    </row>
    <row r="304" spans="3:31" s="29" customFormat="1" x14ac:dyDescent="0.25">
      <c r="C304" s="990"/>
      <c r="D304" s="990"/>
      <c r="E304" s="990"/>
      <c r="F304" s="991"/>
      <c r="G304" s="991"/>
      <c r="H304" s="991"/>
      <c r="I304" s="991"/>
      <c r="J304" s="991"/>
      <c r="M304" s="114" t="s">
        <v>353</v>
      </c>
      <c r="N304" s="114">
        <f>AE308</f>
        <v>5944.7800000000007</v>
      </c>
      <c r="O304" s="114" t="s">
        <v>1388</v>
      </c>
      <c r="P304" s="114">
        <v>120</v>
      </c>
      <c r="Q304" s="114">
        <f>N304</f>
        <v>5944.7800000000007</v>
      </c>
      <c r="R304" s="114">
        <v>0</v>
      </c>
      <c r="S304" s="114">
        <f t="shared" si="66"/>
        <v>0</v>
      </c>
      <c r="T304" s="114">
        <f t="shared" si="67"/>
        <v>120</v>
      </c>
      <c r="U304" s="114">
        <f t="shared" si="68"/>
        <v>5944.7800000000007</v>
      </c>
      <c r="W304" s="114" t="s">
        <v>348</v>
      </c>
      <c r="X304" s="114">
        <f>V2</f>
        <v>13.11</v>
      </c>
      <c r="Y304" s="114" t="str">
        <f>U2</f>
        <v>g</v>
      </c>
      <c r="Z304" s="114">
        <v>60</v>
      </c>
      <c r="AA304" s="114">
        <f t="shared" si="69"/>
        <v>786.59999999999991</v>
      </c>
      <c r="AB304" s="114">
        <v>0</v>
      </c>
      <c r="AC304" s="114">
        <f t="shared" si="70"/>
        <v>0</v>
      </c>
      <c r="AD304" s="114">
        <f t="shared" si="71"/>
        <v>60</v>
      </c>
      <c r="AE304" s="114">
        <f t="shared" si="72"/>
        <v>786.59999999999991</v>
      </c>
    </row>
    <row r="305" spans="3:31" s="29" customFormat="1" x14ac:dyDescent="0.25">
      <c r="C305" s="990"/>
      <c r="D305" s="990"/>
      <c r="E305" s="990"/>
      <c r="F305" s="991"/>
      <c r="G305" s="991"/>
      <c r="H305" s="991"/>
      <c r="I305" s="991"/>
      <c r="J305" s="991"/>
      <c r="M305" s="114" t="s">
        <v>438</v>
      </c>
      <c r="N305" s="114">
        <f>S14</f>
        <v>72.95</v>
      </c>
      <c r="O305" s="114" t="str">
        <f>R14</f>
        <v>g</v>
      </c>
      <c r="P305" s="114">
        <v>30</v>
      </c>
      <c r="Q305" s="114">
        <f t="shared" si="65"/>
        <v>2188.5</v>
      </c>
      <c r="R305" s="114">
        <v>0</v>
      </c>
      <c r="S305" s="114">
        <f t="shared" si="66"/>
        <v>0</v>
      </c>
      <c r="T305" s="114">
        <f t="shared" si="67"/>
        <v>30</v>
      </c>
      <c r="U305" s="114">
        <f t="shared" si="68"/>
        <v>2188.5</v>
      </c>
      <c r="W305" s="114" t="s">
        <v>433</v>
      </c>
      <c r="X305" s="114">
        <f>Y18</f>
        <v>223.57</v>
      </c>
      <c r="Y305" s="114" t="str">
        <f>X18</f>
        <v>g</v>
      </c>
      <c r="Z305" s="114">
        <v>8</v>
      </c>
      <c r="AA305" s="114">
        <f t="shared" si="69"/>
        <v>1788.56</v>
      </c>
      <c r="AB305" s="114">
        <v>0</v>
      </c>
      <c r="AC305" s="114">
        <f t="shared" si="70"/>
        <v>0</v>
      </c>
      <c r="AD305" s="114">
        <f t="shared" si="71"/>
        <v>8</v>
      </c>
      <c r="AE305" s="114">
        <f t="shared" si="72"/>
        <v>1788.56</v>
      </c>
    </row>
    <row r="306" spans="3:31" s="29" customFormat="1" x14ac:dyDescent="0.25">
      <c r="C306" s="990" t="s">
        <v>4</v>
      </c>
      <c r="D306" s="990"/>
      <c r="E306" s="990"/>
      <c r="F306" s="991" t="s">
        <v>15</v>
      </c>
      <c r="G306" s="991"/>
      <c r="H306" s="991"/>
      <c r="I306" s="991"/>
      <c r="J306" s="991"/>
      <c r="M306" s="114" t="s">
        <v>349</v>
      </c>
      <c r="N306" s="114">
        <f>S15</f>
        <v>41</v>
      </c>
      <c r="O306" s="114" t="str">
        <f>R15</f>
        <v>g</v>
      </c>
      <c r="P306" s="114">
        <v>40</v>
      </c>
      <c r="Q306" s="114">
        <f t="shared" si="65"/>
        <v>1640</v>
      </c>
      <c r="R306" s="114">
        <f>AN3</f>
        <v>0.47</v>
      </c>
      <c r="S306" s="114">
        <f t="shared" si="66"/>
        <v>18.799999999999997</v>
      </c>
      <c r="T306" s="114">
        <f t="shared" si="67"/>
        <v>21.200000000000003</v>
      </c>
      <c r="U306" s="114">
        <f t="shared" si="68"/>
        <v>2410.8000000000002</v>
      </c>
      <c r="W306" s="114" t="s">
        <v>547</v>
      </c>
      <c r="X306" s="114">
        <f>V13</f>
        <v>81.900000000000006</v>
      </c>
      <c r="Y306" s="114" t="str">
        <f>U13</f>
        <v>g</v>
      </c>
      <c r="Z306" s="114">
        <v>20</v>
      </c>
      <c r="AA306" s="114">
        <f t="shared" si="69"/>
        <v>1638</v>
      </c>
      <c r="AB306" s="114">
        <v>0</v>
      </c>
      <c r="AC306" s="114">
        <f t="shared" si="70"/>
        <v>0</v>
      </c>
      <c r="AD306" s="114">
        <f t="shared" si="71"/>
        <v>20</v>
      </c>
      <c r="AE306" s="114">
        <f t="shared" si="72"/>
        <v>1638</v>
      </c>
    </row>
    <row r="307" spans="3:31" s="29" customFormat="1" x14ac:dyDescent="0.25">
      <c r="C307" s="990"/>
      <c r="D307" s="990"/>
      <c r="E307" s="990"/>
      <c r="F307" s="991"/>
      <c r="G307" s="991"/>
      <c r="H307" s="991"/>
      <c r="I307" s="991"/>
      <c r="J307" s="991"/>
      <c r="M307" s="114" t="s">
        <v>461</v>
      </c>
      <c r="N307" s="114">
        <f>P8</f>
        <v>3.3330000000000002</v>
      </c>
      <c r="O307" s="114" t="str">
        <f>O8</f>
        <v>g</v>
      </c>
      <c r="P307" s="114">
        <v>50</v>
      </c>
      <c r="Q307" s="114">
        <f t="shared" si="65"/>
        <v>166.65</v>
      </c>
      <c r="R307" s="114">
        <f>AJ6</f>
        <v>0.5</v>
      </c>
      <c r="S307" s="114">
        <f t="shared" si="66"/>
        <v>25</v>
      </c>
      <c r="T307" s="114">
        <f t="shared" si="67"/>
        <v>25</v>
      </c>
      <c r="U307" s="114">
        <f t="shared" si="68"/>
        <v>249.97500000000002</v>
      </c>
      <c r="W307" s="114" t="s">
        <v>462</v>
      </c>
      <c r="X307" s="114">
        <f>V12</f>
        <v>25.98</v>
      </c>
      <c r="Y307" s="114" t="str">
        <f>U12</f>
        <v>g</v>
      </c>
      <c r="Z307" s="114">
        <v>20</v>
      </c>
      <c r="AA307" s="114">
        <f t="shared" si="69"/>
        <v>519.6</v>
      </c>
      <c r="AB307" s="114">
        <v>0</v>
      </c>
      <c r="AC307" s="114">
        <f t="shared" si="70"/>
        <v>0</v>
      </c>
      <c r="AD307" s="114">
        <f t="shared" si="71"/>
        <v>20</v>
      </c>
      <c r="AE307" s="114">
        <f t="shared" si="72"/>
        <v>519.6</v>
      </c>
    </row>
    <row r="308" spans="3:31" s="29" customFormat="1" x14ac:dyDescent="0.25">
      <c r="C308" s="990"/>
      <c r="D308" s="990"/>
      <c r="E308" s="990"/>
      <c r="F308" s="991"/>
      <c r="G308" s="991"/>
      <c r="H308" s="991"/>
      <c r="I308" s="991"/>
      <c r="J308" s="991"/>
      <c r="M308" s="114"/>
      <c r="N308" s="114"/>
      <c r="O308" s="114"/>
      <c r="P308" s="114"/>
      <c r="Q308" s="114"/>
      <c r="R308" s="114"/>
      <c r="S308" s="114">
        <f t="shared" si="66"/>
        <v>0</v>
      </c>
      <c r="T308" s="114"/>
      <c r="U308" s="114"/>
      <c r="W308" s="114" t="s">
        <v>337</v>
      </c>
      <c r="X308" s="114">
        <f>SUM(X301:X307)</f>
        <v>429.5</v>
      </c>
      <c r="Y308" s="114"/>
      <c r="Z308" s="114">
        <f>SUM(Z301:Z307)</f>
        <v>155</v>
      </c>
      <c r="AA308" s="114">
        <f>SUM(AA301:AA307)</f>
        <v>5925.46</v>
      </c>
      <c r="AB308" s="114"/>
      <c r="AC308" s="114"/>
      <c r="AD308" s="114"/>
      <c r="AE308" s="114">
        <f>SUM(AE301:AE307)</f>
        <v>5944.7800000000007</v>
      </c>
    </row>
    <row r="309" spans="3:31" s="29" customFormat="1" x14ac:dyDescent="0.25">
      <c r="C309" s="990" t="s">
        <v>5</v>
      </c>
      <c r="D309" s="990"/>
      <c r="E309" s="990"/>
      <c r="F309" s="992" t="s">
        <v>40</v>
      </c>
      <c r="G309" s="991"/>
      <c r="H309" s="991"/>
      <c r="I309" s="991"/>
      <c r="J309" s="991"/>
      <c r="M309" s="114" t="s">
        <v>337</v>
      </c>
      <c r="N309" s="114">
        <f>SUM(N300:N308)</f>
        <v>8250.675398487554</v>
      </c>
      <c r="O309" s="114"/>
      <c r="P309" s="114">
        <f>SUM(P300:P308)</f>
        <v>376</v>
      </c>
      <c r="Q309" s="114">
        <f>SUM(Q300:Q308)</f>
        <v>14525.282398487552</v>
      </c>
      <c r="R309" s="114"/>
      <c r="S309" s="114"/>
      <c r="T309" s="114"/>
      <c r="U309" s="114">
        <f>SUM(U300:U308)</f>
        <v>15385.847398487555</v>
      </c>
    </row>
    <row r="310" spans="3:31" s="29" customFormat="1" x14ac:dyDescent="0.25">
      <c r="C310" s="990"/>
      <c r="D310" s="990"/>
      <c r="E310" s="990"/>
      <c r="F310" s="991"/>
      <c r="G310" s="991"/>
      <c r="H310" s="991"/>
      <c r="I310" s="991"/>
      <c r="J310" s="991"/>
      <c r="AA310" s="114" t="s">
        <v>1681</v>
      </c>
      <c r="AB310" s="114">
        <f>AE308</f>
        <v>5944.7800000000007</v>
      </c>
      <c r="AC310" s="608" t="s">
        <v>2142</v>
      </c>
      <c r="AD310" s="608">
        <f>(AB310*100)/AB317</f>
        <v>43.068480751506549</v>
      </c>
    </row>
    <row r="311" spans="3:31" s="29" customFormat="1" x14ac:dyDescent="0.25">
      <c r="C311" s="990"/>
      <c r="D311" s="990"/>
      <c r="E311" s="990"/>
      <c r="F311" s="991"/>
      <c r="G311" s="991"/>
      <c r="H311" s="991"/>
      <c r="I311" s="991"/>
      <c r="J311" s="991"/>
      <c r="Q311" s="114" t="s">
        <v>1681</v>
      </c>
      <c r="R311" s="114">
        <f>U309</f>
        <v>15385.847398487555</v>
      </c>
      <c r="S311" s="608" t="s">
        <v>2142</v>
      </c>
      <c r="T311" s="608">
        <f>(R311*100)/R318</f>
        <v>51.370205355742193</v>
      </c>
      <c r="AA311" s="114" t="s">
        <v>2326</v>
      </c>
      <c r="AB311" s="114">
        <f>$AO$26/2</f>
        <v>476.87414947063905</v>
      </c>
    </row>
    <row r="312" spans="3:31" s="29" customFormat="1" x14ac:dyDescent="0.25">
      <c r="C312" s="990" t="s">
        <v>6</v>
      </c>
      <c r="D312" s="990"/>
      <c r="E312" s="990"/>
      <c r="F312" s="991" t="s">
        <v>9</v>
      </c>
      <c r="G312" s="991"/>
      <c r="H312" s="991"/>
      <c r="I312" s="991"/>
      <c r="J312" s="991"/>
      <c r="Q312" s="114" t="s">
        <v>2326</v>
      </c>
      <c r="R312" s="114">
        <f>$AL$26</f>
        <v>1801.715474357886</v>
      </c>
      <c r="AA312" s="114" t="s">
        <v>2325</v>
      </c>
      <c r="AB312" s="114">
        <f>$AO$27/4</f>
        <v>18.899999999999999</v>
      </c>
    </row>
    <row r="313" spans="3:31" s="29" customFormat="1" x14ac:dyDescent="0.25">
      <c r="C313" s="990"/>
      <c r="D313" s="990"/>
      <c r="E313" s="990"/>
      <c r="F313" s="991"/>
      <c r="G313" s="991"/>
      <c r="H313" s="991"/>
      <c r="I313" s="991"/>
      <c r="J313" s="991"/>
      <c r="Q313" s="114" t="s">
        <v>2325</v>
      </c>
      <c r="R313" s="114">
        <f>$AL$27</f>
        <v>75.599999999999994</v>
      </c>
      <c r="AA313" s="114" t="s">
        <v>1684</v>
      </c>
      <c r="AB313" s="114">
        <f>$AO$29</f>
        <v>1547.3435977313275</v>
      </c>
    </row>
    <row r="314" spans="3:31" s="29" customFormat="1" x14ac:dyDescent="0.25">
      <c r="C314" s="990"/>
      <c r="D314" s="990"/>
      <c r="E314" s="990"/>
      <c r="F314" s="991"/>
      <c r="G314" s="991"/>
      <c r="H314" s="991"/>
      <c r="I314" s="991"/>
      <c r="J314" s="991"/>
      <c r="Q314" s="114" t="s">
        <v>1684</v>
      </c>
      <c r="R314" s="114">
        <f>$AL$29</f>
        <v>69.543532482306858</v>
      </c>
      <c r="AA314" s="114" t="s">
        <v>1685</v>
      </c>
      <c r="AB314" s="114">
        <v>0.6</v>
      </c>
    </row>
    <row r="315" spans="3:31" s="29" customFormat="1" x14ac:dyDescent="0.25">
      <c r="C315" s="990" t="s">
        <v>7</v>
      </c>
      <c r="D315" s="990"/>
      <c r="E315" s="990"/>
      <c r="F315" s="992" t="s">
        <v>569</v>
      </c>
      <c r="G315" s="991"/>
      <c r="H315" s="991"/>
      <c r="I315" s="991"/>
      <c r="J315" s="991"/>
      <c r="Q315" s="114" t="s">
        <v>1685</v>
      </c>
      <c r="R315" s="114">
        <v>0.6</v>
      </c>
      <c r="AA315" s="114" t="s">
        <v>1708</v>
      </c>
      <c r="AB315" s="114">
        <f>(SUM(AB310:AB313)*AB314)+SUM(AB310:AB313)</f>
        <v>12780.636395523146</v>
      </c>
    </row>
    <row r="316" spans="3:31" s="29" customFormat="1" x14ac:dyDescent="0.25">
      <c r="C316" s="990"/>
      <c r="D316" s="990"/>
      <c r="E316" s="990"/>
      <c r="F316" s="991"/>
      <c r="G316" s="991"/>
      <c r="H316" s="991"/>
      <c r="I316" s="991"/>
      <c r="J316" s="991"/>
      <c r="Q316" s="114" t="s">
        <v>1708</v>
      </c>
      <c r="R316" s="114">
        <f>(SUM(R311:R314)*R315)+SUM(R311:R314)</f>
        <v>27732.330248524391</v>
      </c>
      <c r="AA316" s="114" t="s">
        <v>2130</v>
      </c>
      <c r="AB316" s="114">
        <f>AB315*0.08</f>
        <v>1022.4509116418517</v>
      </c>
    </row>
    <row r="317" spans="3:31" s="29" customFormat="1" x14ac:dyDescent="0.25">
      <c r="C317" s="990"/>
      <c r="D317" s="990"/>
      <c r="E317" s="990"/>
      <c r="F317" s="991"/>
      <c r="G317" s="991"/>
      <c r="H317" s="991"/>
      <c r="I317" s="991"/>
      <c r="J317" s="991"/>
      <c r="Q317" s="114" t="s">
        <v>2130</v>
      </c>
      <c r="R317" s="114">
        <f>R316*0.08</f>
        <v>2218.5864198819513</v>
      </c>
      <c r="AA317" s="114" t="s">
        <v>1686</v>
      </c>
      <c r="AB317" s="114">
        <f>SUM(AB315+AB316)</f>
        <v>13803.087307164998</v>
      </c>
    </row>
    <row r="318" spans="3:31" s="29" customFormat="1" x14ac:dyDescent="0.25">
      <c r="Q318" s="114" t="s">
        <v>1686</v>
      </c>
      <c r="R318" s="114">
        <f>SUM(R316+R317)</f>
        <v>29950.916668406342</v>
      </c>
    </row>
    <row r="319" spans="3:31" s="29" customFormat="1" x14ac:dyDescent="0.25"/>
    <row r="320" spans="3:31" s="29" customFormat="1" x14ac:dyDescent="0.25">
      <c r="C320" s="993" t="s">
        <v>8</v>
      </c>
      <c r="D320" s="993"/>
      <c r="E320" s="993"/>
      <c r="F320" s="993"/>
      <c r="G320" s="993"/>
      <c r="H320" s="993"/>
      <c r="I320" s="993"/>
      <c r="J320" s="993"/>
    </row>
    <row r="321" spans="3:31" s="29" customFormat="1" x14ac:dyDescent="0.25">
      <c r="C321" s="989" t="s">
        <v>0</v>
      </c>
      <c r="D321" s="989"/>
      <c r="E321" s="989"/>
      <c r="F321" s="989" t="s">
        <v>1</v>
      </c>
      <c r="G321" s="989"/>
      <c r="H321" s="989"/>
      <c r="I321" s="989"/>
      <c r="J321" s="989"/>
    </row>
    <row r="322" spans="3:31" s="29" customFormat="1" x14ac:dyDescent="0.25">
      <c r="C322" s="990" t="s">
        <v>2</v>
      </c>
      <c r="D322" s="990"/>
      <c r="E322" s="990"/>
      <c r="F322" s="991" t="s">
        <v>41</v>
      </c>
      <c r="G322" s="991"/>
      <c r="H322" s="991"/>
      <c r="I322" s="991"/>
      <c r="J322" s="991"/>
      <c r="M322" s="113" t="s">
        <v>336</v>
      </c>
      <c r="N322" s="113" t="s">
        <v>174</v>
      </c>
      <c r="O322" s="113" t="s">
        <v>248</v>
      </c>
      <c r="P322" s="113" t="s">
        <v>176</v>
      </c>
      <c r="Q322" s="113" t="s">
        <v>337</v>
      </c>
      <c r="R322" s="113" t="s">
        <v>1641</v>
      </c>
      <c r="S322" s="113" t="s">
        <v>1642</v>
      </c>
      <c r="T322" s="113" t="s">
        <v>1643</v>
      </c>
      <c r="U322" s="113" t="s">
        <v>1644</v>
      </c>
      <c r="W322" s="988" t="s">
        <v>1457</v>
      </c>
      <c r="X322" s="988"/>
      <c r="Y322" s="988"/>
      <c r="Z322" s="988"/>
      <c r="AA322" s="988"/>
      <c r="AB322" s="988"/>
      <c r="AC322" s="988"/>
      <c r="AD322" s="988"/>
      <c r="AE322" s="988"/>
    </row>
    <row r="323" spans="3:31" s="29" customFormat="1" x14ac:dyDescent="0.25">
      <c r="C323" s="990"/>
      <c r="D323" s="990"/>
      <c r="E323" s="990"/>
      <c r="F323" s="991"/>
      <c r="G323" s="991"/>
      <c r="H323" s="991"/>
      <c r="I323" s="991"/>
      <c r="J323" s="991"/>
      <c r="M323" s="114" t="s">
        <v>344</v>
      </c>
      <c r="N323" s="114">
        <f>E23</f>
        <v>2099.0723984875517</v>
      </c>
      <c r="O323" s="114" t="str">
        <f>D23</f>
        <v>g</v>
      </c>
      <c r="P323" s="114">
        <v>100</v>
      </c>
      <c r="Q323" s="114">
        <f>N323</f>
        <v>2099.0723984875517</v>
      </c>
      <c r="R323" s="114">
        <v>0</v>
      </c>
      <c r="S323" s="114">
        <f>P323*R323</f>
        <v>0</v>
      </c>
      <c r="T323" s="114">
        <f>P323-S323</f>
        <v>100</v>
      </c>
      <c r="U323" s="114">
        <f>Q323+((S323*Q323)/P323)</f>
        <v>2099.0723984875517</v>
      </c>
      <c r="W323" s="113" t="s">
        <v>336</v>
      </c>
      <c r="X323" s="113" t="s">
        <v>174</v>
      </c>
      <c r="Y323" s="113" t="s">
        <v>248</v>
      </c>
      <c r="Z323" s="113" t="s">
        <v>176</v>
      </c>
      <c r="AA323" s="113" t="s">
        <v>337</v>
      </c>
      <c r="AB323" s="113" t="s">
        <v>1641</v>
      </c>
      <c r="AC323" s="113" t="s">
        <v>1642</v>
      </c>
      <c r="AD323" s="113" t="s">
        <v>1643</v>
      </c>
      <c r="AE323" s="113" t="s">
        <v>1644</v>
      </c>
    </row>
    <row r="324" spans="3:31" s="29" customFormat="1" x14ac:dyDescent="0.25">
      <c r="C324" s="990"/>
      <c r="D324" s="990"/>
      <c r="E324" s="990"/>
      <c r="F324" s="991"/>
      <c r="G324" s="991"/>
      <c r="H324" s="991"/>
      <c r="I324" s="991"/>
      <c r="J324" s="991"/>
      <c r="M324" s="114" t="s">
        <v>340</v>
      </c>
      <c r="N324" s="114">
        <f>Y20</f>
        <v>0.64</v>
      </c>
      <c r="O324" s="114" t="str">
        <f>X20</f>
        <v>g</v>
      </c>
      <c r="P324" s="114">
        <v>2</v>
      </c>
      <c r="Q324" s="114">
        <f>N324*P324</f>
        <v>1.28</v>
      </c>
      <c r="R324" s="114">
        <v>0</v>
      </c>
      <c r="S324" s="114">
        <f t="shared" ref="S324:S328" si="73">P324*R324</f>
        <v>0</v>
      </c>
      <c r="T324" s="114">
        <f t="shared" ref="T324:T328" si="74">P324-S324</f>
        <v>2</v>
      </c>
      <c r="U324" s="114">
        <f t="shared" ref="U324:U328" si="75">Q324+((S324*Q324)/P324)</f>
        <v>1.28</v>
      </c>
      <c r="W324" s="114" t="s">
        <v>550</v>
      </c>
      <c r="X324" s="114">
        <f>AE5</f>
        <v>2.04</v>
      </c>
      <c r="Y324" s="114" t="str">
        <f>AD5</f>
        <v>g</v>
      </c>
      <c r="Z324" s="114">
        <v>20</v>
      </c>
      <c r="AA324" s="114">
        <f>X324*Z324</f>
        <v>40.799999999999997</v>
      </c>
      <c r="AB324" s="114">
        <v>0</v>
      </c>
      <c r="AC324" s="114">
        <f>Z324*AB324</f>
        <v>0</v>
      </c>
      <c r="AD324" s="114">
        <f>Z324-AC324</f>
        <v>20</v>
      </c>
      <c r="AE324" s="114">
        <f>AA324+((AC324*AA324)/Z324)</f>
        <v>40.799999999999997</v>
      </c>
    </row>
    <row r="325" spans="3:31" s="29" customFormat="1" x14ac:dyDescent="0.25">
      <c r="C325" s="989" t="s">
        <v>0</v>
      </c>
      <c r="D325" s="989"/>
      <c r="E325" s="989"/>
      <c r="F325" s="989" t="s">
        <v>1</v>
      </c>
      <c r="G325" s="989"/>
      <c r="H325" s="989"/>
      <c r="I325" s="989"/>
      <c r="J325" s="989"/>
      <c r="M325" s="114" t="s">
        <v>346</v>
      </c>
      <c r="N325" s="114">
        <f>P3</f>
        <v>7</v>
      </c>
      <c r="O325" s="114" t="str">
        <f>O3</f>
        <v>g</v>
      </c>
      <c r="P325" s="114">
        <v>4</v>
      </c>
      <c r="Q325" s="114">
        <f>N325*P325</f>
        <v>28</v>
      </c>
      <c r="R325" s="114">
        <f>AJ2</f>
        <v>0.23</v>
      </c>
      <c r="S325" s="114">
        <f t="shared" si="73"/>
        <v>0.92</v>
      </c>
      <c r="T325" s="114">
        <f t="shared" si="74"/>
        <v>3.08</v>
      </c>
      <c r="U325" s="114">
        <f t="shared" si="75"/>
        <v>34.44</v>
      </c>
      <c r="W325" s="114" t="s">
        <v>551</v>
      </c>
      <c r="X325" s="114">
        <f>V4</f>
        <v>3.08</v>
      </c>
      <c r="Y325" s="114" t="str">
        <f>U4</f>
        <v>mL</v>
      </c>
      <c r="Z325" s="114">
        <v>100</v>
      </c>
      <c r="AA325" s="114">
        <f>X325*Z325</f>
        <v>308</v>
      </c>
      <c r="AB325" s="114">
        <v>0</v>
      </c>
      <c r="AC325" s="114">
        <f>Z325*AB325</f>
        <v>0</v>
      </c>
      <c r="AD325" s="114">
        <f>Z325-AC325</f>
        <v>100</v>
      </c>
      <c r="AE325" s="114">
        <f>AA325+((AC325*AA325)/Z325)</f>
        <v>308</v>
      </c>
    </row>
    <row r="326" spans="3:31" s="29" customFormat="1" x14ac:dyDescent="0.25">
      <c r="C326" s="990" t="s">
        <v>3</v>
      </c>
      <c r="D326" s="990"/>
      <c r="E326" s="990"/>
      <c r="F326" s="991" t="s">
        <v>42</v>
      </c>
      <c r="G326" s="991"/>
      <c r="H326" s="991"/>
      <c r="I326" s="991"/>
      <c r="J326" s="991"/>
      <c r="M326" s="114" t="s">
        <v>462</v>
      </c>
      <c r="N326" s="114">
        <f>V12</f>
        <v>25.98</v>
      </c>
      <c r="O326" s="114" t="str">
        <f>U12</f>
        <v>g</v>
      </c>
      <c r="P326" s="114">
        <v>30</v>
      </c>
      <c r="Q326" s="114">
        <f>N326*P326</f>
        <v>779.4</v>
      </c>
      <c r="R326" s="114">
        <v>0</v>
      </c>
      <c r="S326" s="114">
        <f t="shared" si="73"/>
        <v>0</v>
      </c>
      <c r="T326" s="114">
        <f t="shared" si="74"/>
        <v>30</v>
      </c>
      <c r="U326" s="114">
        <f t="shared" si="75"/>
        <v>779.4</v>
      </c>
      <c r="W326" s="114" t="s">
        <v>347</v>
      </c>
      <c r="X326" s="114">
        <f>V6</f>
        <v>28.76</v>
      </c>
      <c r="Y326" s="114" t="str">
        <f>U6</f>
        <v>g</v>
      </c>
      <c r="Z326" s="114">
        <v>20</v>
      </c>
      <c r="AA326" s="114">
        <f>X326*Z326</f>
        <v>575.20000000000005</v>
      </c>
      <c r="AB326" s="114">
        <v>0</v>
      </c>
      <c r="AC326" s="114">
        <f>Z326*AB326</f>
        <v>0</v>
      </c>
      <c r="AD326" s="114">
        <f>Z326-AC326</f>
        <v>20</v>
      </c>
      <c r="AE326" s="114">
        <f>AA326+((AC326*AA326)/Z326)</f>
        <v>575.20000000000005</v>
      </c>
    </row>
    <row r="327" spans="3:31" s="29" customFormat="1" x14ac:dyDescent="0.25">
      <c r="C327" s="990"/>
      <c r="D327" s="990"/>
      <c r="E327" s="990"/>
      <c r="F327" s="991"/>
      <c r="G327" s="991"/>
      <c r="H327" s="991"/>
      <c r="I327" s="991"/>
      <c r="J327" s="991"/>
      <c r="M327" s="114" t="s">
        <v>355</v>
      </c>
      <c r="N327" s="114">
        <f>AE329</f>
        <v>1320.04</v>
      </c>
      <c r="O327" s="114" t="s">
        <v>1388</v>
      </c>
      <c r="P327" s="114">
        <v>120</v>
      </c>
      <c r="Q327" s="114">
        <f>N327</f>
        <v>1320.04</v>
      </c>
      <c r="R327" s="114">
        <v>0</v>
      </c>
      <c r="S327" s="114">
        <f t="shared" si="73"/>
        <v>0</v>
      </c>
      <c r="T327" s="114">
        <f t="shared" si="74"/>
        <v>120</v>
      </c>
      <c r="U327" s="114">
        <f>Q327+((S327*Q327)/P327)</f>
        <v>1320.04</v>
      </c>
      <c r="W327" s="114" t="s">
        <v>340</v>
      </c>
      <c r="X327" s="114">
        <f>Y20</f>
        <v>0.64</v>
      </c>
      <c r="Y327" s="114" t="str">
        <f>X20</f>
        <v>g</v>
      </c>
      <c r="Z327" s="114">
        <v>1</v>
      </c>
      <c r="AA327" s="114">
        <f>X327*Z327</f>
        <v>0.64</v>
      </c>
      <c r="AB327" s="114">
        <v>0</v>
      </c>
      <c r="AC327" s="114">
        <f>Z327*AB327</f>
        <v>0</v>
      </c>
      <c r="AD327" s="114">
        <f>Z327-AC327</f>
        <v>1</v>
      </c>
      <c r="AE327" s="114">
        <f>AA327+((AC327*AA327)/Z327)</f>
        <v>0.64</v>
      </c>
    </row>
    <row r="328" spans="3:31" s="29" customFormat="1" x14ac:dyDescent="0.25">
      <c r="C328" s="990"/>
      <c r="D328" s="990"/>
      <c r="E328" s="990"/>
      <c r="F328" s="991"/>
      <c r="G328" s="991"/>
      <c r="H328" s="991"/>
      <c r="I328" s="991"/>
      <c r="J328" s="991"/>
      <c r="M328" s="114" t="s">
        <v>458</v>
      </c>
      <c r="N328" s="114">
        <f>S10</f>
        <v>32.46</v>
      </c>
      <c r="O328" s="114" t="str">
        <f>R10</f>
        <v>g</v>
      </c>
      <c r="P328" s="114">
        <v>40</v>
      </c>
      <c r="Q328" s="114">
        <f>N328*P328</f>
        <v>1298.4000000000001</v>
      </c>
      <c r="R328" s="114">
        <v>0</v>
      </c>
      <c r="S328" s="114">
        <f t="shared" si="73"/>
        <v>0</v>
      </c>
      <c r="T328" s="114">
        <f t="shared" si="74"/>
        <v>40</v>
      </c>
      <c r="U328" s="114">
        <f t="shared" si="75"/>
        <v>1298.4000000000001</v>
      </c>
      <c r="W328" s="114" t="s">
        <v>356</v>
      </c>
      <c r="X328" s="114">
        <f>Y14</f>
        <v>131.80000000000001</v>
      </c>
      <c r="Y328" s="114" t="str">
        <f>X14</f>
        <v>g</v>
      </c>
      <c r="Z328" s="114">
        <v>3</v>
      </c>
      <c r="AA328" s="114">
        <f>X328*Z328</f>
        <v>395.40000000000003</v>
      </c>
      <c r="AB328" s="114">
        <v>0</v>
      </c>
      <c r="AC328" s="114">
        <f>Z328*AB328</f>
        <v>0</v>
      </c>
      <c r="AD328" s="114">
        <f>Z328-AC328</f>
        <v>3</v>
      </c>
      <c r="AE328" s="114">
        <f>AA328+((AC328*AA328)/Z328)</f>
        <v>395.40000000000003</v>
      </c>
    </row>
    <row r="329" spans="3:31" s="29" customFormat="1" x14ac:dyDescent="0.25">
      <c r="C329" s="990" t="s">
        <v>4</v>
      </c>
      <c r="D329" s="990"/>
      <c r="E329" s="990"/>
      <c r="F329" s="991" t="s">
        <v>15</v>
      </c>
      <c r="G329" s="991"/>
      <c r="H329" s="991"/>
      <c r="I329" s="991"/>
      <c r="J329" s="991"/>
      <c r="M329" s="114"/>
      <c r="N329" s="114"/>
      <c r="O329" s="114"/>
      <c r="P329" s="114"/>
      <c r="Q329" s="114"/>
      <c r="R329" s="114"/>
      <c r="S329" s="114"/>
      <c r="T329" s="114"/>
      <c r="U329" s="114"/>
      <c r="W329" s="114" t="s">
        <v>337</v>
      </c>
      <c r="X329" s="114">
        <f>SUM(X324:X328)</f>
        <v>166.32000000000002</v>
      </c>
      <c r="Y329" s="114"/>
      <c r="Z329" s="114">
        <f>SUM(Z324:Z328)</f>
        <v>144</v>
      </c>
      <c r="AA329" s="114">
        <f>SUM(AA324:AA328)</f>
        <v>1320.04</v>
      </c>
      <c r="AB329" s="114"/>
      <c r="AC329" s="114"/>
      <c r="AD329" s="114"/>
      <c r="AE329" s="114">
        <f>SUM(AE324:AE328)</f>
        <v>1320.04</v>
      </c>
    </row>
    <row r="330" spans="3:31" s="29" customFormat="1" x14ac:dyDescent="0.25">
      <c r="C330" s="990"/>
      <c r="D330" s="990"/>
      <c r="E330" s="990"/>
      <c r="F330" s="991"/>
      <c r="G330" s="991"/>
      <c r="H330" s="991"/>
      <c r="I330" s="991"/>
      <c r="J330" s="991"/>
      <c r="M330" s="114"/>
      <c r="N330" s="114"/>
      <c r="O330" s="114"/>
      <c r="P330" s="114"/>
      <c r="Q330" s="114"/>
      <c r="R330" s="114"/>
      <c r="S330" s="114"/>
      <c r="T330" s="114"/>
      <c r="U330" s="114"/>
    </row>
    <row r="331" spans="3:31" s="29" customFormat="1" x14ac:dyDescent="0.25">
      <c r="C331" s="990"/>
      <c r="D331" s="990"/>
      <c r="E331" s="990"/>
      <c r="F331" s="991"/>
      <c r="G331" s="991"/>
      <c r="H331" s="991"/>
      <c r="I331" s="991"/>
      <c r="J331" s="991"/>
      <c r="M331" s="114" t="s">
        <v>337</v>
      </c>
      <c r="N331" s="114">
        <f>SUM(N323:N330)</f>
        <v>3485.1923984875516</v>
      </c>
      <c r="O331" s="114"/>
      <c r="P331" s="114">
        <f>SUM(P323:P330)</f>
        <v>296</v>
      </c>
      <c r="Q331" s="114">
        <f>SUM(Q323:Q330)</f>
        <v>5526.1923984875521</v>
      </c>
      <c r="R331" s="114"/>
      <c r="S331" s="114"/>
      <c r="T331" s="114"/>
      <c r="U331" s="114">
        <f>SUM(U323:U330)</f>
        <v>5532.6323984875526</v>
      </c>
      <c r="AA331" s="114" t="s">
        <v>1681</v>
      </c>
      <c r="AB331" s="114">
        <f>AE329</f>
        <v>1320.04</v>
      </c>
      <c r="AC331" s="608" t="s">
        <v>2142</v>
      </c>
      <c r="AD331" s="608">
        <f>(AB331*100)/AB338</f>
        <v>22.714130423188919</v>
      </c>
    </row>
    <row r="332" spans="3:31" s="29" customFormat="1" x14ac:dyDescent="0.25">
      <c r="C332" s="990" t="s">
        <v>5</v>
      </c>
      <c r="D332" s="990"/>
      <c r="E332" s="990"/>
      <c r="F332" s="991" t="s">
        <v>43</v>
      </c>
      <c r="G332" s="991"/>
      <c r="H332" s="991"/>
      <c r="I332" s="991"/>
      <c r="J332" s="991"/>
      <c r="AA332" s="114" t="s">
        <v>2326</v>
      </c>
      <c r="AB332" s="114">
        <f>$AO$26/2</f>
        <v>476.87414947063905</v>
      </c>
    </row>
    <row r="333" spans="3:31" s="29" customFormat="1" x14ac:dyDescent="0.25">
      <c r="C333" s="990"/>
      <c r="D333" s="990"/>
      <c r="E333" s="990"/>
      <c r="F333" s="991"/>
      <c r="G333" s="991"/>
      <c r="H333" s="991"/>
      <c r="I333" s="991"/>
      <c r="J333" s="991"/>
      <c r="Q333" s="114" t="s">
        <v>1681</v>
      </c>
      <c r="R333" s="114">
        <f>U331</f>
        <v>5532.6323984875526</v>
      </c>
      <c r="S333" s="608" t="s">
        <v>2142</v>
      </c>
      <c r="T333" s="608">
        <f>(R333*100)/R340</f>
        <v>42.807119986195829</v>
      </c>
      <c r="AA333" s="114" t="s">
        <v>2325</v>
      </c>
      <c r="AB333" s="114">
        <f>$AO$27/4</f>
        <v>18.899999999999999</v>
      </c>
    </row>
    <row r="334" spans="3:31" s="29" customFormat="1" x14ac:dyDescent="0.25">
      <c r="C334" s="990"/>
      <c r="D334" s="990"/>
      <c r="E334" s="990"/>
      <c r="F334" s="991"/>
      <c r="G334" s="991"/>
      <c r="H334" s="991"/>
      <c r="I334" s="991"/>
      <c r="J334" s="991"/>
      <c r="Q334" s="114" t="s">
        <v>2326</v>
      </c>
      <c r="R334" s="114">
        <f>$AL$26</f>
        <v>1801.715474357886</v>
      </c>
      <c r="AA334" s="114" t="s">
        <v>1684</v>
      </c>
      <c r="AB334" s="114">
        <f>$AO$29</f>
        <v>1547.3435977313275</v>
      </c>
    </row>
    <row r="335" spans="3:31" s="29" customFormat="1" x14ac:dyDescent="0.25">
      <c r="C335" s="990" t="s">
        <v>6</v>
      </c>
      <c r="D335" s="990"/>
      <c r="E335" s="990"/>
      <c r="F335" s="991" t="s">
        <v>9</v>
      </c>
      <c r="G335" s="991"/>
      <c r="H335" s="991"/>
      <c r="I335" s="991"/>
      <c r="J335" s="991"/>
      <c r="Q335" s="114" t="s">
        <v>2325</v>
      </c>
      <c r="R335" s="114">
        <f>$AL$27</f>
        <v>75.599999999999994</v>
      </c>
      <c r="AA335" s="114" t="s">
        <v>1685</v>
      </c>
      <c r="AB335" s="114">
        <v>0.6</v>
      </c>
    </row>
    <row r="336" spans="3:31" s="29" customFormat="1" x14ac:dyDescent="0.25">
      <c r="C336" s="990"/>
      <c r="D336" s="990"/>
      <c r="E336" s="990"/>
      <c r="F336" s="991"/>
      <c r="G336" s="991"/>
      <c r="H336" s="991"/>
      <c r="I336" s="991"/>
      <c r="J336" s="991"/>
      <c r="Q336" s="114" t="s">
        <v>1684</v>
      </c>
      <c r="R336" s="114">
        <f>$AL$29</f>
        <v>69.543532482306858</v>
      </c>
      <c r="AA336" s="114" t="s">
        <v>1708</v>
      </c>
      <c r="AB336" s="114">
        <f>(SUM(AB331:AB334)*AB335)+SUM(AB331:AB334)</f>
        <v>5381.0523955231465</v>
      </c>
    </row>
    <row r="337" spans="3:28" s="29" customFormat="1" x14ac:dyDescent="0.25">
      <c r="C337" s="990"/>
      <c r="D337" s="990"/>
      <c r="E337" s="990"/>
      <c r="F337" s="991"/>
      <c r="G337" s="991"/>
      <c r="H337" s="991"/>
      <c r="I337" s="991"/>
      <c r="J337" s="991"/>
      <c r="Q337" s="114" t="s">
        <v>1685</v>
      </c>
      <c r="R337" s="114">
        <v>0.6</v>
      </c>
      <c r="AA337" s="114" t="s">
        <v>2130</v>
      </c>
      <c r="AB337" s="114">
        <f>AB336*0.08</f>
        <v>430.48419164185174</v>
      </c>
    </row>
    <row r="338" spans="3:28" s="29" customFormat="1" x14ac:dyDescent="0.25">
      <c r="C338" s="990" t="s">
        <v>7</v>
      </c>
      <c r="D338" s="990"/>
      <c r="E338" s="990"/>
      <c r="F338" s="992" t="s">
        <v>570</v>
      </c>
      <c r="G338" s="991"/>
      <c r="H338" s="991"/>
      <c r="I338" s="991"/>
      <c r="J338" s="991"/>
      <c r="Q338" s="114" t="s">
        <v>1708</v>
      </c>
      <c r="R338" s="114">
        <f>(SUM(R333:R336)*R337)+SUM(R333:R336)</f>
        <v>11967.186248524391</v>
      </c>
      <c r="AA338" s="114" t="s">
        <v>1686</v>
      </c>
      <c r="AB338" s="114">
        <f>SUM(AB336+AB337)</f>
        <v>5811.5365871649983</v>
      </c>
    </row>
    <row r="339" spans="3:28" s="29" customFormat="1" x14ac:dyDescent="0.25">
      <c r="C339" s="990"/>
      <c r="D339" s="990"/>
      <c r="E339" s="990"/>
      <c r="F339" s="991"/>
      <c r="G339" s="991"/>
      <c r="H339" s="991"/>
      <c r="I339" s="991"/>
      <c r="J339" s="991"/>
      <c r="Q339" s="114" t="s">
        <v>2130</v>
      </c>
      <c r="R339" s="114">
        <f>R338*0.08</f>
        <v>957.37489988195125</v>
      </c>
    </row>
    <row r="340" spans="3:28" s="29" customFormat="1" x14ac:dyDescent="0.25">
      <c r="C340" s="990"/>
      <c r="D340" s="990"/>
      <c r="E340" s="990"/>
      <c r="F340" s="991"/>
      <c r="G340" s="991"/>
      <c r="H340" s="991"/>
      <c r="I340" s="991"/>
      <c r="J340" s="991"/>
      <c r="Q340" s="114" t="s">
        <v>1686</v>
      </c>
      <c r="R340" s="114">
        <f>SUM(R338+R339)</f>
        <v>12924.561148406343</v>
      </c>
    </row>
    <row r="341" spans="3:28" s="29" customFormat="1" x14ac:dyDescent="0.25"/>
    <row r="342" spans="3:28" s="29" customFormat="1" x14ac:dyDescent="0.25"/>
    <row r="343" spans="3:28" s="29" customFormat="1" x14ac:dyDescent="0.25">
      <c r="C343" s="993" t="s">
        <v>8</v>
      </c>
      <c r="D343" s="993"/>
      <c r="E343" s="993"/>
      <c r="F343" s="993"/>
      <c r="G343" s="993"/>
      <c r="H343" s="993"/>
      <c r="I343" s="993"/>
      <c r="J343" s="993"/>
      <c r="T343" s="30"/>
      <c r="U343" s="30"/>
      <c r="V343" s="30"/>
      <c r="W343" s="30"/>
      <c r="X343" s="30"/>
    </row>
    <row r="344" spans="3:28" s="29" customFormat="1" x14ac:dyDescent="0.25">
      <c r="C344" s="989" t="s">
        <v>0</v>
      </c>
      <c r="D344" s="989"/>
      <c r="E344" s="989"/>
      <c r="F344" s="989" t="s">
        <v>1</v>
      </c>
      <c r="G344" s="989"/>
      <c r="H344" s="989"/>
      <c r="I344" s="989"/>
      <c r="J344" s="989"/>
      <c r="T344" s="30"/>
      <c r="U344" s="30"/>
      <c r="V344" s="30"/>
      <c r="W344" s="30"/>
      <c r="X344" s="30"/>
    </row>
    <row r="345" spans="3:28" s="29" customFormat="1" x14ac:dyDescent="0.25">
      <c r="C345" s="990" t="s">
        <v>2</v>
      </c>
      <c r="D345" s="990"/>
      <c r="E345" s="990"/>
      <c r="F345" s="991" t="s">
        <v>44</v>
      </c>
      <c r="G345" s="991"/>
      <c r="H345" s="991"/>
      <c r="I345" s="991"/>
      <c r="J345" s="991"/>
      <c r="M345" s="113" t="s">
        <v>336</v>
      </c>
      <c r="N345" s="113" t="s">
        <v>174</v>
      </c>
      <c r="O345" s="113" t="s">
        <v>248</v>
      </c>
      <c r="P345" s="113" t="s">
        <v>176</v>
      </c>
      <c r="Q345" s="113" t="s">
        <v>337</v>
      </c>
      <c r="R345" s="113" t="s">
        <v>1641</v>
      </c>
      <c r="S345" s="113" t="s">
        <v>1642</v>
      </c>
      <c r="T345" s="113" t="s">
        <v>1643</v>
      </c>
      <c r="U345" s="113" t="s">
        <v>1644</v>
      </c>
      <c r="V345" s="103"/>
      <c r="W345" s="103"/>
      <c r="X345" s="103"/>
    </row>
    <row r="346" spans="3:28" s="29" customFormat="1" x14ac:dyDescent="0.25">
      <c r="C346" s="990"/>
      <c r="D346" s="990"/>
      <c r="E346" s="990"/>
      <c r="F346" s="991"/>
      <c r="G346" s="991"/>
      <c r="H346" s="991"/>
      <c r="I346" s="991"/>
      <c r="J346" s="991"/>
      <c r="M346" s="114" t="s">
        <v>344</v>
      </c>
      <c r="N346" s="114">
        <f>E23</f>
        <v>2099.0723984875517</v>
      </c>
      <c r="O346" s="114" t="str">
        <f>D23</f>
        <v>g</v>
      </c>
      <c r="P346" s="114">
        <v>100</v>
      </c>
      <c r="Q346" s="114">
        <f>N346</f>
        <v>2099.0723984875517</v>
      </c>
      <c r="R346" s="114">
        <v>0</v>
      </c>
      <c r="S346" s="114">
        <f>P346*R346</f>
        <v>0</v>
      </c>
      <c r="T346" s="114">
        <f>P346-S346</f>
        <v>100</v>
      </c>
      <c r="U346" s="114">
        <f>Q346+((S346*Q346)/P346)</f>
        <v>2099.0723984875517</v>
      </c>
      <c r="V346" s="104"/>
      <c r="W346" s="104"/>
      <c r="X346" s="104"/>
    </row>
    <row r="347" spans="3:28" s="29" customFormat="1" x14ac:dyDescent="0.25">
      <c r="C347" s="990"/>
      <c r="D347" s="990"/>
      <c r="E347" s="990"/>
      <c r="F347" s="991"/>
      <c r="G347" s="991"/>
      <c r="H347" s="991"/>
      <c r="I347" s="991"/>
      <c r="J347" s="991"/>
      <c r="M347" s="114" t="s">
        <v>340</v>
      </c>
      <c r="N347" s="114">
        <f>Y20</f>
        <v>0.64</v>
      </c>
      <c r="O347" s="114" t="str">
        <f>X20</f>
        <v>g</v>
      </c>
      <c r="P347" s="114">
        <v>2</v>
      </c>
      <c r="Q347" s="114">
        <f t="shared" ref="Q347:Q352" si="76">N347*P347</f>
        <v>1.28</v>
      </c>
      <c r="R347" s="114">
        <v>0</v>
      </c>
      <c r="S347" s="114">
        <f t="shared" ref="S347:S352" si="77">P347*R347</f>
        <v>0</v>
      </c>
      <c r="T347" s="114">
        <f t="shared" ref="T347:T352" si="78">P347-S347</f>
        <v>2</v>
      </c>
      <c r="U347" s="114">
        <f t="shared" ref="U347:U352" si="79">Q347+((S347*Q347)/P347)</f>
        <v>1.28</v>
      </c>
      <c r="V347" s="30"/>
      <c r="W347" s="30"/>
      <c r="X347" s="30"/>
    </row>
    <row r="348" spans="3:28" s="29" customFormat="1" x14ac:dyDescent="0.25">
      <c r="C348" s="989" t="s">
        <v>0</v>
      </c>
      <c r="D348" s="989"/>
      <c r="E348" s="989"/>
      <c r="F348" s="989" t="s">
        <v>1</v>
      </c>
      <c r="G348" s="989"/>
      <c r="H348" s="989"/>
      <c r="I348" s="989"/>
      <c r="J348" s="989"/>
      <c r="M348" s="114" t="s">
        <v>346</v>
      </c>
      <c r="N348" s="114">
        <f>P3</f>
        <v>7</v>
      </c>
      <c r="O348" s="114" t="str">
        <f>O3</f>
        <v>g</v>
      </c>
      <c r="P348" s="114">
        <v>6</v>
      </c>
      <c r="Q348" s="114">
        <f t="shared" si="76"/>
        <v>42</v>
      </c>
      <c r="R348" s="114">
        <f>AJ2</f>
        <v>0.23</v>
      </c>
      <c r="S348" s="114">
        <f t="shared" si="77"/>
        <v>1.3800000000000001</v>
      </c>
      <c r="T348" s="114">
        <f t="shared" si="78"/>
        <v>4.62</v>
      </c>
      <c r="U348" s="114">
        <f t="shared" si="79"/>
        <v>51.660000000000004</v>
      </c>
      <c r="V348" s="30"/>
      <c r="W348" s="30"/>
      <c r="X348" s="30"/>
    </row>
    <row r="349" spans="3:28" s="29" customFormat="1" x14ac:dyDescent="0.25">
      <c r="C349" s="990" t="s">
        <v>3</v>
      </c>
      <c r="D349" s="990"/>
      <c r="E349" s="990"/>
      <c r="F349" s="991" t="s">
        <v>45</v>
      </c>
      <c r="G349" s="991"/>
      <c r="H349" s="991"/>
      <c r="I349" s="991"/>
      <c r="J349" s="991"/>
      <c r="M349" s="114" t="s">
        <v>572</v>
      </c>
      <c r="N349" s="114">
        <f>P30</f>
        <v>3</v>
      </c>
      <c r="O349" s="114" t="str">
        <f>O30</f>
        <v>g</v>
      </c>
      <c r="P349" s="114">
        <v>100</v>
      </c>
      <c r="Q349" s="114">
        <f t="shared" si="76"/>
        <v>300</v>
      </c>
      <c r="R349" s="114">
        <v>0</v>
      </c>
      <c r="S349" s="114">
        <f t="shared" si="77"/>
        <v>0</v>
      </c>
      <c r="T349" s="114">
        <f t="shared" si="78"/>
        <v>100</v>
      </c>
      <c r="U349" s="114">
        <f t="shared" si="79"/>
        <v>300</v>
      </c>
      <c r="V349" s="30"/>
      <c r="W349" s="30"/>
      <c r="X349" s="30"/>
    </row>
    <row r="350" spans="3:28" s="29" customFormat="1" x14ac:dyDescent="0.25">
      <c r="C350" s="990"/>
      <c r="D350" s="990"/>
      <c r="E350" s="990"/>
      <c r="F350" s="991"/>
      <c r="G350" s="991"/>
      <c r="H350" s="991"/>
      <c r="I350" s="991"/>
      <c r="J350" s="991"/>
      <c r="M350" s="114" t="s">
        <v>463</v>
      </c>
      <c r="N350" s="114">
        <f>Y18+Y13</f>
        <v>328.97</v>
      </c>
      <c r="O350" s="114" t="str">
        <f>X13</f>
        <v>g</v>
      </c>
      <c r="P350" s="114">
        <v>40</v>
      </c>
      <c r="Q350" s="114">
        <f t="shared" si="76"/>
        <v>13158.800000000001</v>
      </c>
      <c r="R350" s="114">
        <v>0</v>
      </c>
      <c r="S350" s="114">
        <f t="shared" si="77"/>
        <v>0</v>
      </c>
      <c r="T350" s="114">
        <f t="shared" si="78"/>
        <v>40</v>
      </c>
      <c r="U350" s="114">
        <f t="shared" si="79"/>
        <v>13158.800000000001</v>
      </c>
      <c r="V350" s="30"/>
      <c r="W350" s="30"/>
      <c r="X350" s="30"/>
    </row>
    <row r="351" spans="3:28" s="29" customFormat="1" x14ac:dyDescent="0.25">
      <c r="C351" s="990"/>
      <c r="D351" s="990"/>
      <c r="E351" s="990"/>
      <c r="F351" s="991"/>
      <c r="G351" s="991"/>
      <c r="H351" s="991"/>
      <c r="I351" s="991"/>
      <c r="J351" s="991"/>
      <c r="M351" s="114" t="s">
        <v>347</v>
      </c>
      <c r="N351" s="114">
        <f>V6</f>
        <v>28.76</v>
      </c>
      <c r="O351" s="114" t="str">
        <f>U6</f>
        <v>g</v>
      </c>
      <c r="P351" s="114">
        <v>50</v>
      </c>
      <c r="Q351" s="114">
        <f t="shared" si="76"/>
        <v>1438</v>
      </c>
      <c r="R351" s="114">
        <v>0</v>
      </c>
      <c r="S351" s="114">
        <f t="shared" si="77"/>
        <v>0</v>
      </c>
      <c r="T351" s="114">
        <f t="shared" si="78"/>
        <v>50</v>
      </c>
      <c r="U351" s="114">
        <f t="shared" si="79"/>
        <v>1438</v>
      </c>
      <c r="V351" s="30"/>
      <c r="W351" s="30"/>
      <c r="X351" s="30"/>
    </row>
    <row r="352" spans="3:28" s="29" customFormat="1" x14ac:dyDescent="0.25">
      <c r="C352" s="990" t="s">
        <v>4</v>
      </c>
      <c r="D352" s="990"/>
      <c r="E352" s="990"/>
      <c r="F352" s="991" t="s">
        <v>15</v>
      </c>
      <c r="G352" s="991"/>
      <c r="H352" s="991"/>
      <c r="I352" s="991"/>
      <c r="J352" s="991"/>
      <c r="M352" s="114" t="s">
        <v>465</v>
      </c>
      <c r="N352" s="114">
        <f>S13</f>
        <v>53.54</v>
      </c>
      <c r="O352" s="114" t="str">
        <f>R13</f>
        <v>g</v>
      </c>
      <c r="P352" s="114">
        <v>85</v>
      </c>
      <c r="Q352" s="114">
        <f t="shared" si="76"/>
        <v>4550.8999999999996</v>
      </c>
      <c r="R352" s="114">
        <f>AN7</f>
        <v>0.45</v>
      </c>
      <c r="S352" s="114">
        <f t="shared" si="77"/>
        <v>38.25</v>
      </c>
      <c r="T352" s="114">
        <f t="shared" si="78"/>
        <v>46.75</v>
      </c>
      <c r="U352" s="114">
        <f t="shared" si="79"/>
        <v>6598.8049999999994</v>
      </c>
      <c r="V352" s="30"/>
      <c r="W352" s="30"/>
      <c r="X352" s="30"/>
    </row>
    <row r="353" spans="3:31" s="29" customFormat="1" x14ac:dyDescent="0.25">
      <c r="C353" s="990"/>
      <c r="D353" s="990"/>
      <c r="E353" s="990"/>
      <c r="F353" s="991"/>
      <c r="G353" s="991"/>
      <c r="H353" s="991"/>
      <c r="I353" s="991"/>
      <c r="J353" s="991"/>
      <c r="M353" s="114"/>
      <c r="N353" s="114"/>
      <c r="O353" s="114"/>
      <c r="P353" s="114"/>
      <c r="Q353" s="114"/>
      <c r="R353" s="114"/>
      <c r="S353" s="114"/>
      <c r="T353" s="114"/>
      <c r="U353" s="114"/>
    </row>
    <row r="354" spans="3:31" s="29" customFormat="1" x14ac:dyDescent="0.25">
      <c r="C354" s="990"/>
      <c r="D354" s="990"/>
      <c r="E354" s="990"/>
      <c r="F354" s="991"/>
      <c r="G354" s="991"/>
      <c r="H354" s="991"/>
      <c r="I354" s="991"/>
      <c r="J354" s="991"/>
      <c r="M354" s="114" t="s">
        <v>337</v>
      </c>
      <c r="N354" s="114">
        <f>SUM(N346:N353)</f>
        <v>2520.982398487552</v>
      </c>
      <c r="O354" s="114"/>
      <c r="P354" s="114">
        <f>SUM(P346:P353)</f>
        <v>383</v>
      </c>
      <c r="Q354" s="114">
        <f>SUM(Q346:Q353)</f>
        <v>21590.052398487554</v>
      </c>
      <c r="R354" s="114"/>
      <c r="S354" s="114"/>
      <c r="T354" s="114"/>
      <c r="U354" s="114">
        <f>SUM(U346:U353)</f>
        <v>23647.617398487553</v>
      </c>
    </row>
    <row r="355" spans="3:31" s="29" customFormat="1" x14ac:dyDescent="0.25">
      <c r="C355" s="990" t="s">
        <v>5</v>
      </c>
      <c r="D355" s="990"/>
      <c r="E355" s="990"/>
      <c r="F355" s="991" t="s">
        <v>46</v>
      </c>
      <c r="G355" s="991"/>
      <c r="H355" s="991"/>
      <c r="I355" s="991"/>
      <c r="J355" s="991"/>
    </row>
    <row r="356" spans="3:31" s="29" customFormat="1" x14ac:dyDescent="0.25">
      <c r="C356" s="990"/>
      <c r="D356" s="990"/>
      <c r="E356" s="990"/>
      <c r="F356" s="991"/>
      <c r="G356" s="991"/>
      <c r="H356" s="991"/>
      <c r="I356" s="991"/>
      <c r="J356" s="991"/>
      <c r="Q356" s="114" t="s">
        <v>1681</v>
      </c>
      <c r="R356" s="114">
        <f>U354</f>
        <v>23647.617398487553</v>
      </c>
      <c r="S356" s="608" t="s">
        <v>2142</v>
      </c>
      <c r="T356" s="608">
        <f>(R356*100)/R363</f>
        <v>53.468426372747473</v>
      </c>
    </row>
    <row r="357" spans="3:31" s="29" customFormat="1" x14ac:dyDescent="0.25">
      <c r="C357" s="990"/>
      <c r="D357" s="990"/>
      <c r="E357" s="990"/>
      <c r="F357" s="991"/>
      <c r="G357" s="991"/>
      <c r="H357" s="991"/>
      <c r="I357" s="991"/>
      <c r="J357" s="991"/>
      <c r="Q357" s="114" t="s">
        <v>2326</v>
      </c>
      <c r="R357" s="114">
        <f>$AL$26</f>
        <v>1801.715474357886</v>
      </c>
    </row>
    <row r="358" spans="3:31" s="29" customFormat="1" x14ac:dyDescent="0.25">
      <c r="C358" s="990" t="s">
        <v>6</v>
      </c>
      <c r="D358" s="990"/>
      <c r="E358" s="990"/>
      <c r="F358" s="991" t="s">
        <v>9</v>
      </c>
      <c r="G358" s="991"/>
      <c r="H358" s="991"/>
      <c r="I358" s="991"/>
      <c r="J358" s="991"/>
      <c r="Q358" s="114" t="s">
        <v>2325</v>
      </c>
      <c r="R358" s="114">
        <f>$AL$27</f>
        <v>75.599999999999994</v>
      </c>
    </row>
    <row r="359" spans="3:31" s="29" customFormat="1" x14ac:dyDescent="0.25">
      <c r="C359" s="990"/>
      <c r="D359" s="990"/>
      <c r="E359" s="990"/>
      <c r="F359" s="991"/>
      <c r="G359" s="991"/>
      <c r="H359" s="991"/>
      <c r="I359" s="991"/>
      <c r="J359" s="991"/>
      <c r="Q359" s="114" t="s">
        <v>1684</v>
      </c>
      <c r="R359" s="114">
        <f>$AL$29</f>
        <v>69.543532482306858</v>
      </c>
    </row>
    <row r="360" spans="3:31" s="29" customFormat="1" x14ac:dyDescent="0.25">
      <c r="C360" s="990"/>
      <c r="D360" s="990"/>
      <c r="E360" s="990"/>
      <c r="F360" s="991"/>
      <c r="G360" s="991"/>
      <c r="H360" s="991"/>
      <c r="I360" s="991"/>
      <c r="J360" s="991"/>
      <c r="Q360" s="114" t="s">
        <v>1685</v>
      </c>
      <c r="R360" s="114">
        <v>0.6</v>
      </c>
    </row>
    <row r="361" spans="3:31" s="29" customFormat="1" x14ac:dyDescent="0.25">
      <c r="C361" s="990" t="s">
        <v>7</v>
      </c>
      <c r="D361" s="990"/>
      <c r="E361" s="990"/>
      <c r="F361" s="991" t="s">
        <v>571</v>
      </c>
      <c r="G361" s="991"/>
      <c r="H361" s="991"/>
      <c r="I361" s="991"/>
      <c r="J361" s="991"/>
      <c r="Q361" s="114" t="s">
        <v>1708</v>
      </c>
      <c r="R361" s="114">
        <f>(SUM(R356:R359)*R360)+SUM(R356:R359)</f>
        <v>40951.162248524393</v>
      </c>
    </row>
    <row r="362" spans="3:31" s="29" customFormat="1" x14ac:dyDescent="0.25">
      <c r="C362" s="990"/>
      <c r="D362" s="990"/>
      <c r="E362" s="990"/>
      <c r="F362" s="991"/>
      <c r="G362" s="991"/>
      <c r="H362" s="991"/>
      <c r="I362" s="991"/>
      <c r="J362" s="991"/>
      <c r="Q362" s="114" t="s">
        <v>2130</v>
      </c>
      <c r="R362" s="114">
        <f>R361*0.08</f>
        <v>3276.0929798819516</v>
      </c>
    </row>
    <row r="363" spans="3:31" s="29" customFormat="1" x14ac:dyDescent="0.25">
      <c r="C363" s="990"/>
      <c r="D363" s="990"/>
      <c r="E363" s="990"/>
      <c r="F363" s="991"/>
      <c r="G363" s="991"/>
      <c r="H363" s="991"/>
      <c r="I363" s="991"/>
      <c r="J363" s="991"/>
      <c r="Q363" s="114" t="s">
        <v>1686</v>
      </c>
      <c r="R363" s="114">
        <f>SUM(R361+R362)</f>
        <v>44227.255228406342</v>
      </c>
    </row>
    <row r="364" spans="3:31" s="29" customFormat="1" x14ac:dyDescent="0.25"/>
    <row r="365" spans="3:31" s="29" customFormat="1" x14ac:dyDescent="0.25"/>
    <row r="366" spans="3:31" s="29" customFormat="1" x14ac:dyDescent="0.25">
      <c r="C366" s="993" t="s">
        <v>8</v>
      </c>
      <c r="D366" s="993"/>
      <c r="E366" s="993"/>
      <c r="F366" s="993"/>
      <c r="G366" s="993"/>
      <c r="H366" s="993"/>
      <c r="I366" s="993"/>
      <c r="J366" s="993"/>
    </row>
    <row r="367" spans="3:31" s="29" customFormat="1" x14ac:dyDescent="0.25">
      <c r="C367" s="989" t="s">
        <v>0</v>
      </c>
      <c r="D367" s="989"/>
      <c r="E367" s="989"/>
      <c r="F367" s="989" t="s">
        <v>1</v>
      </c>
      <c r="G367" s="989"/>
      <c r="H367" s="989"/>
      <c r="I367" s="989"/>
      <c r="J367" s="989"/>
    </row>
    <row r="368" spans="3:31" s="29" customFormat="1" x14ac:dyDescent="0.25">
      <c r="C368" s="990" t="s">
        <v>2</v>
      </c>
      <c r="D368" s="990"/>
      <c r="E368" s="990"/>
      <c r="F368" s="991" t="s">
        <v>305</v>
      </c>
      <c r="G368" s="991"/>
      <c r="H368" s="991"/>
      <c r="I368" s="991"/>
      <c r="J368" s="991"/>
      <c r="M368" s="113" t="s">
        <v>336</v>
      </c>
      <c r="N368" s="113" t="s">
        <v>174</v>
      </c>
      <c r="O368" s="113" t="s">
        <v>248</v>
      </c>
      <c r="P368" s="113" t="s">
        <v>176</v>
      </c>
      <c r="Q368" s="113" t="s">
        <v>337</v>
      </c>
      <c r="R368" s="113" t="s">
        <v>1641</v>
      </c>
      <c r="S368" s="113" t="s">
        <v>1642</v>
      </c>
      <c r="T368" s="113" t="s">
        <v>1643</v>
      </c>
      <c r="U368" s="113" t="s">
        <v>1644</v>
      </c>
      <c r="W368" s="994" t="s">
        <v>1465</v>
      </c>
      <c r="X368" s="994"/>
      <c r="Y368" s="994"/>
      <c r="Z368" s="994"/>
      <c r="AA368" s="994"/>
      <c r="AB368" s="994"/>
      <c r="AC368" s="994"/>
      <c r="AD368" s="994"/>
      <c r="AE368" s="994"/>
    </row>
    <row r="369" spans="3:31" s="29" customFormat="1" x14ac:dyDescent="0.25">
      <c r="C369" s="990"/>
      <c r="D369" s="990"/>
      <c r="E369" s="990"/>
      <c r="F369" s="991"/>
      <c r="G369" s="991"/>
      <c r="H369" s="991"/>
      <c r="I369" s="991"/>
      <c r="J369" s="991"/>
      <c r="M369" s="114" t="s">
        <v>344</v>
      </c>
      <c r="N369" s="114">
        <f>E23</f>
        <v>2099.0723984875517</v>
      </c>
      <c r="O369" s="114" t="str">
        <f>D23</f>
        <v>g</v>
      </c>
      <c r="P369" s="114">
        <v>100</v>
      </c>
      <c r="Q369" s="114">
        <f>N369</f>
        <v>2099.0723984875517</v>
      </c>
      <c r="R369" s="114">
        <v>0</v>
      </c>
      <c r="S369" s="114">
        <f>P369*R369</f>
        <v>0</v>
      </c>
      <c r="T369" s="114">
        <f>P369-S369</f>
        <v>100</v>
      </c>
      <c r="U369" s="114">
        <f>Q369+((S369*Q369)/P369)</f>
        <v>2099.0723984875517</v>
      </c>
      <c r="W369" s="113" t="s">
        <v>336</v>
      </c>
      <c r="X369" s="113" t="s">
        <v>174</v>
      </c>
      <c r="Y369" s="113" t="s">
        <v>248</v>
      </c>
      <c r="Z369" s="113" t="s">
        <v>176</v>
      </c>
      <c r="AA369" s="113" t="s">
        <v>337</v>
      </c>
      <c r="AB369" s="113" t="s">
        <v>1641</v>
      </c>
      <c r="AC369" s="113" t="s">
        <v>1642</v>
      </c>
      <c r="AD369" s="113" t="s">
        <v>1643</v>
      </c>
      <c r="AE369" s="113" t="s">
        <v>1644</v>
      </c>
    </row>
    <row r="370" spans="3:31" s="29" customFormat="1" x14ac:dyDescent="0.25">
      <c r="C370" s="990"/>
      <c r="D370" s="990"/>
      <c r="E370" s="990"/>
      <c r="F370" s="991"/>
      <c r="G370" s="991"/>
      <c r="H370" s="991"/>
      <c r="I370" s="991"/>
      <c r="J370" s="991"/>
      <c r="M370" s="114" t="s">
        <v>340</v>
      </c>
      <c r="N370" s="114">
        <f>Y20</f>
        <v>0.64</v>
      </c>
      <c r="O370" s="114" t="str">
        <f>X20</f>
        <v>g</v>
      </c>
      <c r="P370" s="114">
        <v>2</v>
      </c>
      <c r="Q370" s="114">
        <f t="shared" ref="Q370:Q375" si="80">N370*P370</f>
        <v>1.28</v>
      </c>
      <c r="R370" s="114">
        <v>0</v>
      </c>
      <c r="S370" s="114">
        <f t="shared" ref="S370:S376" si="81">P370*R370</f>
        <v>0</v>
      </c>
      <c r="T370" s="114">
        <f t="shared" ref="T370:T376" si="82">P370-S370</f>
        <v>2</v>
      </c>
      <c r="U370" s="114">
        <f t="shared" ref="U370:U376" si="83">Q370+((S370*Q370)/P370)</f>
        <v>1.28</v>
      </c>
      <c r="W370" s="114" t="s">
        <v>546</v>
      </c>
      <c r="X370" s="114">
        <f>AE3</f>
        <v>49.18</v>
      </c>
      <c r="Y370" s="114" t="str">
        <f>AD3</f>
        <v>mL</v>
      </c>
      <c r="Z370" s="114">
        <v>20</v>
      </c>
      <c r="AA370" s="114">
        <f>X370*Z370</f>
        <v>983.6</v>
      </c>
      <c r="AB370" s="114">
        <v>0</v>
      </c>
      <c r="AC370" s="114">
        <f>Z370*AB370</f>
        <v>0</v>
      </c>
      <c r="AD370" s="114">
        <f>Z370-AC370</f>
        <v>20</v>
      </c>
      <c r="AE370" s="114">
        <f>AA370+((AC370*AA370)/Z370)</f>
        <v>983.6</v>
      </c>
    </row>
    <row r="371" spans="3:31" s="29" customFormat="1" x14ac:dyDescent="0.25">
      <c r="C371" s="989" t="s">
        <v>0</v>
      </c>
      <c r="D371" s="989"/>
      <c r="E371" s="989"/>
      <c r="F371" s="989" t="s">
        <v>1</v>
      </c>
      <c r="G371" s="989"/>
      <c r="H371" s="989"/>
      <c r="I371" s="989"/>
      <c r="J371" s="989"/>
      <c r="M371" s="114" t="s">
        <v>465</v>
      </c>
      <c r="N371" s="114">
        <f>S13</f>
        <v>53.54</v>
      </c>
      <c r="O371" s="114" t="str">
        <f>R13</f>
        <v>g</v>
      </c>
      <c r="P371" s="114">
        <v>30</v>
      </c>
      <c r="Q371" s="114">
        <f t="shared" si="80"/>
        <v>1606.2</v>
      </c>
      <c r="R371" s="114">
        <f>AN7</f>
        <v>0.45</v>
      </c>
      <c r="S371" s="114">
        <f t="shared" si="81"/>
        <v>13.5</v>
      </c>
      <c r="T371" s="114">
        <f t="shared" si="82"/>
        <v>16.5</v>
      </c>
      <c r="U371" s="114">
        <f t="shared" si="83"/>
        <v>2328.9900000000002</v>
      </c>
      <c r="W371" s="114" t="s">
        <v>346</v>
      </c>
      <c r="X371" s="114">
        <f>P3</f>
        <v>7</v>
      </c>
      <c r="Y371" s="114" t="str">
        <f>O3</f>
        <v>g</v>
      </c>
      <c r="Z371" s="114">
        <v>4</v>
      </c>
      <c r="AA371" s="114">
        <f t="shared" ref="AA371:AA376" si="84">X371*Z371</f>
        <v>28</v>
      </c>
      <c r="AB371" s="114">
        <f>AJ2</f>
        <v>0.23</v>
      </c>
      <c r="AC371" s="114">
        <f t="shared" ref="AC371:AC376" si="85">Z371*AB371</f>
        <v>0.92</v>
      </c>
      <c r="AD371" s="114">
        <f t="shared" ref="AD371:AD376" si="86">Z371-AC371</f>
        <v>3.08</v>
      </c>
      <c r="AE371" s="114">
        <f t="shared" ref="AE371:AE376" si="87">AA371+((AC371*AA371)/Z371)</f>
        <v>34.44</v>
      </c>
    </row>
    <row r="372" spans="3:31" s="29" customFormat="1" x14ac:dyDescent="0.25">
      <c r="C372" s="990" t="s">
        <v>3</v>
      </c>
      <c r="D372" s="990"/>
      <c r="E372" s="990"/>
      <c r="F372" s="992" t="s">
        <v>309</v>
      </c>
      <c r="G372" s="991"/>
      <c r="H372" s="991"/>
      <c r="I372" s="991"/>
      <c r="J372" s="991"/>
      <c r="M372" s="114" t="s">
        <v>466</v>
      </c>
      <c r="N372" s="114">
        <f>S2</f>
        <v>44.2</v>
      </c>
      <c r="O372" s="114" t="str">
        <f>R2</f>
        <v>g</v>
      </c>
      <c r="P372" s="114">
        <v>30</v>
      </c>
      <c r="Q372" s="114">
        <f t="shared" si="80"/>
        <v>1326</v>
      </c>
      <c r="R372" s="114">
        <f>AN5</f>
        <v>0</v>
      </c>
      <c r="S372" s="114">
        <f t="shared" si="81"/>
        <v>0</v>
      </c>
      <c r="T372" s="114">
        <f t="shared" si="82"/>
        <v>30</v>
      </c>
      <c r="U372" s="114">
        <f t="shared" si="83"/>
        <v>1326</v>
      </c>
      <c r="W372" s="114" t="s">
        <v>430</v>
      </c>
      <c r="X372" s="114">
        <f>P10</f>
        <v>0.7</v>
      </c>
      <c r="Y372" s="114" t="str">
        <f>O10</f>
        <v>g</v>
      </c>
      <c r="Z372" s="114">
        <v>40</v>
      </c>
      <c r="AA372" s="114">
        <f t="shared" si="84"/>
        <v>28</v>
      </c>
      <c r="AB372" s="114">
        <f>AJ7</f>
        <v>0.15</v>
      </c>
      <c r="AC372" s="114">
        <f t="shared" si="85"/>
        <v>6</v>
      </c>
      <c r="AD372" s="114">
        <f t="shared" si="86"/>
        <v>34</v>
      </c>
      <c r="AE372" s="114">
        <f t="shared" si="87"/>
        <v>32.200000000000003</v>
      </c>
    </row>
    <row r="373" spans="3:31" s="29" customFormat="1" x14ac:dyDescent="0.25">
      <c r="C373" s="990"/>
      <c r="D373" s="990"/>
      <c r="E373" s="990"/>
      <c r="F373" s="991"/>
      <c r="G373" s="991"/>
      <c r="H373" s="991"/>
      <c r="I373" s="991"/>
      <c r="J373" s="991"/>
      <c r="M373" s="114" t="s">
        <v>467</v>
      </c>
      <c r="N373" s="114">
        <f>S11</f>
        <v>123</v>
      </c>
      <c r="O373" s="114" t="str">
        <f>R11</f>
        <v>g</v>
      </c>
      <c r="P373" s="114">
        <v>30</v>
      </c>
      <c r="Q373" s="114">
        <f t="shared" si="80"/>
        <v>3690</v>
      </c>
      <c r="R373" s="114">
        <f>AN9</f>
        <v>0.52</v>
      </c>
      <c r="S373" s="114">
        <f t="shared" si="81"/>
        <v>15.600000000000001</v>
      </c>
      <c r="T373" s="114">
        <f t="shared" si="82"/>
        <v>14.399999999999999</v>
      </c>
      <c r="U373" s="114">
        <f t="shared" si="83"/>
        <v>5608.8</v>
      </c>
      <c r="W373" s="114" t="s">
        <v>429</v>
      </c>
      <c r="X373" s="114">
        <f>P29</f>
        <v>1.8</v>
      </c>
      <c r="Y373" s="114" t="str">
        <f>O29</f>
        <v>g</v>
      </c>
      <c r="Z373" s="114">
        <v>60</v>
      </c>
      <c r="AA373" s="114">
        <f t="shared" si="84"/>
        <v>108</v>
      </c>
      <c r="AB373" s="114">
        <f>AJ18</f>
        <v>0.05</v>
      </c>
      <c r="AC373" s="114">
        <f t="shared" si="85"/>
        <v>3</v>
      </c>
      <c r="AD373" s="114">
        <f t="shared" si="86"/>
        <v>57</v>
      </c>
      <c r="AE373" s="114">
        <f t="shared" si="87"/>
        <v>113.4</v>
      </c>
    </row>
    <row r="374" spans="3:31" s="29" customFormat="1" x14ac:dyDescent="0.25">
      <c r="C374" s="990"/>
      <c r="D374" s="990"/>
      <c r="E374" s="990"/>
      <c r="F374" s="991"/>
      <c r="G374" s="991"/>
      <c r="H374" s="991"/>
      <c r="I374" s="991"/>
      <c r="J374" s="991"/>
      <c r="M374" s="114" t="s">
        <v>468</v>
      </c>
      <c r="N374" s="114">
        <f>S5</f>
        <v>118.57</v>
      </c>
      <c r="O374" s="114" t="str">
        <f>R5</f>
        <v>g</v>
      </c>
      <c r="P374" s="114">
        <v>30</v>
      </c>
      <c r="Q374" s="114">
        <f t="shared" si="80"/>
        <v>3557.1</v>
      </c>
      <c r="R374" s="114">
        <f>AN9</f>
        <v>0.52</v>
      </c>
      <c r="S374" s="114">
        <f t="shared" si="81"/>
        <v>15.600000000000001</v>
      </c>
      <c r="T374" s="114">
        <f t="shared" si="82"/>
        <v>14.399999999999999</v>
      </c>
      <c r="U374" s="114">
        <f t="shared" si="83"/>
        <v>5406.7919999999995</v>
      </c>
      <c r="W374" s="114" t="s">
        <v>470</v>
      </c>
      <c r="X374" s="114">
        <f>Y15</f>
        <v>159</v>
      </c>
      <c r="Y374" s="114" t="str">
        <f>X15</f>
        <v>g</v>
      </c>
      <c r="Z374" s="114">
        <v>15</v>
      </c>
      <c r="AA374" s="114">
        <f t="shared" si="84"/>
        <v>2385</v>
      </c>
      <c r="AB374" s="114">
        <v>0</v>
      </c>
      <c r="AC374" s="114">
        <f t="shared" si="85"/>
        <v>0</v>
      </c>
      <c r="AD374" s="114">
        <f t="shared" si="86"/>
        <v>15</v>
      </c>
      <c r="AE374" s="114">
        <f t="shared" si="87"/>
        <v>2385</v>
      </c>
    </row>
    <row r="375" spans="3:31" s="29" customFormat="1" x14ac:dyDescent="0.25">
      <c r="C375" s="990" t="s">
        <v>4</v>
      </c>
      <c r="D375" s="990"/>
      <c r="E375" s="990"/>
      <c r="F375" s="991" t="s">
        <v>15</v>
      </c>
      <c r="G375" s="991"/>
      <c r="H375" s="991"/>
      <c r="I375" s="991"/>
      <c r="J375" s="991"/>
      <c r="M375" s="114" t="s">
        <v>469</v>
      </c>
      <c r="N375" s="114">
        <f>S17</f>
        <v>153.78</v>
      </c>
      <c r="O375" s="114" t="str">
        <f>R17</f>
        <v>g</v>
      </c>
      <c r="P375" s="114">
        <v>20</v>
      </c>
      <c r="Q375" s="114">
        <f t="shared" si="80"/>
        <v>3075.6</v>
      </c>
      <c r="R375" s="114">
        <f>AN9</f>
        <v>0.52</v>
      </c>
      <c r="S375" s="114">
        <f t="shared" si="81"/>
        <v>10.4</v>
      </c>
      <c r="T375" s="114">
        <f t="shared" si="82"/>
        <v>9.6</v>
      </c>
      <c r="U375" s="114">
        <f t="shared" si="83"/>
        <v>4674.9120000000003</v>
      </c>
      <c r="W375" s="114" t="s">
        <v>433</v>
      </c>
      <c r="X375" s="114">
        <f>Y18</f>
        <v>223.57</v>
      </c>
      <c r="Y375" s="114" t="str">
        <f>X18</f>
        <v>g</v>
      </c>
      <c r="Z375" s="114">
        <v>8</v>
      </c>
      <c r="AA375" s="114">
        <f t="shared" si="84"/>
        <v>1788.56</v>
      </c>
      <c r="AB375" s="114">
        <v>0</v>
      </c>
      <c r="AC375" s="114">
        <f t="shared" si="85"/>
        <v>0</v>
      </c>
      <c r="AD375" s="114">
        <f t="shared" si="86"/>
        <v>8</v>
      </c>
      <c r="AE375" s="114">
        <f t="shared" si="87"/>
        <v>1788.56</v>
      </c>
    </row>
    <row r="376" spans="3:31" s="29" customFormat="1" x14ac:dyDescent="0.25">
      <c r="C376" s="990"/>
      <c r="D376" s="990"/>
      <c r="E376" s="990"/>
      <c r="F376" s="991"/>
      <c r="G376" s="991"/>
      <c r="H376" s="991"/>
      <c r="I376" s="991"/>
      <c r="J376" s="991"/>
      <c r="M376" s="114" t="s">
        <v>760</v>
      </c>
      <c r="N376" s="114">
        <f>AE377</f>
        <v>5787.2000000000007</v>
      </c>
      <c r="O376" s="114" t="s">
        <v>1388</v>
      </c>
      <c r="P376" s="114">
        <v>120</v>
      </c>
      <c r="Q376" s="114">
        <f>N376</f>
        <v>5787.2000000000007</v>
      </c>
      <c r="R376" s="114">
        <v>0</v>
      </c>
      <c r="S376" s="114">
        <f t="shared" si="81"/>
        <v>0</v>
      </c>
      <c r="T376" s="114">
        <f t="shared" si="82"/>
        <v>120</v>
      </c>
      <c r="U376" s="114">
        <f t="shared" si="83"/>
        <v>5787.2000000000007</v>
      </c>
      <c r="W376" s="114" t="s">
        <v>442</v>
      </c>
      <c r="X376" s="114">
        <f>Y3</f>
        <v>30</v>
      </c>
      <c r="Y376" s="114" t="str">
        <f>X3</f>
        <v>g</v>
      </c>
      <c r="Z376" s="114">
        <v>15</v>
      </c>
      <c r="AA376" s="114">
        <f t="shared" si="84"/>
        <v>450</v>
      </c>
      <c r="AB376" s="114">
        <v>0</v>
      </c>
      <c r="AC376" s="114">
        <f t="shared" si="85"/>
        <v>0</v>
      </c>
      <c r="AD376" s="114">
        <f t="shared" si="86"/>
        <v>15</v>
      </c>
      <c r="AE376" s="114">
        <f t="shared" si="87"/>
        <v>450</v>
      </c>
    </row>
    <row r="377" spans="3:31" s="29" customFormat="1" x14ac:dyDescent="0.25">
      <c r="C377" s="990"/>
      <c r="D377" s="990"/>
      <c r="E377" s="990"/>
      <c r="F377" s="991"/>
      <c r="G377" s="991"/>
      <c r="H377" s="991"/>
      <c r="I377" s="991"/>
      <c r="J377" s="991"/>
      <c r="M377" s="114"/>
      <c r="N377" s="114"/>
      <c r="O377" s="114"/>
      <c r="P377" s="114"/>
      <c r="Q377" s="114"/>
      <c r="R377" s="114"/>
      <c r="S377" s="114"/>
      <c r="T377" s="114"/>
      <c r="U377" s="114"/>
      <c r="W377" s="114" t="s">
        <v>337</v>
      </c>
      <c r="X377" s="114">
        <f>SUM(X370:X376)</f>
        <v>471.25</v>
      </c>
      <c r="Y377" s="114"/>
      <c r="Z377" s="114">
        <f>SUM(Z370:Z376)</f>
        <v>162</v>
      </c>
      <c r="AA377" s="114">
        <f>SUM(AA370:AA376)</f>
        <v>5771.16</v>
      </c>
      <c r="AB377" s="114"/>
      <c r="AC377" s="114"/>
      <c r="AD377" s="114"/>
      <c r="AE377" s="114">
        <f>SUM(AE370:AE376)</f>
        <v>5787.2000000000007</v>
      </c>
    </row>
    <row r="378" spans="3:31" s="29" customFormat="1" x14ac:dyDescent="0.25">
      <c r="C378" s="990" t="s">
        <v>5</v>
      </c>
      <c r="D378" s="990"/>
      <c r="E378" s="990"/>
      <c r="F378" s="991" t="s">
        <v>47</v>
      </c>
      <c r="G378" s="991"/>
      <c r="H378" s="991"/>
      <c r="I378" s="991"/>
      <c r="J378" s="991"/>
      <c r="M378" s="114"/>
      <c r="N378" s="114"/>
      <c r="O378" s="114"/>
      <c r="P378" s="114"/>
      <c r="Q378" s="114"/>
      <c r="R378" s="114"/>
      <c r="S378" s="114"/>
      <c r="T378" s="114"/>
      <c r="U378" s="114"/>
      <c r="W378" s="29" t="s">
        <v>48</v>
      </c>
    </row>
    <row r="379" spans="3:31" s="29" customFormat="1" x14ac:dyDescent="0.25">
      <c r="C379" s="990"/>
      <c r="D379" s="990"/>
      <c r="E379" s="990"/>
      <c r="F379" s="991"/>
      <c r="G379" s="991"/>
      <c r="H379" s="991"/>
      <c r="I379" s="991"/>
      <c r="J379" s="991"/>
      <c r="M379" s="114" t="s">
        <v>337</v>
      </c>
      <c r="N379" s="114">
        <f>SUM(N369:N378)</f>
        <v>8380.0023984875515</v>
      </c>
      <c r="O379" s="114"/>
      <c r="P379" s="114">
        <f>SUM(P369:P378)</f>
        <v>362</v>
      </c>
      <c r="Q379" s="114">
        <f>SUM(Q369:Q378)</f>
        <v>21142.452398487552</v>
      </c>
      <c r="R379" s="114"/>
      <c r="S379" s="114"/>
      <c r="T379" s="114"/>
      <c r="U379" s="114">
        <f>SUM(U369:U378)</f>
        <v>27233.046398487553</v>
      </c>
      <c r="AA379" s="114" t="s">
        <v>1681</v>
      </c>
      <c r="AB379" s="114">
        <f>AE377</f>
        <v>5787.2000000000007</v>
      </c>
      <c r="AC379" s="608" t="s">
        <v>2142</v>
      </c>
      <c r="AD379" s="608">
        <f>(AB379*100)/AB386</f>
        <v>42.770602448040002</v>
      </c>
    </row>
    <row r="380" spans="3:31" s="29" customFormat="1" x14ac:dyDescent="0.25">
      <c r="C380" s="990"/>
      <c r="D380" s="990"/>
      <c r="E380" s="990"/>
      <c r="F380" s="991"/>
      <c r="G380" s="991"/>
      <c r="H380" s="991"/>
      <c r="I380" s="991"/>
      <c r="J380" s="991"/>
      <c r="AA380" s="114" t="s">
        <v>2326</v>
      </c>
      <c r="AB380" s="114">
        <f>$AO$26/2</f>
        <v>476.87414947063905</v>
      </c>
    </row>
    <row r="381" spans="3:31" s="29" customFormat="1" x14ac:dyDescent="0.25">
      <c r="C381" s="990" t="s">
        <v>6</v>
      </c>
      <c r="D381" s="990"/>
      <c r="E381" s="990"/>
      <c r="F381" s="991" t="s">
        <v>9</v>
      </c>
      <c r="G381" s="991"/>
      <c r="H381" s="991"/>
      <c r="I381" s="991"/>
      <c r="J381" s="991"/>
      <c r="Q381" s="114" t="s">
        <v>1681</v>
      </c>
      <c r="R381" s="114">
        <f>U379</f>
        <v>27233.046398487553</v>
      </c>
      <c r="S381" s="608" t="s">
        <v>2142</v>
      </c>
      <c r="T381" s="608">
        <f>(R381*100)/R388</f>
        <v>54.009307415582221</v>
      </c>
      <c r="AA381" s="114" t="s">
        <v>2325</v>
      </c>
      <c r="AB381" s="114">
        <f>$AO$27/4</f>
        <v>18.899999999999999</v>
      </c>
    </row>
    <row r="382" spans="3:31" s="29" customFormat="1" x14ac:dyDescent="0.25">
      <c r="C382" s="990"/>
      <c r="D382" s="990"/>
      <c r="E382" s="990"/>
      <c r="F382" s="991"/>
      <c r="G382" s="991"/>
      <c r="H382" s="991"/>
      <c r="I382" s="991"/>
      <c r="J382" s="991"/>
      <c r="Q382" s="114" t="s">
        <v>2326</v>
      </c>
      <c r="R382" s="114">
        <f>$AL$26</f>
        <v>1801.715474357886</v>
      </c>
      <c r="AA382" s="114" t="s">
        <v>1684</v>
      </c>
      <c r="AB382" s="114">
        <f>$AO$29</f>
        <v>1547.3435977313275</v>
      </c>
    </row>
    <row r="383" spans="3:31" s="29" customFormat="1" x14ac:dyDescent="0.25">
      <c r="C383" s="990"/>
      <c r="D383" s="990"/>
      <c r="E383" s="990"/>
      <c r="F383" s="991"/>
      <c r="G383" s="991"/>
      <c r="H383" s="991"/>
      <c r="I383" s="991"/>
      <c r="J383" s="991"/>
      <c r="Q383" s="114" t="s">
        <v>2325</v>
      </c>
      <c r="R383" s="114">
        <f>$AL$27</f>
        <v>75.599999999999994</v>
      </c>
      <c r="AA383" s="114" t="s">
        <v>1685</v>
      </c>
      <c r="AB383" s="114">
        <v>0.6</v>
      </c>
    </row>
    <row r="384" spans="3:31" s="29" customFormat="1" x14ac:dyDescent="0.25">
      <c r="C384" s="990" t="s">
        <v>7</v>
      </c>
      <c r="D384" s="990"/>
      <c r="E384" s="990"/>
      <c r="F384" s="992" t="s">
        <v>573</v>
      </c>
      <c r="G384" s="991"/>
      <c r="H384" s="991"/>
      <c r="I384" s="991"/>
      <c r="J384" s="991"/>
      <c r="Q384" s="114" t="s">
        <v>1684</v>
      </c>
      <c r="R384" s="114">
        <f>$AL$29</f>
        <v>69.543532482306858</v>
      </c>
      <c r="AA384" s="114" t="s">
        <v>1708</v>
      </c>
      <c r="AB384" s="114">
        <f>(SUM(AB379:AB382)*AB383)+SUM(AB379:AB382)</f>
        <v>12528.508395523146</v>
      </c>
    </row>
    <row r="385" spans="3:28" s="29" customFormat="1" x14ac:dyDescent="0.25">
      <c r="C385" s="990"/>
      <c r="D385" s="990"/>
      <c r="E385" s="990"/>
      <c r="F385" s="991"/>
      <c r="G385" s="991"/>
      <c r="H385" s="991"/>
      <c r="I385" s="991"/>
      <c r="J385" s="991"/>
      <c r="Q385" s="114" t="s">
        <v>1685</v>
      </c>
      <c r="R385" s="114">
        <v>0.6</v>
      </c>
      <c r="AA385" s="114" t="s">
        <v>2130</v>
      </c>
      <c r="AB385" s="114">
        <f>AB384*0.08</f>
        <v>1002.2806716418517</v>
      </c>
    </row>
    <row r="386" spans="3:28" s="29" customFormat="1" x14ac:dyDescent="0.25">
      <c r="C386" s="990"/>
      <c r="D386" s="990"/>
      <c r="E386" s="990"/>
      <c r="F386" s="991"/>
      <c r="G386" s="991"/>
      <c r="H386" s="991"/>
      <c r="I386" s="991"/>
      <c r="J386" s="991"/>
      <c r="Q386" s="114" t="s">
        <v>1708</v>
      </c>
      <c r="R386" s="114">
        <f>(SUM(R381:R384)*R385)+SUM(R381:R384)</f>
        <v>46687.848648524392</v>
      </c>
      <c r="AA386" s="114" t="s">
        <v>1686</v>
      </c>
      <c r="AB386" s="114">
        <f>SUM(AB384+AB385)</f>
        <v>13530.789067164997</v>
      </c>
    </row>
    <row r="387" spans="3:28" s="29" customFormat="1" x14ac:dyDescent="0.25">
      <c r="Q387" s="114" t="s">
        <v>2130</v>
      </c>
      <c r="R387" s="114">
        <f>R386*0.08</f>
        <v>3735.0278918819513</v>
      </c>
    </row>
    <row r="388" spans="3:28" s="29" customFormat="1" x14ac:dyDescent="0.25">
      <c r="Q388" s="114" t="s">
        <v>1686</v>
      </c>
      <c r="R388" s="114">
        <f>SUM(R386+R387)</f>
        <v>50422.876540406345</v>
      </c>
      <c r="S388" s="30"/>
      <c r="T388" s="30"/>
      <c r="U388" s="30"/>
      <c r="V388" s="30"/>
      <c r="W388" s="30"/>
      <c r="X388" s="30"/>
      <c r="Y388" s="30"/>
    </row>
    <row r="389" spans="3:28" s="29" customFormat="1" x14ac:dyDescent="0.25">
      <c r="C389" s="993" t="s">
        <v>8</v>
      </c>
      <c r="D389" s="993"/>
      <c r="E389" s="993"/>
      <c r="F389" s="993"/>
      <c r="G389" s="993"/>
      <c r="H389" s="993"/>
      <c r="I389" s="993"/>
      <c r="J389" s="993"/>
      <c r="S389" s="30"/>
      <c r="T389" s="30"/>
      <c r="U389" s="30"/>
      <c r="V389" s="30"/>
      <c r="W389" s="30"/>
      <c r="X389" s="30"/>
      <c r="Y389" s="30"/>
    </row>
    <row r="390" spans="3:28" s="29" customFormat="1" x14ac:dyDescent="0.25">
      <c r="C390" s="989" t="s">
        <v>0</v>
      </c>
      <c r="D390" s="989"/>
      <c r="E390" s="989"/>
      <c r="F390" s="989" t="s">
        <v>1</v>
      </c>
      <c r="G390" s="989"/>
      <c r="H390" s="989"/>
      <c r="I390" s="989"/>
      <c r="J390" s="989"/>
      <c r="S390" s="30"/>
      <c r="T390" s="30"/>
      <c r="U390" s="30"/>
      <c r="V390" s="30"/>
      <c r="W390" s="30"/>
      <c r="X390" s="30"/>
      <c r="Y390" s="30"/>
    </row>
    <row r="391" spans="3:28" s="29" customFormat="1" x14ac:dyDescent="0.25">
      <c r="C391" s="990" t="s">
        <v>2</v>
      </c>
      <c r="D391" s="990"/>
      <c r="E391" s="990"/>
      <c r="F391" s="991" t="s">
        <v>306</v>
      </c>
      <c r="G391" s="991"/>
      <c r="H391" s="991"/>
      <c r="I391" s="991"/>
      <c r="J391" s="991"/>
      <c r="M391" s="113" t="s">
        <v>336</v>
      </c>
      <c r="N391" s="113" t="s">
        <v>174</v>
      </c>
      <c r="O391" s="113" t="s">
        <v>248</v>
      </c>
      <c r="P391" s="113" t="s">
        <v>176</v>
      </c>
      <c r="Q391" s="113" t="s">
        <v>337</v>
      </c>
      <c r="R391" s="113" t="s">
        <v>1641</v>
      </c>
      <c r="S391" s="113" t="s">
        <v>1642</v>
      </c>
      <c r="T391" s="113" t="s">
        <v>1643</v>
      </c>
      <c r="U391" s="113" t="s">
        <v>1644</v>
      </c>
      <c r="V391" s="103"/>
      <c r="W391" s="103"/>
      <c r="X391" s="103"/>
      <c r="Y391" s="30"/>
    </row>
    <row r="392" spans="3:28" s="29" customFormat="1" x14ac:dyDescent="0.25">
      <c r="C392" s="990"/>
      <c r="D392" s="990"/>
      <c r="E392" s="990"/>
      <c r="F392" s="991"/>
      <c r="G392" s="991"/>
      <c r="H392" s="991"/>
      <c r="I392" s="991"/>
      <c r="J392" s="991"/>
      <c r="M392" s="114" t="s">
        <v>344</v>
      </c>
      <c r="N392" s="114">
        <f>E23</f>
        <v>2099.0723984875517</v>
      </c>
      <c r="O392" s="114" t="str">
        <f>D23</f>
        <v>g</v>
      </c>
      <c r="P392" s="114">
        <v>100</v>
      </c>
      <c r="Q392" s="114">
        <f>N392</f>
        <v>2099.0723984875517</v>
      </c>
      <c r="R392" s="114">
        <v>0</v>
      </c>
      <c r="S392" s="114">
        <f>P392*R392</f>
        <v>0</v>
      </c>
      <c r="T392" s="114">
        <f>P392-S392</f>
        <v>100</v>
      </c>
      <c r="U392" s="114">
        <f>Q392+((S392*Q392)/P392)</f>
        <v>2099.0723984875517</v>
      </c>
      <c r="V392" s="104"/>
      <c r="W392" s="104"/>
      <c r="X392" s="104"/>
      <c r="Y392" s="30"/>
    </row>
    <row r="393" spans="3:28" s="29" customFormat="1" x14ac:dyDescent="0.25">
      <c r="C393" s="990"/>
      <c r="D393" s="990"/>
      <c r="E393" s="990"/>
      <c r="F393" s="991"/>
      <c r="G393" s="991"/>
      <c r="H393" s="991"/>
      <c r="I393" s="991"/>
      <c r="J393" s="991"/>
      <c r="M393" s="114" t="s">
        <v>340</v>
      </c>
      <c r="N393" s="114">
        <f>Y20</f>
        <v>0.64</v>
      </c>
      <c r="O393" s="114" t="str">
        <f>X20</f>
        <v>g</v>
      </c>
      <c r="P393" s="114">
        <v>2</v>
      </c>
      <c r="Q393" s="114">
        <f t="shared" ref="Q393:Q400" si="88">N393*P393</f>
        <v>1.28</v>
      </c>
      <c r="R393" s="114">
        <v>0</v>
      </c>
      <c r="S393" s="114">
        <f t="shared" ref="S393:S400" si="89">P393*R393</f>
        <v>0</v>
      </c>
      <c r="T393" s="114">
        <f t="shared" ref="T393:T400" si="90">P393-S393</f>
        <v>2</v>
      </c>
      <c r="U393" s="114">
        <f t="shared" ref="U393:U400" si="91">Q393+((S393*Q393)/P393)</f>
        <v>1.28</v>
      </c>
      <c r="V393" s="30"/>
      <c r="W393" s="30"/>
      <c r="X393" s="30"/>
      <c r="Y393" s="30"/>
    </row>
    <row r="394" spans="3:28" s="29" customFormat="1" x14ac:dyDescent="0.25">
      <c r="C394" s="989" t="s">
        <v>0</v>
      </c>
      <c r="D394" s="989"/>
      <c r="E394" s="989"/>
      <c r="F394" s="989" t="s">
        <v>1</v>
      </c>
      <c r="G394" s="989"/>
      <c r="H394" s="989"/>
      <c r="I394" s="989"/>
      <c r="J394" s="989"/>
      <c r="M394" s="114" t="s">
        <v>433</v>
      </c>
      <c r="N394" s="114">
        <f>Y18</f>
        <v>223.57</v>
      </c>
      <c r="O394" s="114" t="str">
        <f>X18</f>
        <v>g</v>
      </c>
      <c r="P394" s="114">
        <v>6</v>
      </c>
      <c r="Q394" s="114">
        <f t="shared" si="88"/>
        <v>1341.42</v>
      </c>
      <c r="R394" s="114">
        <v>0</v>
      </c>
      <c r="S394" s="114">
        <f t="shared" si="89"/>
        <v>0</v>
      </c>
      <c r="T394" s="114">
        <f t="shared" si="90"/>
        <v>6</v>
      </c>
      <c r="U394" s="114">
        <f t="shared" si="91"/>
        <v>1341.42</v>
      </c>
      <c r="V394" s="30"/>
      <c r="W394" s="30"/>
      <c r="X394" s="30"/>
      <c r="Y394" s="30"/>
    </row>
    <row r="395" spans="3:28" s="29" customFormat="1" x14ac:dyDescent="0.25">
      <c r="C395" s="990" t="s">
        <v>3</v>
      </c>
      <c r="D395" s="990"/>
      <c r="E395" s="990"/>
      <c r="F395" s="992" t="s">
        <v>1827</v>
      </c>
      <c r="G395" s="991"/>
      <c r="H395" s="991"/>
      <c r="I395" s="991"/>
      <c r="J395" s="991"/>
      <c r="M395" s="114" t="s">
        <v>430</v>
      </c>
      <c r="N395" s="153">
        <f>P10</f>
        <v>0.7</v>
      </c>
      <c r="O395" s="114" t="str">
        <f>O10</f>
        <v>g</v>
      </c>
      <c r="P395" s="114">
        <v>20</v>
      </c>
      <c r="Q395" s="114">
        <f t="shared" si="88"/>
        <v>14</v>
      </c>
      <c r="R395" s="114">
        <f>AJ7</f>
        <v>0.15</v>
      </c>
      <c r="S395" s="114">
        <f t="shared" si="89"/>
        <v>3</v>
      </c>
      <c r="T395" s="114">
        <f t="shared" si="90"/>
        <v>17</v>
      </c>
      <c r="U395" s="114">
        <f t="shared" si="91"/>
        <v>16.100000000000001</v>
      </c>
      <c r="V395" s="30"/>
      <c r="W395" s="30"/>
      <c r="X395" s="30"/>
      <c r="Y395" s="30"/>
    </row>
    <row r="396" spans="3:28" s="29" customFormat="1" x14ac:dyDescent="0.25">
      <c r="C396" s="990"/>
      <c r="D396" s="990"/>
      <c r="E396" s="990"/>
      <c r="F396" s="991"/>
      <c r="G396" s="991"/>
      <c r="H396" s="991"/>
      <c r="I396" s="991"/>
      <c r="J396" s="991"/>
      <c r="M396" s="114" t="s">
        <v>471</v>
      </c>
      <c r="N396" s="114">
        <f>AE14</f>
        <v>43.81</v>
      </c>
      <c r="O396" s="114" t="str">
        <f>AD14</f>
        <v>mL</v>
      </c>
      <c r="P396" s="114">
        <v>40</v>
      </c>
      <c r="Q396" s="114">
        <f t="shared" si="88"/>
        <v>1752.4</v>
      </c>
      <c r="R396" s="114">
        <v>0</v>
      </c>
      <c r="S396" s="114">
        <f t="shared" si="89"/>
        <v>0</v>
      </c>
      <c r="T396" s="114">
        <f t="shared" si="90"/>
        <v>40</v>
      </c>
      <c r="U396" s="114">
        <f t="shared" si="91"/>
        <v>1752.4</v>
      </c>
      <c r="V396" s="30"/>
      <c r="W396" s="30"/>
      <c r="X396" s="30"/>
      <c r="Y396" s="30"/>
    </row>
    <row r="397" spans="3:28" s="29" customFormat="1" x14ac:dyDescent="0.25">
      <c r="C397" s="990"/>
      <c r="D397" s="990"/>
      <c r="E397" s="990"/>
      <c r="F397" s="991"/>
      <c r="G397" s="991"/>
      <c r="H397" s="991"/>
      <c r="I397" s="991"/>
      <c r="J397" s="991"/>
      <c r="M397" s="114" t="s">
        <v>472</v>
      </c>
      <c r="N397" s="114">
        <f>V9</f>
        <v>19.36</v>
      </c>
      <c r="O397" s="114" t="str">
        <f>U9</f>
        <v>g</v>
      </c>
      <c r="P397" s="114">
        <v>30</v>
      </c>
      <c r="Q397" s="114">
        <f t="shared" si="88"/>
        <v>580.79999999999995</v>
      </c>
      <c r="R397" s="114">
        <v>0</v>
      </c>
      <c r="S397" s="114">
        <f t="shared" si="89"/>
        <v>0</v>
      </c>
      <c r="T397" s="114">
        <f t="shared" si="90"/>
        <v>30</v>
      </c>
      <c r="U397" s="114">
        <f t="shared" si="91"/>
        <v>580.79999999999995</v>
      </c>
      <c r="V397" s="30"/>
      <c r="W397" s="30"/>
      <c r="X397" s="30"/>
      <c r="Y397" s="30"/>
    </row>
    <row r="398" spans="3:28" s="29" customFormat="1" x14ac:dyDescent="0.25">
      <c r="C398" s="990" t="s">
        <v>4</v>
      </c>
      <c r="D398" s="990"/>
      <c r="E398" s="990"/>
      <c r="F398" s="991" t="s">
        <v>15</v>
      </c>
      <c r="G398" s="991"/>
      <c r="H398" s="991"/>
      <c r="I398" s="991"/>
      <c r="J398" s="991"/>
      <c r="M398" s="114" t="s">
        <v>456</v>
      </c>
      <c r="N398" s="114">
        <f>V12</f>
        <v>25.98</v>
      </c>
      <c r="O398" s="114" t="str">
        <f>U12</f>
        <v>g</v>
      </c>
      <c r="P398" s="114">
        <v>30</v>
      </c>
      <c r="Q398" s="114">
        <f t="shared" si="88"/>
        <v>779.4</v>
      </c>
      <c r="R398" s="114">
        <v>0</v>
      </c>
      <c r="S398" s="114">
        <f t="shared" si="89"/>
        <v>0</v>
      </c>
      <c r="T398" s="114">
        <f t="shared" si="90"/>
        <v>30</v>
      </c>
      <c r="U398" s="114">
        <f t="shared" si="91"/>
        <v>779.4</v>
      </c>
      <c r="V398" s="30"/>
      <c r="W398" s="30"/>
      <c r="X398" s="30"/>
      <c r="Y398" s="30"/>
    </row>
    <row r="399" spans="3:28" s="29" customFormat="1" x14ac:dyDescent="0.25">
      <c r="C399" s="990"/>
      <c r="D399" s="990"/>
      <c r="E399" s="990"/>
      <c r="F399" s="991"/>
      <c r="G399" s="991"/>
      <c r="H399" s="991"/>
      <c r="I399" s="991"/>
      <c r="J399" s="991"/>
      <c r="M399" s="114" t="s">
        <v>427</v>
      </c>
      <c r="N399" s="114">
        <f>S8</f>
        <v>59</v>
      </c>
      <c r="O399" s="114" t="str">
        <f>R8</f>
        <v>g</v>
      </c>
      <c r="P399" s="114">
        <v>80</v>
      </c>
      <c r="Q399" s="114">
        <f t="shared" si="88"/>
        <v>4720</v>
      </c>
      <c r="R399" s="114">
        <f>AN4</f>
        <v>0.41</v>
      </c>
      <c r="S399" s="114">
        <f t="shared" si="89"/>
        <v>32.799999999999997</v>
      </c>
      <c r="T399" s="114">
        <f t="shared" si="90"/>
        <v>47.2</v>
      </c>
      <c r="U399" s="114">
        <f t="shared" si="91"/>
        <v>6655.2</v>
      </c>
      <c r="V399" s="30"/>
      <c r="W399" s="30"/>
      <c r="X399" s="30"/>
      <c r="Y399" s="30"/>
    </row>
    <row r="400" spans="3:28" s="29" customFormat="1" x14ac:dyDescent="0.25">
      <c r="C400" s="990"/>
      <c r="D400" s="990"/>
      <c r="E400" s="990"/>
      <c r="F400" s="991"/>
      <c r="G400" s="991"/>
      <c r="H400" s="991"/>
      <c r="I400" s="991"/>
      <c r="J400" s="991"/>
      <c r="M400" s="114" t="s">
        <v>463</v>
      </c>
      <c r="N400" s="114">
        <f>Y13+Y12</f>
        <v>191.73000000000002</v>
      </c>
      <c r="O400" s="114" t="str">
        <f>X12</f>
        <v>g</v>
      </c>
      <c r="P400" s="114">
        <v>30</v>
      </c>
      <c r="Q400" s="114">
        <f t="shared" si="88"/>
        <v>5751.9000000000005</v>
      </c>
      <c r="R400" s="114">
        <v>0</v>
      </c>
      <c r="S400" s="114">
        <f t="shared" si="89"/>
        <v>0</v>
      </c>
      <c r="T400" s="114">
        <f t="shared" si="90"/>
        <v>30</v>
      </c>
      <c r="U400" s="114">
        <f t="shared" si="91"/>
        <v>5751.9000000000005</v>
      </c>
      <c r="V400" s="30"/>
      <c r="W400" s="30"/>
      <c r="X400" s="30"/>
      <c r="Y400" s="30"/>
    </row>
    <row r="401" spans="3:25" s="29" customFormat="1" x14ac:dyDescent="0.25">
      <c r="C401" s="990" t="s">
        <v>5</v>
      </c>
      <c r="D401" s="990"/>
      <c r="E401" s="990"/>
      <c r="F401" s="991" t="s">
        <v>50</v>
      </c>
      <c r="G401" s="991"/>
      <c r="H401" s="991"/>
      <c r="I401" s="991"/>
      <c r="J401" s="991"/>
      <c r="M401" s="114"/>
      <c r="N401" s="114"/>
      <c r="O401" s="114"/>
      <c r="P401" s="114"/>
      <c r="Q401" s="114"/>
      <c r="R401" s="114"/>
      <c r="S401" s="114"/>
      <c r="T401" s="114"/>
      <c r="U401" s="114"/>
      <c r="V401" s="30"/>
      <c r="W401" s="30"/>
      <c r="X401" s="30"/>
      <c r="Y401" s="30"/>
    </row>
    <row r="402" spans="3:25" s="29" customFormat="1" x14ac:dyDescent="0.25">
      <c r="C402" s="990"/>
      <c r="D402" s="990"/>
      <c r="E402" s="990"/>
      <c r="F402" s="991"/>
      <c r="G402" s="991"/>
      <c r="H402" s="991"/>
      <c r="I402" s="991"/>
      <c r="J402" s="991"/>
      <c r="M402" s="114" t="s">
        <v>337</v>
      </c>
      <c r="N402" s="114">
        <f>SUM(N392:N401)</f>
        <v>2663.8623984875517</v>
      </c>
      <c r="O402" s="114"/>
      <c r="P402" s="114">
        <f>SUM(P392:P401)</f>
        <v>338</v>
      </c>
      <c r="Q402" s="114">
        <f>SUM(Q392:Q401)</f>
        <v>17040.272398487552</v>
      </c>
      <c r="R402" s="114"/>
      <c r="S402" s="114"/>
      <c r="T402" s="114"/>
      <c r="U402" s="114">
        <f>SUM(U392:U401)</f>
        <v>18977.572398487551</v>
      </c>
      <c r="V402" s="30"/>
      <c r="W402" s="30"/>
      <c r="X402" s="30"/>
      <c r="Y402" s="30"/>
    </row>
    <row r="403" spans="3:25" s="29" customFormat="1" x14ac:dyDescent="0.25">
      <c r="C403" s="990"/>
      <c r="D403" s="990"/>
      <c r="E403" s="990"/>
      <c r="F403" s="991"/>
      <c r="G403" s="991"/>
      <c r="H403" s="991"/>
      <c r="I403" s="991"/>
      <c r="J403" s="991"/>
      <c r="S403" s="30"/>
      <c r="T403" s="30"/>
      <c r="U403" s="30"/>
      <c r="V403" s="30"/>
      <c r="W403" s="30"/>
      <c r="X403" s="30"/>
      <c r="Y403" s="30"/>
    </row>
    <row r="404" spans="3:25" s="29" customFormat="1" x14ac:dyDescent="0.25">
      <c r="C404" s="990" t="s">
        <v>6</v>
      </c>
      <c r="D404" s="990"/>
      <c r="E404" s="990"/>
      <c r="F404" s="991" t="s">
        <v>9</v>
      </c>
      <c r="G404" s="991"/>
      <c r="H404" s="991"/>
      <c r="I404" s="991"/>
      <c r="J404" s="991"/>
      <c r="Q404" s="114" t="s">
        <v>1681</v>
      </c>
      <c r="R404" s="114">
        <f>U402</f>
        <v>18977.572398487551</v>
      </c>
      <c r="S404" s="608" t="s">
        <v>2142</v>
      </c>
      <c r="T404" s="608">
        <f>(R404*100)/R411</f>
        <v>52.485973078884264</v>
      </c>
    </row>
    <row r="405" spans="3:25" s="29" customFormat="1" x14ac:dyDescent="0.25">
      <c r="C405" s="990"/>
      <c r="D405" s="990"/>
      <c r="E405" s="990"/>
      <c r="F405" s="991"/>
      <c r="G405" s="991"/>
      <c r="H405" s="991"/>
      <c r="I405" s="991"/>
      <c r="J405" s="991"/>
      <c r="Q405" s="114" t="s">
        <v>2326</v>
      </c>
      <c r="R405" s="114">
        <f>$AL$26</f>
        <v>1801.715474357886</v>
      </c>
    </row>
    <row r="406" spans="3:25" s="29" customFormat="1" x14ac:dyDescent="0.25">
      <c r="C406" s="990"/>
      <c r="D406" s="990"/>
      <c r="E406" s="990"/>
      <c r="F406" s="991"/>
      <c r="G406" s="991"/>
      <c r="H406" s="991"/>
      <c r="I406" s="991"/>
      <c r="J406" s="991"/>
      <c r="Q406" s="114" t="s">
        <v>2325</v>
      </c>
      <c r="R406" s="114">
        <f>$AL$27</f>
        <v>75.599999999999994</v>
      </c>
    </row>
    <row r="407" spans="3:25" s="29" customFormat="1" x14ac:dyDescent="0.25">
      <c r="C407" s="990" t="s">
        <v>7</v>
      </c>
      <c r="D407" s="990"/>
      <c r="E407" s="990"/>
      <c r="F407" s="992" t="s">
        <v>574</v>
      </c>
      <c r="G407" s="991"/>
      <c r="H407" s="991"/>
      <c r="I407" s="991"/>
      <c r="J407" s="991"/>
      <c r="Q407" s="114" t="s">
        <v>1684</v>
      </c>
      <c r="R407" s="114">
        <f>$AL$29</f>
        <v>69.543532482306858</v>
      </c>
    </row>
    <row r="408" spans="3:25" s="29" customFormat="1" x14ac:dyDescent="0.25">
      <c r="C408" s="990"/>
      <c r="D408" s="990"/>
      <c r="E408" s="990"/>
      <c r="F408" s="991"/>
      <c r="G408" s="991"/>
      <c r="H408" s="991"/>
      <c r="I408" s="991"/>
      <c r="J408" s="991"/>
      <c r="Q408" s="114" t="s">
        <v>1685</v>
      </c>
      <c r="R408" s="114">
        <v>0.6</v>
      </c>
    </row>
    <row r="409" spans="3:25" s="29" customFormat="1" x14ac:dyDescent="0.25">
      <c r="C409" s="990"/>
      <c r="D409" s="990"/>
      <c r="E409" s="990"/>
      <c r="F409" s="991"/>
      <c r="G409" s="991"/>
      <c r="H409" s="991"/>
      <c r="I409" s="991"/>
      <c r="J409" s="991"/>
      <c r="Q409" s="114" t="s">
        <v>1708</v>
      </c>
      <c r="R409" s="114">
        <f>(SUM(R404:R407)*R408)+SUM(R404:R407)</f>
        <v>33479.090248524393</v>
      </c>
    </row>
    <row r="410" spans="3:25" s="29" customFormat="1" x14ac:dyDescent="0.25">
      <c r="Q410" s="114" t="s">
        <v>2130</v>
      </c>
      <c r="R410" s="114">
        <f>R409*0.08</f>
        <v>2678.3272198819514</v>
      </c>
    </row>
    <row r="411" spans="3:25" s="29" customFormat="1" x14ac:dyDescent="0.25">
      <c r="Q411" s="114" t="s">
        <v>1686</v>
      </c>
      <c r="R411" s="114">
        <f>SUM(R409+R410)</f>
        <v>36157.417468406347</v>
      </c>
    </row>
    <row r="412" spans="3:25" s="29" customFormat="1" x14ac:dyDescent="0.25">
      <c r="C412" s="993" t="s">
        <v>8</v>
      </c>
      <c r="D412" s="993"/>
      <c r="E412" s="993"/>
      <c r="F412" s="993"/>
      <c r="G412" s="993"/>
      <c r="H412" s="993"/>
      <c r="I412" s="993"/>
      <c r="J412" s="993"/>
    </row>
    <row r="413" spans="3:25" s="29" customFormat="1" x14ac:dyDescent="0.25">
      <c r="C413" s="989" t="s">
        <v>0</v>
      </c>
      <c r="D413" s="989"/>
      <c r="E413" s="989"/>
      <c r="F413" s="989" t="s">
        <v>1</v>
      </c>
      <c r="G413" s="989"/>
      <c r="H413" s="989"/>
      <c r="I413" s="989"/>
      <c r="J413" s="989"/>
      <c r="S413" s="30"/>
      <c r="T413" s="30"/>
      <c r="U413" s="30"/>
      <c r="V413" s="30"/>
      <c r="W413" s="30"/>
      <c r="X413" s="30"/>
      <c r="Y413" s="30"/>
    </row>
    <row r="414" spans="3:25" s="29" customFormat="1" x14ac:dyDescent="0.25">
      <c r="C414" s="990" t="s">
        <v>2</v>
      </c>
      <c r="D414" s="990"/>
      <c r="E414" s="990"/>
      <c r="F414" s="991" t="s">
        <v>51</v>
      </c>
      <c r="G414" s="991"/>
      <c r="H414" s="991"/>
      <c r="I414" s="991"/>
      <c r="J414" s="991"/>
      <c r="M414" s="113" t="s">
        <v>336</v>
      </c>
      <c r="N414" s="113" t="s">
        <v>174</v>
      </c>
      <c r="O414" s="113" t="s">
        <v>248</v>
      </c>
      <c r="P414" s="113" t="s">
        <v>176</v>
      </c>
      <c r="Q414" s="113" t="s">
        <v>337</v>
      </c>
      <c r="R414" s="113" t="s">
        <v>1641</v>
      </c>
      <c r="S414" s="113" t="s">
        <v>1642</v>
      </c>
      <c r="T414" s="113" t="s">
        <v>1643</v>
      </c>
      <c r="U414" s="113" t="s">
        <v>1644</v>
      </c>
      <c r="V414" s="103"/>
      <c r="W414" s="103"/>
      <c r="X414" s="103"/>
      <c r="Y414" s="30"/>
    </row>
    <row r="415" spans="3:25" s="29" customFormat="1" x14ac:dyDescent="0.25">
      <c r="C415" s="990"/>
      <c r="D415" s="990"/>
      <c r="E415" s="990"/>
      <c r="F415" s="991"/>
      <c r="G415" s="991"/>
      <c r="H415" s="991"/>
      <c r="I415" s="991"/>
      <c r="J415" s="991"/>
      <c r="M415" s="114" t="s">
        <v>344</v>
      </c>
      <c r="N415" s="114">
        <f>E23</f>
        <v>2099.0723984875517</v>
      </c>
      <c r="O415" s="114" t="str">
        <f>D23</f>
        <v>g</v>
      </c>
      <c r="P415" s="114">
        <v>100</v>
      </c>
      <c r="Q415" s="114">
        <f>N415</f>
        <v>2099.0723984875517</v>
      </c>
      <c r="R415" s="114">
        <v>0</v>
      </c>
      <c r="S415" s="114">
        <f>P415*R415</f>
        <v>0</v>
      </c>
      <c r="T415" s="114">
        <f>P415-S415</f>
        <v>100</v>
      </c>
      <c r="U415" s="114">
        <f>Q415+((S415*Q415)/P415)</f>
        <v>2099.0723984875517</v>
      </c>
      <c r="V415" s="104"/>
      <c r="W415" s="104"/>
      <c r="X415" s="104"/>
      <c r="Y415" s="30"/>
    </row>
    <row r="416" spans="3:25" s="29" customFormat="1" x14ac:dyDescent="0.25">
      <c r="C416" s="990"/>
      <c r="D416" s="990"/>
      <c r="E416" s="990"/>
      <c r="F416" s="991"/>
      <c r="G416" s="991"/>
      <c r="H416" s="991"/>
      <c r="I416" s="991"/>
      <c r="J416" s="991"/>
      <c r="M416" s="114" t="s">
        <v>340</v>
      </c>
      <c r="N416" s="114">
        <f>Y20</f>
        <v>0.64</v>
      </c>
      <c r="O416" s="114" t="str">
        <f>X20</f>
        <v>g</v>
      </c>
      <c r="P416" s="114">
        <v>2</v>
      </c>
      <c r="Q416" s="114">
        <f t="shared" ref="Q416:Q424" si="92">N416*P416</f>
        <v>1.28</v>
      </c>
      <c r="R416" s="114">
        <v>0</v>
      </c>
      <c r="S416" s="114">
        <f t="shared" ref="S416:S424" si="93">P416*R416</f>
        <v>0</v>
      </c>
      <c r="T416" s="114">
        <f t="shared" ref="T416:T424" si="94">P416-S416</f>
        <v>2</v>
      </c>
      <c r="U416" s="114">
        <f t="shared" ref="U416:U424" si="95">Q416+((S416*Q416)/P416)</f>
        <v>1.28</v>
      </c>
      <c r="V416" s="30"/>
      <c r="W416" s="30"/>
      <c r="X416" s="30"/>
      <c r="Y416" s="30"/>
    </row>
    <row r="417" spans="3:25" s="29" customFormat="1" x14ac:dyDescent="0.25">
      <c r="C417" s="989" t="s">
        <v>0</v>
      </c>
      <c r="D417" s="989"/>
      <c r="E417" s="989"/>
      <c r="F417" s="989" t="s">
        <v>1</v>
      </c>
      <c r="G417" s="989"/>
      <c r="H417" s="989"/>
      <c r="I417" s="989"/>
      <c r="J417" s="989"/>
      <c r="M417" s="114" t="s">
        <v>346</v>
      </c>
      <c r="N417" s="114">
        <f>P3</f>
        <v>7</v>
      </c>
      <c r="O417" s="114" t="str">
        <f>O3</f>
        <v>g</v>
      </c>
      <c r="P417" s="114">
        <v>6</v>
      </c>
      <c r="Q417" s="114">
        <f t="shared" si="92"/>
        <v>42</v>
      </c>
      <c r="R417" s="114">
        <f>AJ2</f>
        <v>0.23</v>
      </c>
      <c r="S417" s="114">
        <f t="shared" si="93"/>
        <v>1.3800000000000001</v>
      </c>
      <c r="T417" s="114">
        <f t="shared" si="94"/>
        <v>4.62</v>
      </c>
      <c r="U417" s="114">
        <f t="shared" si="95"/>
        <v>51.660000000000004</v>
      </c>
      <c r="V417" s="30"/>
      <c r="W417" s="30"/>
      <c r="X417" s="30"/>
      <c r="Y417" s="30"/>
    </row>
    <row r="418" spans="3:25" s="29" customFormat="1" x14ac:dyDescent="0.25">
      <c r="C418" s="990" t="s">
        <v>3</v>
      </c>
      <c r="D418" s="990"/>
      <c r="E418" s="990"/>
      <c r="F418" s="991" t="s">
        <v>52</v>
      </c>
      <c r="G418" s="991"/>
      <c r="H418" s="991"/>
      <c r="I418" s="991"/>
      <c r="J418" s="991"/>
      <c r="M418" s="114" t="s">
        <v>463</v>
      </c>
      <c r="N418" s="114">
        <f>Y18+Y16</f>
        <v>313.07</v>
      </c>
      <c r="O418" s="114" t="str">
        <f>X16</f>
        <v>g</v>
      </c>
      <c r="P418" s="114">
        <v>30</v>
      </c>
      <c r="Q418" s="114">
        <f t="shared" si="92"/>
        <v>9392.1</v>
      </c>
      <c r="R418" s="114">
        <v>0</v>
      </c>
      <c r="S418" s="114">
        <f t="shared" si="93"/>
        <v>0</v>
      </c>
      <c r="T418" s="114">
        <f t="shared" si="94"/>
        <v>30</v>
      </c>
      <c r="U418" s="114">
        <f t="shared" si="95"/>
        <v>9392.1</v>
      </c>
      <c r="V418" s="30"/>
      <c r="W418" s="30"/>
      <c r="X418" s="30"/>
      <c r="Y418" s="30"/>
    </row>
    <row r="419" spans="3:25" s="29" customFormat="1" x14ac:dyDescent="0.25">
      <c r="C419" s="990"/>
      <c r="D419" s="990"/>
      <c r="E419" s="990"/>
      <c r="F419" s="991"/>
      <c r="G419" s="991"/>
      <c r="H419" s="991"/>
      <c r="I419" s="991"/>
      <c r="J419" s="991"/>
      <c r="M419" s="114" t="s">
        <v>473</v>
      </c>
      <c r="N419" s="114">
        <f>V2</f>
        <v>13.11</v>
      </c>
      <c r="O419" s="114" t="str">
        <f>U2</f>
        <v>g</v>
      </c>
      <c r="P419" s="114">
        <v>40</v>
      </c>
      <c r="Q419" s="114">
        <f t="shared" si="92"/>
        <v>524.4</v>
      </c>
      <c r="R419" s="114">
        <v>0</v>
      </c>
      <c r="S419" s="114">
        <f t="shared" si="93"/>
        <v>0</v>
      </c>
      <c r="T419" s="114">
        <f t="shared" si="94"/>
        <v>40</v>
      </c>
      <c r="U419" s="114">
        <f t="shared" si="95"/>
        <v>524.4</v>
      </c>
      <c r="V419" s="30"/>
      <c r="W419" s="30"/>
      <c r="X419" s="30"/>
      <c r="Y419" s="30"/>
    </row>
    <row r="420" spans="3:25" s="29" customFormat="1" x14ac:dyDescent="0.25">
      <c r="C420" s="990"/>
      <c r="D420" s="990"/>
      <c r="E420" s="990"/>
      <c r="F420" s="991"/>
      <c r="G420" s="991"/>
      <c r="H420" s="991"/>
      <c r="I420" s="991"/>
      <c r="J420" s="991"/>
      <c r="M420" s="114" t="s">
        <v>576</v>
      </c>
      <c r="N420" s="114">
        <f>V9</f>
        <v>19.36</v>
      </c>
      <c r="O420" s="114" t="str">
        <f>U9</f>
        <v>g</v>
      </c>
      <c r="P420" s="114">
        <v>30</v>
      </c>
      <c r="Q420" s="114">
        <f t="shared" si="92"/>
        <v>580.79999999999995</v>
      </c>
      <c r="R420" s="114">
        <v>0</v>
      </c>
      <c r="S420" s="114">
        <f t="shared" si="93"/>
        <v>0</v>
      </c>
      <c r="T420" s="114">
        <f t="shared" si="94"/>
        <v>30</v>
      </c>
      <c r="U420" s="114">
        <f t="shared" si="95"/>
        <v>580.79999999999995</v>
      </c>
      <c r="V420" s="30"/>
      <c r="W420" s="30"/>
      <c r="X420" s="30"/>
      <c r="Y420" s="30"/>
    </row>
    <row r="421" spans="3:25" s="29" customFormat="1" x14ac:dyDescent="0.25">
      <c r="C421" s="990" t="s">
        <v>4</v>
      </c>
      <c r="D421" s="990"/>
      <c r="E421" s="990"/>
      <c r="F421" s="991" t="s">
        <v>15</v>
      </c>
      <c r="G421" s="991"/>
      <c r="H421" s="991"/>
      <c r="I421" s="991"/>
      <c r="J421" s="991"/>
      <c r="M421" s="114" t="s">
        <v>474</v>
      </c>
      <c r="N421" s="114">
        <f>P26</f>
        <v>3.5</v>
      </c>
      <c r="O421" s="114" t="str">
        <f>O26</f>
        <v>g</v>
      </c>
      <c r="P421" s="114">
        <v>20</v>
      </c>
      <c r="Q421" s="114">
        <f t="shared" si="92"/>
        <v>70</v>
      </c>
      <c r="R421" s="114">
        <f>AJ15</f>
        <v>0.26</v>
      </c>
      <c r="S421" s="114">
        <f t="shared" si="93"/>
        <v>5.2</v>
      </c>
      <c r="T421" s="114">
        <f t="shared" si="94"/>
        <v>14.8</v>
      </c>
      <c r="U421" s="114">
        <f t="shared" si="95"/>
        <v>88.2</v>
      </c>
      <c r="V421" s="30"/>
      <c r="W421" s="30"/>
      <c r="X421" s="30"/>
      <c r="Y421" s="30"/>
    </row>
    <row r="422" spans="3:25" s="29" customFormat="1" x14ac:dyDescent="0.25">
      <c r="C422" s="990"/>
      <c r="D422" s="990"/>
      <c r="E422" s="990"/>
      <c r="F422" s="991"/>
      <c r="G422" s="991"/>
      <c r="H422" s="991"/>
      <c r="I422" s="991"/>
      <c r="J422" s="991"/>
      <c r="M422" s="114" t="s">
        <v>475</v>
      </c>
      <c r="N422" s="114">
        <f>P24</f>
        <v>3.5</v>
      </c>
      <c r="O422" s="114" t="str">
        <f>O24</f>
        <v>g</v>
      </c>
      <c r="P422" s="114">
        <v>20</v>
      </c>
      <c r="Q422" s="114">
        <f t="shared" si="92"/>
        <v>70</v>
      </c>
      <c r="R422" s="114">
        <f>AJ15</f>
        <v>0.26</v>
      </c>
      <c r="S422" s="114">
        <f t="shared" si="93"/>
        <v>5.2</v>
      </c>
      <c r="T422" s="114">
        <f t="shared" si="94"/>
        <v>14.8</v>
      </c>
      <c r="U422" s="114">
        <f t="shared" si="95"/>
        <v>88.2</v>
      </c>
      <c r="V422" s="30"/>
      <c r="W422" s="30"/>
      <c r="X422" s="30"/>
      <c r="Y422" s="30"/>
    </row>
    <row r="423" spans="3:25" s="29" customFormat="1" x14ac:dyDescent="0.25">
      <c r="C423" s="990"/>
      <c r="D423" s="990"/>
      <c r="E423" s="990"/>
      <c r="F423" s="991"/>
      <c r="G423" s="991"/>
      <c r="H423" s="991"/>
      <c r="I423" s="991"/>
      <c r="J423" s="991"/>
      <c r="M423" s="114" t="s">
        <v>476</v>
      </c>
      <c r="N423" s="114">
        <f>P25</f>
        <v>3.5</v>
      </c>
      <c r="O423" s="114" t="str">
        <f>O25</f>
        <v>g</v>
      </c>
      <c r="P423" s="114">
        <v>20</v>
      </c>
      <c r="Q423" s="114">
        <f t="shared" si="92"/>
        <v>70</v>
      </c>
      <c r="R423" s="114">
        <f>AJ15</f>
        <v>0.26</v>
      </c>
      <c r="S423" s="114">
        <f t="shared" si="93"/>
        <v>5.2</v>
      </c>
      <c r="T423" s="114">
        <f t="shared" si="94"/>
        <v>14.8</v>
      </c>
      <c r="U423" s="114">
        <f t="shared" si="95"/>
        <v>88.2</v>
      </c>
      <c r="V423" s="30"/>
      <c r="W423" s="30"/>
      <c r="X423" s="30"/>
      <c r="Y423" s="30"/>
    </row>
    <row r="424" spans="3:25" s="29" customFormat="1" x14ac:dyDescent="0.25">
      <c r="C424" s="990" t="s">
        <v>5</v>
      </c>
      <c r="D424" s="990"/>
      <c r="E424" s="990"/>
      <c r="F424" s="991" t="s">
        <v>53</v>
      </c>
      <c r="G424" s="991"/>
      <c r="H424" s="991"/>
      <c r="I424" s="991"/>
      <c r="J424" s="991"/>
      <c r="M424" s="114" t="s">
        <v>477</v>
      </c>
      <c r="N424" s="114">
        <f>S8</f>
        <v>59</v>
      </c>
      <c r="O424" s="114" t="str">
        <f>R8</f>
        <v>g</v>
      </c>
      <c r="P424" s="114">
        <v>70</v>
      </c>
      <c r="Q424" s="114">
        <f t="shared" si="92"/>
        <v>4130</v>
      </c>
      <c r="R424" s="114">
        <f>AN4</f>
        <v>0.41</v>
      </c>
      <c r="S424" s="114">
        <f t="shared" si="93"/>
        <v>28.7</v>
      </c>
      <c r="T424" s="114">
        <f t="shared" si="94"/>
        <v>41.3</v>
      </c>
      <c r="U424" s="114">
        <f t="shared" si="95"/>
        <v>5823.3</v>
      </c>
      <c r="V424" s="30"/>
      <c r="W424" s="30"/>
      <c r="X424" s="30"/>
      <c r="Y424" s="30"/>
    </row>
    <row r="425" spans="3:25" s="29" customFormat="1" x14ac:dyDescent="0.25">
      <c r="C425" s="990"/>
      <c r="D425" s="990"/>
      <c r="E425" s="990"/>
      <c r="F425" s="991"/>
      <c r="G425" s="991"/>
      <c r="H425" s="991"/>
      <c r="I425" s="991"/>
      <c r="J425" s="991"/>
      <c r="M425" s="114"/>
      <c r="N425" s="114"/>
      <c r="O425" s="114"/>
      <c r="P425" s="114"/>
      <c r="Q425" s="114"/>
      <c r="R425" s="114"/>
      <c r="S425" s="114"/>
      <c r="T425" s="114"/>
      <c r="U425" s="114"/>
    </row>
    <row r="426" spans="3:25" s="29" customFormat="1" x14ac:dyDescent="0.25">
      <c r="C426" s="990"/>
      <c r="D426" s="990"/>
      <c r="E426" s="990"/>
      <c r="F426" s="991"/>
      <c r="G426" s="991"/>
      <c r="H426" s="991"/>
      <c r="I426" s="991"/>
      <c r="J426" s="991"/>
      <c r="M426" s="114" t="s">
        <v>337</v>
      </c>
      <c r="N426" s="114">
        <f>SUM(N415:N425)</f>
        <v>2521.752398487552</v>
      </c>
      <c r="O426" s="114"/>
      <c r="P426" s="114">
        <f>SUM(P415:P425)</f>
        <v>338</v>
      </c>
      <c r="Q426" s="114">
        <f>SUM(Q415:Q425)</f>
        <v>16979.652398487553</v>
      </c>
      <c r="R426" s="114"/>
      <c r="S426" s="114"/>
      <c r="T426" s="114"/>
      <c r="U426" s="114">
        <f>SUM(U415:U425)</f>
        <v>18737.212398487554</v>
      </c>
    </row>
    <row r="427" spans="3:25" s="29" customFormat="1" x14ac:dyDescent="0.25">
      <c r="C427" s="990" t="s">
        <v>6</v>
      </c>
      <c r="D427" s="990"/>
      <c r="E427" s="990"/>
      <c r="F427" s="991" t="s">
        <v>9</v>
      </c>
      <c r="G427" s="991"/>
      <c r="H427" s="991"/>
      <c r="I427" s="991"/>
      <c r="J427" s="991"/>
    </row>
    <row r="428" spans="3:25" s="29" customFormat="1" x14ac:dyDescent="0.25">
      <c r="C428" s="990"/>
      <c r="D428" s="990"/>
      <c r="E428" s="990"/>
      <c r="F428" s="991"/>
      <c r="G428" s="991"/>
      <c r="H428" s="991"/>
      <c r="I428" s="991"/>
      <c r="J428" s="991"/>
      <c r="Q428" s="114" t="s">
        <v>1681</v>
      </c>
      <c r="R428" s="114">
        <f>U426</f>
        <v>18737.212398487554</v>
      </c>
      <c r="S428" s="608" t="s">
        <v>2142</v>
      </c>
      <c r="T428" s="608">
        <f>(R428*100)/R435</f>
        <v>52.423403495381073</v>
      </c>
    </row>
    <row r="429" spans="3:25" s="29" customFormat="1" x14ac:dyDescent="0.25">
      <c r="C429" s="990"/>
      <c r="D429" s="990"/>
      <c r="E429" s="990"/>
      <c r="F429" s="991"/>
      <c r="G429" s="991"/>
      <c r="H429" s="991"/>
      <c r="I429" s="991"/>
      <c r="J429" s="991"/>
      <c r="Q429" s="114" t="s">
        <v>2326</v>
      </c>
      <c r="R429" s="114">
        <f>$AL$26</f>
        <v>1801.715474357886</v>
      </c>
    </row>
    <row r="430" spans="3:25" s="29" customFormat="1" x14ac:dyDescent="0.25">
      <c r="C430" s="990" t="s">
        <v>7</v>
      </c>
      <c r="D430" s="990"/>
      <c r="E430" s="990"/>
      <c r="F430" s="992" t="s">
        <v>575</v>
      </c>
      <c r="G430" s="991"/>
      <c r="H430" s="991"/>
      <c r="I430" s="991"/>
      <c r="J430" s="991"/>
      <c r="Q430" s="114" t="s">
        <v>2325</v>
      </c>
      <c r="R430" s="114">
        <f>$AL$27</f>
        <v>75.599999999999994</v>
      </c>
    </row>
    <row r="431" spans="3:25" s="29" customFormat="1" x14ac:dyDescent="0.25">
      <c r="C431" s="990"/>
      <c r="D431" s="990"/>
      <c r="E431" s="990"/>
      <c r="F431" s="991"/>
      <c r="G431" s="991"/>
      <c r="H431" s="991"/>
      <c r="I431" s="991"/>
      <c r="J431" s="991"/>
      <c r="Q431" s="114" t="s">
        <v>1684</v>
      </c>
      <c r="R431" s="114">
        <f>$AL$29</f>
        <v>69.543532482306858</v>
      </c>
    </row>
    <row r="432" spans="3:25" s="29" customFormat="1" x14ac:dyDescent="0.25">
      <c r="C432" s="990"/>
      <c r="D432" s="990"/>
      <c r="E432" s="990"/>
      <c r="F432" s="991"/>
      <c r="G432" s="991"/>
      <c r="H432" s="991"/>
      <c r="I432" s="991"/>
      <c r="J432" s="991"/>
      <c r="Q432" s="114" t="s">
        <v>1685</v>
      </c>
      <c r="R432" s="114">
        <v>0.6</v>
      </c>
    </row>
    <row r="433" spans="3:31" s="29" customFormat="1" x14ac:dyDescent="0.25">
      <c r="C433" s="106"/>
      <c r="D433" s="106"/>
      <c r="E433" s="106"/>
      <c r="F433" s="107"/>
      <c r="G433" s="107"/>
      <c r="H433" s="107"/>
      <c r="I433" s="107"/>
      <c r="J433" s="107"/>
      <c r="Q433" s="114" t="s">
        <v>1708</v>
      </c>
      <c r="R433" s="114">
        <f>(SUM(R428:R431)*R432)+SUM(R428:R431)</f>
        <v>33094.5142485244</v>
      </c>
    </row>
    <row r="434" spans="3:31" s="29" customFormat="1" x14ac:dyDescent="0.25">
      <c r="C434" s="106"/>
      <c r="D434" s="106"/>
      <c r="E434" s="106"/>
      <c r="F434" s="107"/>
      <c r="G434" s="107"/>
      <c r="H434" s="107"/>
      <c r="I434" s="107"/>
      <c r="J434" s="107"/>
      <c r="Q434" s="114" t="s">
        <v>2130</v>
      </c>
      <c r="R434" s="114">
        <f>R433*0.08</f>
        <v>2647.5611398819519</v>
      </c>
    </row>
    <row r="435" spans="3:31" s="29" customFormat="1" x14ac:dyDescent="0.25">
      <c r="C435" s="106"/>
      <c r="D435" s="106"/>
      <c r="E435" s="106"/>
      <c r="F435" s="107"/>
      <c r="G435" s="107"/>
      <c r="H435" s="107"/>
      <c r="I435" s="107"/>
      <c r="J435" s="107"/>
      <c r="Q435" s="114" t="s">
        <v>1686</v>
      </c>
      <c r="R435" s="114">
        <f>SUM(R433+R434)</f>
        <v>35742.075388406352</v>
      </c>
    </row>
    <row r="436" spans="3:31" s="29" customFormat="1" x14ac:dyDescent="0.25"/>
    <row r="437" spans="3:31" s="29" customFormat="1" x14ac:dyDescent="0.25"/>
    <row r="438" spans="3:31" s="29" customFormat="1" x14ac:dyDescent="0.25">
      <c r="C438" s="993" t="s">
        <v>8</v>
      </c>
      <c r="D438" s="993"/>
      <c r="E438" s="993"/>
      <c r="F438" s="993"/>
      <c r="G438" s="993"/>
      <c r="H438" s="993"/>
      <c r="I438" s="993"/>
      <c r="J438" s="993"/>
    </row>
    <row r="439" spans="3:31" s="29" customFormat="1" x14ac:dyDescent="0.25">
      <c r="C439" s="989" t="s">
        <v>0</v>
      </c>
      <c r="D439" s="989"/>
      <c r="E439" s="989"/>
      <c r="F439" s="989" t="s">
        <v>1</v>
      </c>
      <c r="G439" s="989"/>
      <c r="H439" s="989"/>
      <c r="I439" s="989"/>
      <c r="J439" s="989"/>
    </row>
    <row r="440" spans="3:31" s="29" customFormat="1" x14ac:dyDescent="0.25">
      <c r="C440" s="990" t="s">
        <v>2</v>
      </c>
      <c r="D440" s="990"/>
      <c r="E440" s="990"/>
      <c r="F440" s="991" t="s">
        <v>100</v>
      </c>
      <c r="G440" s="991"/>
      <c r="H440" s="991"/>
      <c r="I440" s="991"/>
      <c r="J440" s="991"/>
      <c r="M440" s="113" t="s">
        <v>336</v>
      </c>
      <c r="N440" s="113" t="s">
        <v>174</v>
      </c>
      <c r="O440" s="113" t="s">
        <v>248</v>
      </c>
      <c r="P440" s="113" t="s">
        <v>176</v>
      </c>
      <c r="Q440" s="113" t="s">
        <v>337</v>
      </c>
      <c r="R440" s="113" t="s">
        <v>1641</v>
      </c>
      <c r="S440" s="113" t="s">
        <v>1642</v>
      </c>
      <c r="T440" s="113" t="s">
        <v>1643</v>
      </c>
      <c r="U440" s="113" t="s">
        <v>1644</v>
      </c>
      <c r="W440" s="994" t="s">
        <v>1459</v>
      </c>
      <c r="X440" s="994"/>
      <c r="Y440" s="994"/>
      <c r="Z440" s="994"/>
      <c r="AA440" s="994"/>
      <c r="AB440" s="994"/>
      <c r="AC440" s="994"/>
      <c r="AD440" s="994"/>
      <c r="AE440" s="994"/>
    </row>
    <row r="441" spans="3:31" s="29" customFormat="1" x14ac:dyDescent="0.25">
      <c r="C441" s="990"/>
      <c r="D441" s="990"/>
      <c r="E441" s="990"/>
      <c r="F441" s="991"/>
      <c r="G441" s="991"/>
      <c r="H441" s="991"/>
      <c r="I441" s="991"/>
      <c r="J441" s="991"/>
      <c r="M441" s="114" t="s">
        <v>344</v>
      </c>
      <c r="N441" s="114">
        <f>E23</f>
        <v>2099.0723984875517</v>
      </c>
      <c r="O441" s="114" t="str">
        <f>D23</f>
        <v>g</v>
      </c>
      <c r="P441" s="114">
        <v>100</v>
      </c>
      <c r="Q441" s="114">
        <f>N441</f>
        <v>2099.0723984875517</v>
      </c>
      <c r="R441" s="114">
        <v>0</v>
      </c>
      <c r="S441" s="114">
        <f>P441*R441</f>
        <v>0</v>
      </c>
      <c r="T441" s="114">
        <f>P441-S441</f>
        <v>100</v>
      </c>
      <c r="U441" s="114">
        <f>Q441+((S441*Q441)/P441)</f>
        <v>2099.0723984875517</v>
      </c>
      <c r="W441" s="113" t="s">
        <v>336</v>
      </c>
      <c r="X441" s="113" t="s">
        <v>174</v>
      </c>
      <c r="Y441" s="113" t="s">
        <v>248</v>
      </c>
      <c r="Z441" s="113" t="s">
        <v>176</v>
      </c>
      <c r="AA441" s="113" t="s">
        <v>337</v>
      </c>
      <c r="AB441" s="113" t="s">
        <v>1641</v>
      </c>
      <c r="AC441" s="113" t="s">
        <v>1642</v>
      </c>
      <c r="AD441" s="113" t="s">
        <v>1643</v>
      </c>
      <c r="AE441" s="113" t="s">
        <v>1644</v>
      </c>
    </row>
    <row r="442" spans="3:31" s="29" customFormat="1" x14ac:dyDescent="0.25">
      <c r="C442" s="990"/>
      <c r="D442" s="990"/>
      <c r="E442" s="990"/>
      <c r="F442" s="991"/>
      <c r="G442" s="991"/>
      <c r="H442" s="991"/>
      <c r="I442" s="991"/>
      <c r="J442" s="991"/>
      <c r="M442" s="114" t="s">
        <v>340</v>
      </c>
      <c r="N442" s="114">
        <f>Y20</f>
        <v>0.64</v>
      </c>
      <c r="O442" s="114" t="str">
        <f>X20</f>
        <v>g</v>
      </c>
      <c r="P442" s="114">
        <v>2</v>
      </c>
      <c r="Q442" s="114">
        <f>N442*P442</f>
        <v>1.28</v>
      </c>
      <c r="R442" s="114">
        <v>0</v>
      </c>
      <c r="S442" s="114">
        <f t="shared" ref="S442:S446" si="96">P442*R442</f>
        <v>0</v>
      </c>
      <c r="T442" s="114">
        <f t="shared" ref="T442:T446" si="97">P442-S442</f>
        <v>2</v>
      </c>
      <c r="U442" s="114">
        <f t="shared" ref="U442:U446" si="98">Q442+((S442*Q442)/P442)</f>
        <v>1.28</v>
      </c>
      <c r="W442" s="114" t="s">
        <v>430</v>
      </c>
      <c r="X442" s="114">
        <f>P10</f>
        <v>0.7</v>
      </c>
      <c r="Y442" s="114" t="str">
        <f>O10</f>
        <v>g</v>
      </c>
      <c r="Z442" s="114">
        <v>20</v>
      </c>
      <c r="AA442" s="114">
        <f t="shared" ref="AA442:AA447" si="99">X442*Z442</f>
        <v>14</v>
      </c>
      <c r="AB442" s="114">
        <f>AJ7</f>
        <v>0.15</v>
      </c>
      <c r="AC442" s="114">
        <f t="shared" ref="AC442:AC447" si="100">Z442*AB442</f>
        <v>3</v>
      </c>
      <c r="AD442" s="114">
        <f t="shared" ref="AD442:AD447" si="101">Z442-AC442</f>
        <v>17</v>
      </c>
      <c r="AE442" s="114">
        <f>AA442+((AC442*AA442)/Z442)</f>
        <v>16.100000000000001</v>
      </c>
    </row>
    <row r="443" spans="3:31" s="29" customFormat="1" x14ac:dyDescent="0.25">
      <c r="C443" s="989" t="s">
        <v>0</v>
      </c>
      <c r="D443" s="989"/>
      <c r="E443" s="989"/>
      <c r="F443" s="989" t="s">
        <v>1</v>
      </c>
      <c r="G443" s="989"/>
      <c r="H443" s="989"/>
      <c r="I443" s="989"/>
      <c r="J443" s="989"/>
      <c r="M443" s="114" t="s">
        <v>346</v>
      </c>
      <c r="N443" s="114">
        <f>P3</f>
        <v>7</v>
      </c>
      <c r="O443" s="114" t="str">
        <f>O3</f>
        <v>g</v>
      </c>
      <c r="P443" s="114">
        <v>4</v>
      </c>
      <c r="Q443" s="114">
        <f>N443*P443</f>
        <v>28</v>
      </c>
      <c r="R443" s="114">
        <f>AJ2</f>
        <v>0.23</v>
      </c>
      <c r="S443" s="114">
        <f t="shared" si="96"/>
        <v>0.92</v>
      </c>
      <c r="T443" s="114">
        <f t="shared" si="97"/>
        <v>3.08</v>
      </c>
      <c r="U443" s="114">
        <f t="shared" si="98"/>
        <v>34.44</v>
      </c>
      <c r="W443" s="114" t="s">
        <v>436</v>
      </c>
      <c r="X443" s="114">
        <f>P31</f>
        <v>2.6</v>
      </c>
      <c r="Y443" s="114" t="str">
        <f>O31</f>
        <v>g</v>
      </c>
      <c r="Z443" s="114">
        <v>15</v>
      </c>
      <c r="AA443" s="114">
        <f t="shared" si="99"/>
        <v>39</v>
      </c>
      <c r="AB443" s="114">
        <f>AJ19</f>
        <v>0.37</v>
      </c>
      <c r="AC443" s="114">
        <f t="shared" si="100"/>
        <v>5.55</v>
      </c>
      <c r="AD443" s="114">
        <f t="shared" si="101"/>
        <v>9.4499999999999993</v>
      </c>
      <c r="AE443" s="114">
        <f t="shared" ref="AE443:AE447" si="102">AA443+((AC443*AA443)/Z443)</f>
        <v>53.43</v>
      </c>
    </row>
    <row r="444" spans="3:31" s="29" customFormat="1" x14ac:dyDescent="0.25">
      <c r="C444" s="990" t="s">
        <v>3</v>
      </c>
      <c r="D444" s="990"/>
      <c r="E444" s="990"/>
      <c r="F444" s="992" t="s">
        <v>101</v>
      </c>
      <c r="G444" s="991"/>
      <c r="H444" s="991"/>
      <c r="I444" s="991"/>
      <c r="J444" s="991"/>
      <c r="M444" s="114" t="s">
        <v>480</v>
      </c>
      <c r="N444" s="114">
        <f>AE449</f>
        <v>4123.38</v>
      </c>
      <c r="O444" s="114" t="s">
        <v>1388</v>
      </c>
      <c r="P444" s="114">
        <v>120</v>
      </c>
      <c r="Q444" s="114">
        <f>N444</f>
        <v>4123.38</v>
      </c>
      <c r="R444" s="114">
        <v>0</v>
      </c>
      <c r="S444" s="114">
        <f t="shared" si="96"/>
        <v>0</v>
      </c>
      <c r="T444" s="114">
        <f t="shared" si="97"/>
        <v>120</v>
      </c>
      <c r="U444" s="114">
        <f t="shared" si="98"/>
        <v>4123.38</v>
      </c>
      <c r="W444" s="114" t="s">
        <v>435</v>
      </c>
      <c r="X444" s="114">
        <f>P5</f>
        <v>2.5</v>
      </c>
      <c r="Y444" s="114" t="str">
        <f>O5</f>
        <v>g</v>
      </c>
      <c r="Z444" s="114">
        <v>8</v>
      </c>
      <c r="AA444" s="114">
        <f t="shared" si="99"/>
        <v>20</v>
      </c>
      <c r="AB444" s="114">
        <f>AJ3</f>
        <v>0.37</v>
      </c>
      <c r="AC444" s="114">
        <f t="shared" si="100"/>
        <v>2.96</v>
      </c>
      <c r="AD444" s="114">
        <f t="shared" si="101"/>
        <v>5.04</v>
      </c>
      <c r="AE444" s="114">
        <f t="shared" si="102"/>
        <v>27.4</v>
      </c>
    </row>
    <row r="445" spans="3:31" s="29" customFormat="1" x14ac:dyDescent="0.25">
      <c r="C445" s="990"/>
      <c r="D445" s="990"/>
      <c r="E445" s="990"/>
      <c r="F445" s="991"/>
      <c r="G445" s="991"/>
      <c r="H445" s="991"/>
      <c r="I445" s="991"/>
      <c r="J445" s="991"/>
      <c r="M445" s="114" t="s">
        <v>478</v>
      </c>
      <c r="N445" s="114">
        <f>S8</f>
        <v>59</v>
      </c>
      <c r="O445" s="114" t="str">
        <f>R8</f>
        <v>g</v>
      </c>
      <c r="P445" s="114">
        <v>40</v>
      </c>
      <c r="Q445" s="114">
        <f>N445*P445</f>
        <v>2360</v>
      </c>
      <c r="R445" s="114">
        <f>AN4</f>
        <v>0.41</v>
      </c>
      <c r="S445" s="114">
        <f t="shared" si="96"/>
        <v>16.399999999999999</v>
      </c>
      <c r="T445" s="114">
        <f t="shared" si="97"/>
        <v>23.6</v>
      </c>
      <c r="U445" s="114">
        <f t="shared" si="98"/>
        <v>3327.6</v>
      </c>
      <c r="W445" s="114" t="s">
        <v>429</v>
      </c>
      <c r="X445" s="114">
        <f>P29</f>
        <v>1.8</v>
      </c>
      <c r="Y445" s="114" t="str">
        <f>O29</f>
        <v>g</v>
      </c>
      <c r="Z445" s="114">
        <v>40</v>
      </c>
      <c r="AA445" s="114">
        <f t="shared" si="99"/>
        <v>72</v>
      </c>
      <c r="AB445" s="114">
        <f>AJ18</f>
        <v>0.05</v>
      </c>
      <c r="AC445" s="114">
        <f t="shared" si="100"/>
        <v>2</v>
      </c>
      <c r="AD445" s="114">
        <f t="shared" si="101"/>
        <v>38</v>
      </c>
      <c r="AE445" s="114">
        <f t="shared" si="102"/>
        <v>75.599999999999994</v>
      </c>
    </row>
    <row r="446" spans="3:31" s="29" customFormat="1" x14ac:dyDescent="0.25">
      <c r="C446" s="990"/>
      <c r="D446" s="990"/>
      <c r="E446" s="990"/>
      <c r="F446" s="991"/>
      <c r="G446" s="991"/>
      <c r="H446" s="991"/>
      <c r="I446" s="991"/>
      <c r="J446" s="991"/>
      <c r="M446" s="114" t="s">
        <v>479</v>
      </c>
      <c r="N446" s="114">
        <f>S7</f>
        <v>54</v>
      </c>
      <c r="O446" s="114" t="str">
        <f>R7</f>
        <v>g</v>
      </c>
      <c r="P446" s="114">
        <v>40</v>
      </c>
      <c r="Q446" s="114">
        <f>N446*P446</f>
        <v>2160</v>
      </c>
      <c r="R446" s="114">
        <f>AN2</f>
        <v>0.33</v>
      </c>
      <c r="S446" s="114">
        <f t="shared" si="96"/>
        <v>13.200000000000001</v>
      </c>
      <c r="T446" s="114">
        <f t="shared" si="97"/>
        <v>26.799999999999997</v>
      </c>
      <c r="U446" s="114">
        <f t="shared" si="98"/>
        <v>2872.8</v>
      </c>
      <c r="W446" s="114" t="s">
        <v>432</v>
      </c>
      <c r="X446" s="114">
        <f>S8</f>
        <v>59</v>
      </c>
      <c r="Y446" s="114" t="str">
        <f>R8</f>
        <v>g</v>
      </c>
      <c r="Z446" s="114">
        <v>35</v>
      </c>
      <c r="AA446" s="114">
        <f t="shared" si="99"/>
        <v>2065</v>
      </c>
      <c r="AB446" s="114">
        <f>AN4</f>
        <v>0.41</v>
      </c>
      <c r="AC446" s="114">
        <f t="shared" si="100"/>
        <v>14.35</v>
      </c>
      <c r="AD446" s="114">
        <f t="shared" si="101"/>
        <v>20.65</v>
      </c>
      <c r="AE446" s="114">
        <f t="shared" si="102"/>
        <v>2911.65</v>
      </c>
    </row>
    <row r="447" spans="3:31" s="29" customFormat="1" x14ac:dyDescent="0.25">
      <c r="C447" s="990" t="s">
        <v>4</v>
      </c>
      <c r="D447" s="990"/>
      <c r="E447" s="990"/>
      <c r="F447" s="991" t="s">
        <v>15</v>
      </c>
      <c r="G447" s="991"/>
      <c r="H447" s="991"/>
      <c r="I447" s="991"/>
      <c r="J447" s="991"/>
      <c r="M447" s="114"/>
      <c r="N447" s="114"/>
      <c r="O447" s="114"/>
      <c r="P447" s="114"/>
      <c r="Q447" s="114"/>
      <c r="R447" s="114"/>
      <c r="S447" s="114"/>
      <c r="T447" s="114"/>
      <c r="U447" s="114"/>
      <c r="W447" s="114" t="s">
        <v>455</v>
      </c>
      <c r="X447" s="114">
        <f>AE15</f>
        <v>51.96</v>
      </c>
      <c r="Y447" s="114" t="str">
        <f>AD15</f>
        <v>mL</v>
      </c>
      <c r="Z447" s="114">
        <v>20</v>
      </c>
      <c r="AA447" s="114">
        <f t="shared" si="99"/>
        <v>1039.2</v>
      </c>
      <c r="AB447" s="114">
        <v>0</v>
      </c>
      <c r="AC447" s="114">
        <f t="shared" si="100"/>
        <v>0</v>
      </c>
      <c r="AD447" s="114">
        <f t="shared" si="101"/>
        <v>20</v>
      </c>
      <c r="AE447" s="114">
        <f t="shared" si="102"/>
        <v>1039.2</v>
      </c>
    </row>
    <row r="448" spans="3:31" s="29" customFormat="1" x14ac:dyDescent="0.25">
      <c r="C448" s="990"/>
      <c r="D448" s="990"/>
      <c r="E448" s="990"/>
      <c r="F448" s="991"/>
      <c r="G448" s="991"/>
      <c r="H448" s="991"/>
      <c r="I448" s="991"/>
      <c r="J448" s="991"/>
      <c r="M448" s="114"/>
      <c r="N448" s="114"/>
      <c r="O448" s="114"/>
      <c r="P448" s="114"/>
      <c r="Q448" s="114"/>
      <c r="R448" s="114"/>
      <c r="S448" s="114"/>
      <c r="T448" s="114"/>
      <c r="U448" s="114"/>
      <c r="W448" s="114"/>
      <c r="X448" s="114"/>
      <c r="Y448" s="114"/>
      <c r="Z448" s="114"/>
      <c r="AA448" s="114"/>
      <c r="AB448" s="114"/>
      <c r="AC448" s="114"/>
      <c r="AD448" s="114"/>
      <c r="AE448" s="114"/>
    </row>
    <row r="449" spans="3:31" s="29" customFormat="1" x14ac:dyDescent="0.25">
      <c r="C449" s="990"/>
      <c r="D449" s="990"/>
      <c r="E449" s="990"/>
      <c r="F449" s="991"/>
      <c r="G449" s="991"/>
      <c r="H449" s="991"/>
      <c r="I449" s="991"/>
      <c r="J449" s="991"/>
      <c r="M449" s="114" t="s">
        <v>337</v>
      </c>
      <c r="N449" s="114">
        <f>SUM(N441:N448)</f>
        <v>6343.0923984875517</v>
      </c>
      <c r="O449" s="114"/>
      <c r="P449" s="114">
        <f>SUM(P441:P448)</f>
        <v>306</v>
      </c>
      <c r="Q449" s="114">
        <f>SUM(Q441:Q448)</f>
        <v>10771.732398487551</v>
      </c>
      <c r="R449" s="114"/>
      <c r="S449" s="114"/>
      <c r="T449" s="114"/>
      <c r="U449" s="114">
        <f>SUM(U441:U448)</f>
        <v>12458.572398487551</v>
      </c>
      <c r="W449" s="114" t="s">
        <v>337</v>
      </c>
      <c r="X449" s="114">
        <f>SUM(X442:X448)</f>
        <v>118.56</v>
      </c>
      <c r="Y449" s="114"/>
      <c r="Z449" s="114">
        <f>SUM(Z442:Z448)</f>
        <v>138</v>
      </c>
      <c r="AA449" s="114">
        <f>SUM(AA442:AA448)</f>
        <v>3249.2</v>
      </c>
      <c r="AB449" s="114"/>
      <c r="AC449" s="114"/>
      <c r="AD449" s="114"/>
      <c r="AE449" s="114">
        <f>SUM(AE442:AE448)</f>
        <v>4123.38</v>
      </c>
    </row>
    <row r="450" spans="3:31" s="29" customFormat="1" x14ac:dyDescent="0.25">
      <c r="C450" s="990" t="s">
        <v>5</v>
      </c>
      <c r="D450" s="990"/>
      <c r="E450" s="990"/>
      <c r="F450" s="991" t="s">
        <v>102</v>
      </c>
      <c r="G450" s="991"/>
      <c r="H450" s="991"/>
      <c r="I450" s="991"/>
      <c r="J450" s="991"/>
    </row>
    <row r="451" spans="3:31" s="29" customFormat="1" x14ac:dyDescent="0.25">
      <c r="C451" s="990"/>
      <c r="D451" s="990"/>
      <c r="E451" s="990"/>
      <c r="F451" s="991"/>
      <c r="G451" s="991"/>
      <c r="H451" s="991"/>
      <c r="I451" s="991"/>
      <c r="J451" s="991"/>
      <c r="Q451" s="114" t="s">
        <v>1681</v>
      </c>
      <c r="R451" s="114">
        <f>U449</f>
        <v>12458.572398487551</v>
      </c>
      <c r="S451" s="608" t="s">
        <v>2142</v>
      </c>
      <c r="T451" s="608">
        <f>(R451*100)/R458</f>
        <v>50.049330610112662</v>
      </c>
      <c r="AA451" s="114" t="s">
        <v>1681</v>
      </c>
      <c r="AB451" s="114">
        <f>AE449</f>
        <v>4123.38</v>
      </c>
      <c r="AC451" s="608" t="s">
        <v>2142</v>
      </c>
      <c r="AD451" s="608">
        <f>(AB451*100)/AB458</f>
        <v>38.69644286922049</v>
      </c>
    </row>
    <row r="452" spans="3:31" s="29" customFormat="1" x14ac:dyDescent="0.25">
      <c r="C452" s="990"/>
      <c r="D452" s="990"/>
      <c r="E452" s="990"/>
      <c r="F452" s="991"/>
      <c r="G452" s="991"/>
      <c r="H452" s="991"/>
      <c r="I452" s="991"/>
      <c r="J452" s="991"/>
      <c r="Q452" s="114" t="s">
        <v>2326</v>
      </c>
      <c r="R452" s="114">
        <f>$AL$26</f>
        <v>1801.715474357886</v>
      </c>
      <c r="AA452" s="114" t="s">
        <v>2326</v>
      </c>
      <c r="AB452" s="114">
        <f>$AO$26/2</f>
        <v>476.87414947063905</v>
      </c>
    </row>
    <row r="453" spans="3:31" s="29" customFormat="1" x14ac:dyDescent="0.25">
      <c r="C453" s="990" t="s">
        <v>6</v>
      </c>
      <c r="D453" s="990"/>
      <c r="E453" s="990"/>
      <c r="F453" s="991" t="s">
        <v>9</v>
      </c>
      <c r="G453" s="991"/>
      <c r="H453" s="991"/>
      <c r="I453" s="991"/>
      <c r="J453" s="991"/>
      <c r="Q453" s="114" t="s">
        <v>2325</v>
      </c>
      <c r="R453" s="114">
        <f>$AL$27</f>
        <v>75.599999999999994</v>
      </c>
      <c r="AA453" s="114" t="s">
        <v>2325</v>
      </c>
      <c r="AB453" s="114">
        <f>$AO$27/4</f>
        <v>18.899999999999999</v>
      </c>
    </row>
    <row r="454" spans="3:31" s="29" customFormat="1" x14ac:dyDescent="0.25">
      <c r="C454" s="990"/>
      <c r="D454" s="990"/>
      <c r="E454" s="990"/>
      <c r="F454" s="991"/>
      <c r="G454" s="991"/>
      <c r="H454" s="991"/>
      <c r="I454" s="991"/>
      <c r="J454" s="991"/>
      <c r="Q454" s="114" t="s">
        <v>1684</v>
      </c>
      <c r="R454" s="114">
        <f>$AL$29</f>
        <v>69.543532482306858</v>
      </c>
      <c r="AA454" s="114" t="s">
        <v>1684</v>
      </c>
      <c r="AB454" s="114">
        <f>$AO$29</f>
        <v>1547.3435977313275</v>
      </c>
    </row>
    <row r="455" spans="3:31" s="29" customFormat="1" x14ac:dyDescent="0.25">
      <c r="C455" s="990"/>
      <c r="D455" s="990"/>
      <c r="E455" s="990"/>
      <c r="F455" s="991"/>
      <c r="G455" s="991"/>
      <c r="H455" s="991"/>
      <c r="I455" s="991"/>
      <c r="J455" s="991"/>
      <c r="Q455" s="114" t="s">
        <v>1685</v>
      </c>
      <c r="R455" s="114">
        <v>0.6</v>
      </c>
      <c r="AA455" s="114" t="s">
        <v>1685</v>
      </c>
      <c r="AB455" s="114">
        <v>0.6</v>
      </c>
    </row>
    <row r="456" spans="3:31" s="29" customFormat="1" x14ac:dyDescent="0.25">
      <c r="C456" s="990" t="s">
        <v>7</v>
      </c>
      <c r="D456" s="990"/>
      <c r="E456" s="990"/>
      <c r="F456" s="991" t="s">
        <v>577</v>
      </c>
      <c r="G456" s="991"/>
      <c r="H456" s="991"/>
      <c r="I456" s="991"/>
      <c r="J456" s="991"/>
      <c r="Q456" s="114" t="s">
        <v>1708</v>
      </c>
      <c r="R456" s="114">
        <f>(SUM(R451:R454)*R455)+SUM(R451:R454)</f>
        <v>23048.690248524392</v>
      </c>
      <c r="AA456" s="114" t="s">
        <v>1708</v>
      </c>
      <c r="AB456" s="114">
        <f>(SUM(AB451:AB454)*AB455)+SUM(AB451:AB454)</f>
        <v>9866.3963955231466</v>
      </c>
    </row>
    <row r="457" spans="3:31" s="29" customFormat="1" x14ac:dyDescent="0.25">
      <c r="C457" s="990"/>
      <c r="D457" s="990"/>
      <c r="E457" s="990"/>
      <c r="F457" s="991"/>
      <c r="G457" s="991"/>
      <c r="H457" s="991"/>
      <c r="I457" s="991"/>
      <c r="J457" s="991"/>
      <c r="Q457" s="114" t="s">
        <v>2130</v>
      </c>
      <c r="R457" s="114">
        <f>R456*0.08</f>
        <v>1843.8952198819513</v>
      </c>
      <c r="AA457" s="114" t="s">
        <v>2130</v>
      </c>
      <c r="AB457" s="114">
        <f>AB456*0.08</f>
        <v>789.31171164185173</v>
      </c>
    </row>
    <row r="458" spans="3:31" s="29" customFormat="1" x14ac:dyDescent="0.25">
      <c r="C458" s="990"/>
      <c r="D458" s="990"/>
      <c r="E458" s="990"/>
      <c r="F458" s="991"/>
      <c r="G458" s="991"/>
      <c r="H458" s="991"/>
      <c r="I458" s="991"/>
      <c r="J458" s="991"/>
      <c r="Q458" s="114" t="s">
        <v>1686</v>
      </c>
      <c r="R458" s="114">
        <f>SUM(R456+R457)</f>
        <v>24892.585468406342</v>
      </c>
      <c r="AA458" s="114" t="s">
        <v>1686</v>
      </c>
      <c r="AB458" s="114">
        <f>SUM(AB456+AB457)</f>
        <v>10655.708107164999</v>
      </c>
    </row>
    <row r="459" spans="3:31" s="29" customFormat="1" x14ac:dyDescent="0.25"/>
    <row r="460" spans="3:31" s="29" customFormat="1" x14ac:dyDescent="0.25"/>
    <row r="461" spans="3:31" s="29" customFormat="1" x14ac:dyDescent="0.25">
      <c r="C461" s="993" t="s">
        <v>8</v>
      </c>
      <c r="D461" s="993"/>
      <c r="E461" s="993"/>
      <c r="F461" s="993"/>
      <c r="G461" s="993"/>
      <c r="H461" s="993"/>
      <c r="I461" s="993"/>
      <c r="J461" s="993"/>
    </row>
    <row r="462" spans="3:31" s="29" customFormat="1" x14ac:dyDescent="0.25">
      <c r="C462" s="989" t="s">
        <v>0</v>
      </c>
      <c r="D462" s="989"/>
      <c r="E462" s="989"/>
      <c r="F462" s="989" t="s">
        <v>1</v>
      </c>
      <c r="G462" s="989"/>
      <c r="H462" s="989"/>
      <c r="I462" s="989"/>
      <c r="J462" s="989"/>
    </row>
    <row r="463" spans="3:31" s="29" customFormat="1" x14ac:dyDescent="0.25">
      <c r="C463" s="990" t="s">
        <v>2</v>
      </c>
      <c r="D463" s="990"/>
      <c r="E463" s="990"/>
      <c r="F463" s="991" t="s">
        <v>1675</v>
      </c>
      <c r="G463" s="991"/>
      <c r="H463" s="991"/>
      <c r="I463" s="991"/>
      <c r="J463" s="991"/>
      <c r="M463" s="113" t="s">
        <v>336</v>
      </c>
      <c r="N463" s="113" t="s">
        <v>174</v>
      </c>
      <c r="O463" s="113" t="s">
        <v>248</v>
      </c>
      <c r="P463" s="113" t="s">
        <v>176</v>
      </c>
      <c r="Q463" s="113" t="s">
        <v>337</v>
      </c>
      <c r="R463" s="113" t="s">
        <v>1641</v>
      </c>
      <c r="S463" s="113" t="s">
        <v>1642</v>
      </c>
      <c r="T463" s="113" t="s">
        <v>1643</v>
      </c>
      <c r="U463" s="113" t="s">
        <v>1644</v>
      </c>
      <c r="W463" s="988" t="s">
        <v>1466</v>
      </c>
      <c r="X463" s="988"/>
      <c r="Y463" s="988"/>
      <c r="Z463" s="988"/>
      <c r="AA463" s="988"/>
      <c r="AB463" s="988"/>
      <c r="AC463" s="988"/>
      <c r="AD463" s="988"/>
      <c r="AE463" s="988"/>
    </row>
    <row r="464" spans="3:31" s="29" customFormat="1" x14ac:dyDescent="0.25">
      <c r="C464" s="990"/>
      <c r="D464" s="990"/>
      <c r="E464" s="990"/>
      <c r="F464" s="991"/>
      <c r="G464" s="991"/>
      <c r="H464" s="991"/>
      <c r="I464" s="991"/>
      <c r="J464" s="991"/>
      <c r="M464" s="114" t="s">
        <v>344</v>
      </c>
      <c r="N464" s="153">
        <f>E23</f>
        <v>2099.0723984875517</v>
      </c>
      <c r="O464" s="114" t="str">
        <f>D10</f>
        <v>g</v>
      </c>
      <c r="P464" s="114">
        <v>100</v>
      </c>
      <c r="Q464" s="114">
        <f>N464</f>
        <v>2099.0723984875517</v>
      </c>
      <c r="R464" s="114">
        <v>0</v>
      </c>
      <c r="S464" s="114">
        <f t="shared" ref="S464:S469" si="103">P464*R464</f>
        <v>0</v>
      </c>
      <c r="T464" s="114">
        <f t="shared" ref="T464:T469" si="104">P464-S464</f>
        <v>100</v>
      </c>
      <c r="U464" s="114">
        <f>Q464+((S464*Q464)/P464)</f>
        <v>2099.0723984875517</v>
      </c>
      <c r="W464" s="113" t="s">
        <v>336</v>
      </c>
      <c r="X464" s="113" t="s">
        <v>174</v>
      </c>
      <c r="Y464" s="113" t="s">
        <v>248</v>
      </c>
      <c r="Z464" s="113" t="s">
        <v>176</v>
      </c>
      <c r="AA464" s="113" t="s">
        <v>337</v>
      </c>
      <c r="AB464" s="113" t="s">
        <v>1641</v>
      </c>
      <c r="AC464" s="113" t="s">
        <v>1642</v>
      </c>
      <c r="AD464" s="113" t="s">
        <v>1643</v>
      </c>
      <c r="AE464" s="113" t="s">
        <v>1644</v>
      </c>
    </row>
    <row r="465" spans="3:31" s="29" customFormat="1" x14ac:dyDescent="0.25">
      <c r="C465" s="990"/>
      <c r="D465" s="990"/>
      <c r="E465" s="990"/>
      <c r="F465" s="991"/>
      <c r="G465" s="991"/>
      <c r="H465" s="991"/>
      <c r="I465" s="991"/>
      <c r="J465" s="991"/>
      <c r="M465" s="114" t="s">
        <v>340</v>
      </c>
      <c r="N465" s="114">
        <f>Y20</f>
        <v>0.64</v>
      </c>
      <c r="O465" s="114" t="str">
        <f>X20</f>
        <v>g</v>
      </c>
      <c r="P465" s="114">
        <v>2</v>
      </c>
      <c r="Q465" s="114">
        <f>N465*P465</f>
        <v>1.28</v>
      </c>
      <c r="R465" s="114">
        <v>0</v>
      </c>
      <c r="S465" s="114">
        <f t="shared" si="103"/>
        <v>0</v>
      </c>
      <c r="T465" s="114">
        <f t="shared" si="104"/>
        <v>2</v>
      </c>
      <c r="U465" s="114">
        <f t="shared" ref="U465:U469" si="105">Q465+((S465*Q465)/P465)</f>
        <v>1.28</v>
      </c>
      <c r="W465" s="114" t="s">
        <v>547</v>
      </c>
      <c r="X465" s="114">
        <f>V13</f>
        <v>81.900000000000006</v>
      </c>
      <c r="Y465" s="114" t="str">
        <f>U13</f>
        <v>g</v>
      </c>
      <c r="Z465" s="114">
        <v>30</v>
      </c>
      <c r="AA465" s="114">
        <f>X465*Z465</f>
        <v>2457</v>
      </c>
      <c r="AB465" s="114">
        <v>0</v>
      </c>
      <c r="AC465" s="114">
        <f>Z465*AB465</f>
        <v>0</v>
      </c>
      <c r="AD465" s="114">
        <f>Z465-AC465</f>
        <v>30</v>
      </c>
      <c r="AE465" s="114">
        <f>AA465+((AC465*AA465)/Z465)</f>
        <v>2457</v>
      </c>
    </row>
    <row r="466" spans="3:31" s="29" customFormat="1" x14ac:dyDescent="0.25">
      <c r="C466" s="989" t="s">
        <v>0</v>
      </c>
      <c r="D466" s="989"/>
      <c r="E466" s="989"/>
      <c r="F466" s="989" t="s">
        <v>1</v>
      </c>
      <c r="G466" s="989"/>
      <c r="H466" s="989"/>
      <c r="I466" s="989"/>
      <c r="J466" s="989"/>
      <c r="M466" s="114" t="s">
        <v>433</v>
      </c>
      <c r="N466" s="114">
        <f>Y18</f>
        <v>223.57</v>
      </c>
      <c r="O466" s="114" t="str">
        <f>X18</f>
        <v>g</v>
      </c>
      <c r="P466" s="114">
        <v>10</v>
      </c>
      <c r="Q466" s="114">
        <f>N466*P466</f>
        <v>2235.6999999999998</v>
      </c>
      <c r="R466" s="114">
        <v>0</v>
      </c>
      <c r="S466" s="114">
        <f t="shared" si="103"/>
        <v>0</v>
      </c>
      <c r="T466" s="114">
        <f t="shared" si="104"/>
        <v>10</v>
      </c>
      <c r="U466" s="114">
        <f t="shared" si="105"/>
        <v>2235.6999999999998</v>
      </c>
      <c r="W466" s="114" t="s">
        <v>338</v>
      </c>
      <c r="X466" s="114">
        <f>AE4</f>
        <v>2.25</v>
      </c>
      <c r="Y466" s="114" t="str">
        <f>AD4</f>
        <v>g</v>
      </c>
      <c r="Z466" s="114">
        <v>10</v>
      </c>
      <c r="AA466" s="114">
        <f>X466*Z466</f>
        <v>22.5</v>
      </c>
      <c r="AB466" s="114">
        <v>0</v>
      </c>
      <c r="AC466" s="114">
        <f>Z466*AB466</f>
        <v>0</v>
      </c>
      <c r="AD466" s="114">
        <f>Z466-AC466</f>
        <v>10</v>
      </c>
      <c r="AE466" s="114">
        <f>AA466+((AC466*AA466)/Z466)</f>
        <v>22.5</v>
      </c>
    </row>
    <row r="467" spans="3:31" s="29" customFormat="1" x14ac:dyDescent="0.25">
      <c r="C467" s="990" t="s">
        <v>3</v>
      </c>
      <c r="D467" s="990"/>
      <c r="E467" s="990"/>
      <c r="F467" s="992" t="s">
        <v>1676</v>
      </c>
      <c r="G467" s="991"/>
      <c r="H467" s="991"/>
      <c r="I467" s="991"/>
      <c r="J467" s="991"/>
      <c r="M467" s="114" t="s">
        <v>579</v>
      </c>
      <c r="N467" s="114">
        <f>AE469</f>
        <v>3025.9</v>
      </c>
      <c r="O467" s="114" t="str">
        <f>U13</f>
        <v>g</v>
      </c>
      <c r="P467" s="114">
        <v>120</v>
      </c>
      <c r="Q467" s="114">
        <f>N467</f>
        <v>3025.9</v>
      </c>
      <c r="R467" s="114">
        <v>0</v>
      </c>
      <c r="S467" s="114">
        <f t="shared" si="103"/>
        <v>0</v>
      </c>
      <c r="T467" s="114">
        <f t="shared" si="104"/>
        <v>120</v>
      </c>
      <c r="U467" s="114">
        <f t="shared" si="105"/>
        <v>3025.9</v>
      </c>
      <c r="W467" s="114" t="s">
        <v>354</v>
      </c>
      <c r="X467" s="114">
        <f>V4</f>
        <v>3.08</v>
      </c>
      <c r="Y467" s="114" t="str">
        <f>U4</f>
        <v>mL</v>
      </c>
      <c r="Z467" s="114">
        <v>80</v>
      </c>
      <c r="AA467" s="114">
        <f>X467*Z467</f>
        <v>246.4</v>
      </c>
      <c r="AB467" s="114">
        <v>0</v>
      </c>
      <c r="AC467" s="114">
        <f>Z467*AB467</f>
        <v>0</v>
      </c>
      <c r="AD467" s="114">
        <f>Z467-AC467</f>
        <v>80</v>
      </c>
      <c r="AE467" s="114">
        <f>AA467+((AC467*AA467)/Z467)</f>
        <v>246.4</v>
      </c>
    </row>
    <row r="468" spans="3:31" s="29" customFormat="1" x14ac:dyDescent="0.25">
      <c r="C468" s="990"/>
      <c r="D468" s="990"/>
      <c r="E468" s="990"/>
      <c r="F468" s="991"/>
      <c r="G468" s="991"/>
      <c r="H468" s="991"/>
      <c r="I468" s="991"/>
      <c r="J468" s="991"/>
      <c r="M468" s="114" t="s">
        <v>547</v>
      </c>
      <c r="N468" s="114">
        <f>V13</f>
        <v>81.900000000000006</v>
      </c>
      <c r="O468" s="114" t="str">
        <f>U13</f>
        <v>g</v>
      </c>
      <c r="P468" s="114">
        <v>40</v>
      </c>
      <c r="Q468" s="114">
        <f>N468*P468</f>
        <v>3276</v>
      </c>
      <c r="R468" s="114">
        <v>0</v>
      </c>
      <c r="S468" s="114">
        <f t="shared" si="103"/>
        <v>0</v>
      </c>
      <c r="T468" s="114">
        <f t="shared" si="104"/>
        <v>40</v>
      </c>
      <c r="U468" s="114">
        <f t="shared" si="105"/>
        <v>3276</v>
      </c>
      <c r="W468" s="114" t="s">
        <v>442</v>
      </c>
      <c r="X468" s="114">
        <f>Y3</f>
        <v>30</v>
      </c>
      <c r="Y468" s="114" t="str">
        <f>X3</f>
        <v>g</v>
      </c>
      <c r="Z468" s="114">
        <v>10</v>
      </c>
      <c r="AA468" s="114">
        <f>X468*Z468</f>
        <v>300</v>
      </c>
      <c r="AB468" s="114">
        <v>0</v>
      </c>
      <c r="AC468" s="114">
        <f>Z468*AB468</f>
        <v>0</v>
      </c>
      <c r="AD468" s="114">
        <f>Z468-AC468</f>
        <v>10</v>
      </c>
      <c r="AE468" s="114">
        <f>AA468+((AC468*AA468)/Z468)</f>
        <v>300</v>
      </c>
    </row>
    <row r="469" spans="3:31" s="29" customFormat="1" x14ac:dyDescent="0.25">
      <c r="C469" s="990"/>
      <c r="D469" s="990"/>
      <c r="E469" s="990"/>
      <c r="F469" s="991"/>
      <c r="G469" s="991"/>
      <c r="H469" s="991"/>
      <c r="I469" s="991"/>
      <c r="J469" s="991"/>
      <c r="M469" s="114" t="s">
        <v>349</v>
      </c>
      <c r="N469" s="114">
        <f>S15</f>
        <v>41</v>
      </c>
      <c r="O469" s="114" t="str">
        <f>R15</f>
        <v>g</v>
      </c>
      <c r="P469" s="114">
        <v>70</v>
      </c>
      <c r="Q469" s="114">
        <f>N469*P469</f>
        <v>2870</v>
      </c>
      <c r="R469" s="114">
        <f>AN3</f>
        <v>0.47</v>
      </c>
      <c r="S469" s="114">
        <f t="shared" si="103"/>
        <v>32.9</v>
      </c>
      <c r="T469" s="114">
        <f t="shared" si="104"/>
        <v>37.1</v>
      </c>
      <c r="U469" s="114">
        <f t="shared" si="105"/>
        <v>4218.8999999999996</v>
      </c>
      <c r="W469" s="114" t="s">
        <v>337</v>
      </c>
      <c r="X469" s="114">
        <f>SUM(X465:X468)</f>
        <v>117.23</v>
      </c>
      <c r="Y469" s="114"/>
      <c r="Z469" s="114">
        <f>SUM(Z465:Z468)</f>
        <v>130</v>
      </c>
      <c r="AA469" s="114">
        <f>SUM(AA465:AA468)</f>
        <v>3025.9</v>
      </c>
      <c r="AB469" s="114"/>
      <c r="AC469" s="114"/>
      <c r="AD469" s="114"/>
      <c r="AE469" s="114">
        <f>SUM(AE465:AE468)</f>
        <v>3025.9</v>
      </c>
    </row>
    <row r="470" spans="3:31" s="29" customFormat="1" x14ac:dyDescent="0.25">
      <c r="C470" s="990" t="s">
        <v>4</v>
      </c>
      <c r="D470" s="990"/>
      <c r="E470" s="990"/>
      <c r="F470" s="991" t="s">
        <v>15</v>
      </c>
      <c r="G470" s="991"/>
      <c r="H470" s="991"/>
      <c r="I470" s="991"/>
      <c r="J470" s="991"/>
      <c r="M470" s="114"/>
      <c r="N470" s="114"/>
      <c r="O470" s="114"/>
      <c r="P470" s="114"/>
      <c r="Q470" s="114"/>
      <c r="R470" s="114"/>
      <c r="S470" s="114"/>
      <c r="T470" s="114"/>
      <c r="U470" s="114"/>
    </row>
    <row r="471" spans="3:31" s="29" customFormat="1" x14ac:dyDescent="0.25">
      <c r="C471" s="990"/>
      <c r="D471" s="990"/>
      <c r="E471" s="990"/>
      <c r="F471" s="991"/>
      <c r="G471" s="991"/>
      <c r="H471" s="991"/>
      <c r="I471" s="991"/>
      <c r="J471" s="991"/>
      <c r="M471" s="114"/>
      <c r="N471" s="114"/>
      <c r="O471" s="114"/>
      <c r="P471" s="114"/>
      <c r="Q471" s="114"/>
      <c r="R471" s="114"/>
      <c r="S471" s="114"/>
      <c r="T471" s="114"/>
      <c r="U471" s="114"/>
      <c r="AA471" s="114" t="s">
        <v>1681</v>
      </c>
      <c r="AB471" s="114">
        <f>AE469</f>
        <v>3025.9</v>
      </c>
      <c r="AC471" s="608" t="s">
        <v>2142</v>
      </c>
      <c r="AD471" s="608">
        <f>(AB471*100)/AB478</f>
        <v>34.545145122121973</v>
      </c>
    </row>
    <row r="472" spans="3:31" s="29" customFormat="1" x14ac:dyDescent="0.25">
      <c r="C472" s="990"/>
      <c r="D472" s="990"/>
      <c r="E472" s="990"/>
      <c r="F472" s="991"/>
      <c r="G472" s="991"/>
      <c r="H472" s="991"/>
      <c r="I472" s="991"/>
      <c r="J472" s="991"/>
      <c r="M472" s="114" t="s">
        <v>337</v>
      </c>
      <c r="N472" s="114">
        <f>SUM(N464:N471)</f>
        <v>5472.0823984875515</v>
      </c>
      <c r="O472" s="114"/>
      <c r="P472" s="114">
        <f>SUM(P464:P471)</f>
        <v>342</v>
      </c>
      <c r="Q472" s="114">
        <f>SUM(Q464:Q471)</f>
        <v>13507.952398487552</v>
      </c>
      <c r="R472" s="114"/>
      <c r="S472" s="114"/>
      <c r="T472" s="114"/>
      <c r="U472" s="114">
        <f>SUM(U464:U471)</f>
        <v>14856.852398487552</v>
      </c>
      <c r="AA472" s="114" t="s">
        <v>2326</v>
      </c>
      <c r="AB472" s="114">
        <f>$AO$26/2</f>
        <v>476.87414947063905</v>
      </c>
    </row>
    <row r="473" spans="3:31" s="29" customFormat="1" x14ac:dyDescent="0.25">
      <c r="C473" s="990" t="s">
        <v>5</v>
      </c>
      <c r="D473" s="990"/>
      <c r="E473" s="990"/>
      <c r="F473" s="991" t="s">
        <v>1677</v>
      </c>
      <c r="G473" s="991"/>
      <c r="H473" s="991"/>
      <c r="I473" s="991"/>
      <c r="J473" s="991"/>
      <c r="AA473" s="114" t="s">
        <v>2325</v>
      </c>
      <c r="AB473" s="114">
        <f>$AO$27/4</f>
        <v>18.899999999999999</v>
      </c>
    </row>
    <row r="474" spans="3:31" s="29" customFormat="1" x14ac:dyDescent="0.25">
      <c r="C474" s="990"/>
      <c r="D474" s="990"/>
      <c r="E474" s="990"/>
      <c r="F474" s="991"/>
      <c r="G474" s="991"/>
      <c r="H474" s="991"/>
      <c r="I474" s="991"/>
      <c r="J474" s="991"/>
      <c r="Q474" s="114" t="s">
        <v>1681</v>
      </c>
      <c r="R474" s="114">
        <f>U472</f>
        <v>14856.852398487552</v>
      </c>
      <c r="S474" s="608" t="s">
        <v>2142</v>
      </c>
      <c r="T474" s="608">
        <f>(R474*100)/R481</f>
        <v>51.165574681662463</v>
      </c>
      <c r="AA474" s="114" t="s">
        <v>1684</v>
      </c>
      <c r="AB474" s="114">
        <f>$AO$29</f>
        <v>1547.3435977313275</v>
      </c>
    </row>
    <row r="475" spans="3:31" s="29" customFormat="1" x14ac:dyDescent="0.25">
      <c r="C475" s="990"/>
      <c r="D475" s="990"/>
      <c r="E475" s="990"/>
      <c r="F475" s="991"/>
      <c r="G475" s="991"/>
      <c r="H475" s="991"/>
      <c r="I475" s="991"/>
      <c r="J475" s="991"/>
      <c r="Q475" s="114" t="s">
        <v>2326</v>
      </c>
      <c r="R475" s="114">
        <f>$AL$26</f>
        <v>1801.715474357886</v>
      </c>
      <c r="AA475" s="114" t="s">
        <v>1685</v>
      </c>
      <c r="AB475" s="114">
        <v>0.6</v>
      </c>
    </row>
    <row r="476" spans="3:31" s="29" customFormat="1" x14ac:dyDescent="0.25">
      <c r="C476" s="990" t="s">
        <v>6</v>
      </c>
      <c r="D476" s="990"/>
      <c r="E476" s="990"/>
      <c r="F476" s="991" t="s">
        <v>9</v>
      </c>
      <c r="G476" s="991"/>
      <c r="H476" s="991"/>
      <c r="I476" s="991"/>
      <c r="J476" s="991"/>
      <c r="Q476" s="114" t="s">
        <v>2325</v>
      </c>
      <c r="R476" s="114">
        <f>$AL$27</f>
        <v>75.599999999999994</v>
      </c>
      <c r="AA476" s="114" t="s">
        <v>1708</v>
      </c>
      <c r="AB476" s="114">
        <f>(SUM(AB471:AB474)*AB475)+SUM(AB471:AB474)</f>
        <v>8110.4283955231467</v>
      </c>
    </row>
    <row r="477" spans="3:31" s="29" customFormat="1" x14ac:dyDescent="0.25">
      <c r="C477" s="990"/>
      <c r="D477" s="990"/>
      <c r="E477" s="990"/>
      <c r="F477" s="991"/>
      <c r="G477" s="991"/>
      <c r="H477" s="991"/>
      <c r="I477" s="991"/>
      <c r="J477" s="991"/>
      <c r="Q477" s="114" t="s">
        <v>1684</v>
      </c>
      <c r="R477" s="114">
        <f>$AL$29</f>
        <v>69.543532482306858</v>
      </c>
      <c r="AA477" s="114" t="s">
        <v>2130</v>
      </c>
      <c r="AB477" s="114">
        <f>AB476*0.08</f>
        <v>648.83427164185173</v>
      </c>
    </row>
    <row r="478" spans="3:31" s="29" customFormat="1" x14ac:dyDescent="0.25">
      <c r="C478" s="990"/>
      <c r="D478" s="990"/>
      <c r="E478" s="990"/>
      <c r="F478" s="991"/>
      <c r="G478" s="991"/>
      <c r="H478" s="991"/>
      <c r="I478" s="991"/>
      <c r="J478" s="991"/>
      <c r="Q478" s="114" t="s">
        <v>1685</v>
      </c>
      <c r="R478" s="114">
        <v>0.6</v>
      </c>
      <c r="AA478" s="114" t="s">
        <v>1686</v>
      </c>
      <c r="AB478" s="114">
        <f>SUM(AB476+AB477)</f>
        <v>8759.2626671649978</v>
      </c>
    </row>
    <row r="479" spans="3:31" s="29" customFormat="1" x14ac:dyDescent="0.25">
      <c r="C479" s="990" t="s">
        <v>7</v>
      </c>
      <c r="D479" s="990"/>
      <c r="E479" s="990"/>
      <c r="F479" s="991" t="s">
        <v>578</v>
      </c>
      <c r="G479" s="991"/>
      <c r="H479" s="991"/>
      <c r="I479" s="991"/>
      <c r="J479" s="991"/>
      <c r="Q479" s="114" t="s">
        <v>1708</v>
      </c>
      <c r="R479" s="114">
        <f>(SUM(R474:R477)*R478)+SUM(R474:R477)</f>
        <v>26885.938248524391</v>
      </c>
    </row>
    <row r="480" spans="3:31" s="29" customFormat="1" x14ac:dyDescent="0.25">
      <c r="C480" s="990"/>
      <c r="D480" s="990"/>
      <c r="E480" s="990"/>
      <c r="F480" s="991"/>
      <c r="G480" s="991"/>
      <c r="H480" s="991"/>
      <c r="I480" s="991"/>
      <c r="J480" s="991"/>
      <c r="Q480" s="114" t="s">
        <v>2130</v>
      </c>
      <c r="R480" s="114">
        <f>R479*0.08</f>
        <v>2150.8750598819515</v>
      </c>
    </row>
    <row r="481" spans="3:25" s="29" customFormat="1" x14ac:dyDescent="0.25">
      <c r="C481" s="990"/>
      <c r="D481" s="990"/>
      <c r="E481" s="990"/>
      <c r="F481" s="991"/>
      <c r="G481" s="991"/>
      <c r="H481" s="991"/>
      <c r="I481" s="991"/>
      <c r="J481" s="991"/>
      <c r="Q481" s="114" t="s">
        <v>1686</v>
      </c>
      <c r="R481" s="114">
        <f>SUM(R479+R480)</f>
        <v>29036.813308406345</v>
      </c>
    </row>
    <row r="482" spans="3:25" s="29" customFormat="1" x14ac:dyDescent="0.25">
      <c r="S482" s="30"/>
      <c r="T482" s="30"/>
      <c r="U482" s="30"/>
      <c r="V482" s="30"/>
      <c r="W482" s="30"/>
      <c r="X482" s="30"/>
      <c r="Y482" s="30"/>
    </row>
    <row r="483" spans="3:25" s="29" customFormat="1" x14ac:dyDescent="0.25">
      <c r="S483" s="30"/>
      <c r="T483" s="30"/>
      <c r="U483" s="30"/>
      <c r="V483" s="30"/>
      <c r="W483" s="30"/>
      <c r="X483" s="30"/>
      <c r="Y483" s="30"/>
    </row>
    <row r="484" spans="3:25" s="29" customFormat="1" x14ac:dyDescent="0.25">
      <c r="C484" s="1037" t="s">
        <v>8</v>
      </c>
      <c r="D484" s="1038"/>
      <c r="E484" s="1038"/>
      <c r="F484" s="1038"/>
      <c r="G484" s="1038"/>
      <c r="H484" s="1038"/>
      <c r="I484" s="1038"/>
      <c r="J484" s="1039"/>
      <c r="S484" s="30"/>
      <c r="T484" s="30"/>
      <c r="U484" s="30"/>
      <c r="V484" s="30"/>
      <c r="W484" s="30"/>
      <c r="X484" s="30"/>
      <c r="Y484" s="30"/>
    </row>
    <row r="485" spans="3:25" s="29" customFormat="1" x14ac:dyDescent="0.25">
      <c r="C485" s="1016" t="s">
        <v>0</v>
      </c>
      <c r="D485" s="1017"/>
      <c r="E485" s="1018"/>
      <c r="F485" s="1016" t="s">
        <v>1</v>
      </c>
      <c r="G485" s="1017"/>
      <c r="H485" s="1017"/>
      <c r="I485" s="1017"/>
      <c r="J485" s="1018"/>
      <c r="S485" s="30"/>
      <c r="T485" s="30"/>
      <c r="U485" s="30"/>
      <c r="V485" s="30"/>
      <c r="W485" s="30"/>
      <c r="X485" s="30"/>
      <c r="Y485" s="30"/>
    </row>
    <row r="486" spans="3:25" s="29" customFormat="1" x14ac:dyDescent="0.25">
      <c r="C486" s="1019" t="s">
        <v>2</v>
      </c>
      <c r="D486" s="1020"/>
      <c r="E486" s="1021"/>
      <c r="F486" s="1028" t="s">
        <v>95</v>
      </c>
      <c r="G486" s="1029"/>
      <c r="H486" s="1029"/>
      <c r="I486" s="1029"/>
      <c r="J486" s="1030"/>
      <c r="M486" s="113" t="s">
        <v>336</v>
      </c>
      <c r="N486" s="113" t="s">
        <v>174</v>
      </c>
      <c r="O486" s="113" t="s">
        <v>248</v>
      </c>
      <c r="P486" s="113" t="s">
        <v>176</v>
      </c>
      <c r="Q486" s="113" t="s">
        <v>337</v>
      </c>
      <c r="R486" s="113" t="s">
        <v>1641</v>
      </c>
      <c r="S486" s="113" t="s">
        <v>1642</v>
      </c>
      <c r="T486" s="113" t="s">
        <v>1643</v>
      </c>
      <c r="U486" s="113" t="s">
        <v>1644</v>
      </c>
      <c r="V486" s="103"/>
      <c r="W486" s="103"/>
      <c r="X486" s="103"/>
      <c r="Y486" s="30"/>
    </row>
    <row r="487" spans="3:25" s="29" customFormat="1" x14ac:dyDescent="0.25">
      <c r="C487" s="1022"/>
      <c r="D487" s="1023"/>
      <c r="E487" s="1024"/>
      <c r="F487" s="1031"/>
      <c r="G487" s="1032"/>
      <c r="H487" s="1032"/>
      <c r="I487" s="1032"/>
      <c r="J487" s="1033"/>
      <c r="M487" s="114" t="s">
        <v>344</v>
      </c>
      <c r="N487" s="114">
        <f>E10</f>
        <v>2099.0723984875517</v>
      </c>
      <c r="O487" s="114" t="str">
        <f>D10</f>
        <v>g</v>
      </c>
      <c r="P487" s="114">
        <v>100</v>
      </c>
      <c r="Q487" s="114">
        <f>N487</f>
        <v>2099.0723984875517</v>
      </c>
      <c r="R487" s="114">
        <v>0</v>
      </c>
      <c r="S487" s="114">
        <f>P487*R487</f>
        <v>0</v>
      </c>
      <c r="T487" s="114">
        <f>P487-S487</f>
        <v>100</v>
      </c>
      <c r="U487" s="114">
        <f>Q487+((S487*Q487)/P487)</f>
        <v>2099.0723984875517</v>
      </c>
      <c r="V487" s="104"/>
      <c r="W487" s="104"/>
      <c r="X487" s="104"/>
      <c r="Y487" s="30"/>
    </row>
    <row r="488" spans="3:25" s="29" customFormat="1" x14ac:dyDescent="0.25">
      <c r="C488" s="1025"/>
      <c r="D488" s="1026"/>
      <c r="E488" s="1027"/>
      <c r="F488" s="1034"/>
      <c r="G488" s="1035"/>
      <c r="H488" s="1035"/>
      <c r="I488" s="1035"/>
      <c r="J488" s="1036"/>
      <c r="M488" s="114" t="s">
        <v>340</v>
      </c>
      <c r="N488" s="114">
        <f>Y20</f>
        <v>0.64</v>
      </c>
      <c r="O488" s="114" t="str">
        <f>X20</f>
        <v>g</v>
      </c>
      <c r="P488" s="114">
        <v>2</v>
      </c>
      <c r="Q488" s="114">
        <f t="shared" ref="Q488:Q493" si="106">N488*P488</f>
        <v>1.28</v>
      </c>
      <c r="R488" s="114">
        <v>0</v>
      </c>
      <c r="S488" s="114">
        <f t="shared" ref="S488:S493" si="107">P488*R488</f>
        <v>0</v>
      </c>
      <c r="T488" s="114">
        <f t="shared" ref="T488:T493" si="108">P488-S488</f>
        <v>2</v>
      </c>
      <c r="U488" s="114">
        <f t="shared" ref="U488:U493" si="109">Q488+((S488*Q488)/P488)</f>
        <v>1.28</v>
      </c>
      <c r="V488" s="30"/>
      <c r="W488" s="30"/>
      <c r="X488" s="30"/>
      <c r="Y488" s="30"/>
    </row>
    <row r="489" spans="3:25" s="29" customFormat="1" x14ac:dyDescent="0.25">
      <c r="C489" s="1016" t="s">
        <v>0</v>
      </c>
      <c r="D489" s="1017"/>
      <c r="E489" s="1018"/>
      <c r="F489" s="1016" t="s">
        <v>1</v>
      </c>
      <c r="G489" s="1017"/>
      <c r="H489" s="1017"/>
      <c r="I489" s="1017"/>
      <c r="J489" s="1018"/>
      <c r="M489" s="114" t="s">
        <v>346</v>
      </c>
      <c r="N489" s="114">
        <f>P3</f>
        <v>7</v>
      </c>
      <c r="O489" s="114" t="str">
        <f>O3</f>
        <v>g</v>
      </c>
      <c r="P489" s="114">
        <v>6</v>
      </c>
      <c r="Q489" s="114">
        <f t="shared" si="106"/>
        <v>42</v>
      </c>
      <c r="R489" s="114">
        <f>AJ2</f>
        <v>0.23</v>
      </c>
      <c r="S489" s="114">
        <f t="shared" si="107"/>
        <v>1.3800000000000001</v>
      </c>
      <c r="T489" s="114">
        <f t="shared" si="108"/>
        <v>4.62</v>
      </c>
      <c r="U489" s="114">
        <f t="shared" si="109"/>
        <v>51.660000000000004</v>
      </c>
      <c r="V489" s="30"/>
      <c r="W489" s="30"/>
      <c r="X489" s="30"/>
      <c r="Y489" s="30"/>
    </row>
    <row r="490" spans="3:25" s="29" customFormat="1" x14ac:dyDescent="0.25">
      <c r="C490" s="1019" t="s">
        <v>3</v>
      </c>
      <c r="D490" s="1020"/>
      <c r="E490" s="1021"/>
      <c r="F490" s="1007" t="s">
        <v>96</v>
      </c>
      <c r="G490" s="1008"/>
      <c r="H490" s="1008"/>
      <c r="I490" s="1008"/>
      <c r="J490" s="1009"/>
      <c r="M490" s="114" t="s">
        <v>433</v>
      </c>
      <c r="N490" s="114">
        <f>Y18</f>
        <v>223.57</v>
      </c>
      <c r="O490" s="114" t="str">
        <f>X18</f>
        <v>g</v>
      </c>
      <c r="P490" s="114">
        <v>10</v>
      </c>
      <c r="Q490" s="114">
        <f t="shared" si="106"/>
        <v>2235.6999999999998</v>
      </c>
      <c r="R490" s="114">
        <v>0</v>
      </c>
      <c r="S490" s="114">
        <f t="shared" si="107"/>
        <v>0</v>
      </c>
      <c r="T490" s="114">
        <f t="shared" si="108"/>
        <v>10</v>
      </c>
      <c r="U490" s="114">
        <f t="shared" si="109"/>
        <v>2235.6999999999998</v>
      </c>
      <c r="V490" s="30"/>
      <c r="W490" s="30"/>
      <c r="X490" s="30"/>
      <c r="Y490" s="30"/>
    </row>
    <row r="491" spans="3:25" s="29" customFormat="1" x14ac:dyDescent="0.25">
      <c r="C491" s="1022"/>
      <c r="D491" s="1023"/>
      <c r="E491" s="1024"/>
      <c r="F491" s="1010"/>
      <c r="G491" s="1040"/>
      <c r="H491" s="1040"/>
      <c r="I491" s="1040"/>
      <c r="J491" s="1012"/>
      <c r="M491" s="114" t="s">
        <v>481</v>
      </c>
      <c r="N491" s="114">
        <f>AE12</f>
        <v>69.22</v>
      </c>
      <c r="O491" s="114" t="str">
        <f>AD12</f>
        <v>g</v>
      </c>
      <c r="P491" s="114">
        <v>100</v>
      </c>
      <c r="Q491" s="114">
        <f t="shared" si="106"/>
        <v>6922</v>
      </c>
      <c r="R491" s="114">
        <v>0</v>
      </c>
      <c r="S491" s="114">
        <f t="shared" si="107"/>
        <v>0</v>
      </c>
      <c r="T491" s="114">
        <f t="shared" si="108"/>
        <v>100</v>
      </c>
      <c r="U491" s="114">
        <f t="shared" si="109"/>
        <v>6922</v>
      </c>
      <c r="V491" s="30"/>
      <c r="W491" s="30"/>
      <c r="X491" s="30"/>
      <c r="Y491" s="30"/>
    </row>
    <row r="492" spans="3:25" s="29" customFormat="1" x14ac:dyDescent="0.25">
      <c r="C492" s="1025"/>
      <c r="D492" s="1026"/>
      <c r="E492" s="1027"/>
      <c r="F492" s="1013"/>
      <c r="G492" s="1014"/>
      <c r="H492" s="1014"/>
      <c r="I492" s="1014"/>
      <c r="J492" s="1015"/>
      <c r="M492" s="114" t="s">
        <v>459</v>
      </c>
      <c r="N492" s="114">
        <f>S6</f>
        <v>30</v>
      </c>
      <c r="O492" s="114" t="str">
        <f>R6</f>
        <v>g</v>
      </c>
      <c r="P492" s="114">
        <v>80</v>
      </c>
      <c r="Q492" s="114">
        <f t="shared" si="106"/>
        <v>2400</v>
      </c>
      <c r="R492" s="114">
        <f>AN6</f>
        <v>0</v>
      </c>
      <c r="S492" s="114">
        <f t="shared" si="107"/>
        <v>0</v>
      </c>
      <c r="T492" s="114">
        <f t="shared" si="108"/>
        <v>80</v>
      </c>
      <c r="U492" s="114">
        <f t="shared" si="109"/>
        <v>2400</v>
      </c>
      <c r="V492" s="30"/>
      <c r="W492" s="30"/>
      <c r="X492" s="30"/>
      <c r="Y492" s="30"/>
    </row>
    <row r="493" spans="3:25" s="29" customFormat="1" x14ac:dyDescent="0.25">
      <c r="C493" s="1019" t="s">
        <v>4</v>
      </c>
      <c r="D493" s="1020"/>
      <c r="E493" s="1021"/>
      <c r="F493" s="1028" t="s">
        <v>15</v>
      </c>
      <c r="G493" s="1029"/>
      <c r="H493" s="1029"/>
      <c r="I493" s="1029"/>
      <c r="J493" s="1030"/>
      <c r="M493" s="114" t="s">
        <v>482</v>
      </c>
      <c r="N493" s="114">
        <f>P18</f>
        <v>5</v>
      </c>
      <c r="O493" s="114" t="str">
        <f>O18</f>
        <v>g</v>
      </c>
      <c r="P493" s="114">
        <v>30</v>
      </c>
      <c r="Q493" s="114">
        <f t="shared" si="106"/>
        <v>150</v>
      </c>
      <c r="R493" s="114">
        <f>AJ11</f>
        <v>0.23</v>
      </c>
      <c r="S493" s="114">
        <f t="shared" si="107"/>
        <v>6.9</v>
      </c>
      <c r="T493" s="114">
        <f t="shared" si="108"/>
        <v>23.1</v>
      </c>
      <c r="U493" s="114">
        <f t="shared" si="109"/>
        <v>184.5</v>
      </c>
      <c r="V493" s="30"/>
      <c r="W493" s="30"/>
      <c r="X493" s="30"/>
      <c r="Y493" s="30"/>
    </row>
    <row r="494" spans="3:25" s="29" customFormat="1" x14ac:dyDescent="0.25">
      <c r="C494" s="1022"/>
      <c r="D494" s="1023"/>
      <c r="E494" s="1024"/>
      <c r="F494" s="1031"/>
      <c r="G494" s="1032"/>
      <c r="H494" s="1032"/>
      <c r="I494" s="1032"/>
      <c r="J494" s="1033"/>
      <c r="M494" s="114"/>
      <c r="N494" s="114"/>
      <c r="O494" s="114"/>
      <c r="P494" s="114"/>
      <c r="Q494" s="114"/>
      <c r="R494" s="114"/>
      <c r="S494" s="114"/>
      <c r="T494" s="114"/>
      <c r="U494" s="114"/>
      <c r="V494" s="30"/>
      <c r="W494" s="30"/>
      <c r="X494" s="30"/>
      <c r="Y494" s="30"/>
    </row>
    <row r="495" spans="3:25" s="29" customFormat="1" x14ac:dyDescent="0.25">
      <c r="C495" s="1025"/>
      <c r="D495" s="1026"/>
      <c r="E495" s="1027"/>
      <c r="F495" s="1034"/>
      <c r="G495" s="1035"/>
      <c r="H495" s="1035"/>
      <c r="I495" s="1035"/>
      <c r="J495" s="1036"/>
      <c r="M495" s="114" t="s">
        <v>337</v>
      </c>
      <c r="N495" s="114">
        <f>SUM(N487:N494)</f>
        <v>2434.5023984875515</v>
      </c>
      <c r="O495" s="114"/>
      <c r="P495" s="114">
        <f>SUM(P487:P494)</f>
        <v>328</v>
      </c>
      <c r="Q495" s="114">
        <f>SUM(Q487:Q494)</f>
        <v>13850.052398487551</v>
      </c>
      <c r="R495" s="114"/>
      <c r="S495" s="114"/>
      <c r="T495" s="114"/>
      <c r="U495" s="114">
        <f>SUM(U487:U494)</f>
        <v>13894.212398487551</v>
      </c>
      <c r="V495" s="30"/>
      <c r="W495" s="30"/>
      <c r="X495" s="30"/>
      <c r="Y495" s="30"/>
    </row>
    <row r="496" spans="3:25" s="29" customFormat="1" x14ac:dyDescent="0.25">
      <c r="C496" s="1019" t="s">
        <v>5</v>
      </c>
      <c r="D496" s="1020"/>
      <c r="E496" s="1021"/>
      <c r="F496" s="1028" t="s">
        <v>97</v>
      </c>
      <c r="G496" s="1029"/>
      <c r="H496" s="1029"/>
      <c r="I496" s="1029"/>
      <c r="J496" s="1030"/>
      <c r="S496" s="30"/>
      <c r="T496" s="30"/>
      <c r="U496" s="30"/>
      <c r="V496" s="30"/>
      <c r="W496" s="30"/>
      <c r="X496" s="30"/>
      <c r="Y496" s="30"/>
    </row>
    <row r="497" spans="3:31" s="29" customFormat="1" x14ac:dyDescent="0.25">
      <c r="C497" s="1022"/>
      <c r="D497" s="1023"/>
      <c r="E497" s="1024"/>
      <c r="F497" s="1031"/>
      <c r="G497" s="1032"/>
      <c r="H497" s="1032"/>
      <c r="I497" s="1032"/>
      <c r="J497" s="1033"/>
      <c r="Q497" s="114" t="s">
        <v>1681</v>
      </c>
      <c r="R497" s="114">
        <f>U495</f>
        <v>13894.212398487551</v>
      </c>
      <c r="S497" s="608" t="s">
        <v>2142</v>
      </c>
      <c r="T497" s="608">
        <f>(R497*100)/R504</f>
        <v>50.758133520857704</v>
      </c>
    </row>
    <row r="498" spans="3:31" s="29" customFormat="1" x14ac:dyDescent="0.25">
      <c r="C498" s="1025"/>
      <c r="D498" s="1026"/>
      <c r="E498" s="1027"/>
      <c r="F498" s="1034"/>
      <c r="G498" s="1035"/>
      <c r="H498" s="1035"/>
      <c r="I498" s="1035"/>
      <c r="J498" s="1036"/>
      <c r="Q498" s="114" t="s">
        <v>2326</v>
      </c>
      <c r="R498" s="114">
        <f>$AL$26</f>
        <v>1801.715474357886</v>
      </c>
    </row>
    <row r="499" spans="3:31" s="29" customFormat="1" x14ac:dyDescent="0.25">
      <c r="C499" s="1019" t="s">
        <v>6</v>
      </c>
      <c r="D499" s="1020"/>
      <c r="E499" s="1021"/>
      <c r="F499" s="1028" t="s">
        <v>9</v>
      </c>
      <c r="G499" s="1029"/>
      <c r="H499" s="1029"/>
      <c r="I499" s="1029"/>
      <c r="J499" s="1030"/>
      <c r="Q499" s="114" t="s">
        <v>2325</v>
      </c>
      <c r="R499" s="114">
        <f>$AL$27</f>
        <v>75.599999999999994</v>
      </c>
    </row>
    <row r="500" spans="3:31" s="29" customFormat="1" x14ac:dyDescent="0.25">
      <c r="C500" s="1022"/>
      <c r="D500" s="1023"/>
      <c r="E500" s="1024"/>
      <c r="F500" s="1031"/>
      <c r="G500" s="1032"/>
      <c r="H500" s="1032"/>
      <c r="I500" s="1032"/>
      <c r="J500" s="1033"/>
      <c r="Q500" s="114" t="s">
        <v>1684</v>
      </c>
      <c r="R500" s="114">
        <f>$AL$29</f>
        <v>69.543532482306858</v>
      </c>
    </row>
    <row r="501" spans="3:31" s="29" customFormat="1" x14ac:dyDescent="0.25">
      <c r="C501" s="1025"/>
      <c r="D501" s="1026"/>
      <c r="E501" s="1027"/>
      <c r="F501" s="1034"/>
      <c r="G501" s="1035"/>
      <c r="H501" s="1035"/>
      <c r="I501" s="1035"/>
      <c r="J501" s="1036"/>
      <c r="Q501" s="114" t="s">
        <v>1685</v>
      </c>
      <c r="R501" s="114">
        <v>0.6</v>
      </c>
    </row>
    <row r="502" spans="3:31" s="29" customFormat="1" x14ac:dyDescent="0.25">
      <c r="C502" s="1019" t="s">
        <v>7</v>
      </c>
      <c r="D502" s="1020"/>
      <c r="E502" s="1021"/>
      <c r="F502" s="1028" t="s">
        <v>580</v>
      </c>
      <c r="G502" s="1029"/>
      <c r="H502" s="1029"/>
      <c r="I502" s="1029"/>
      <c r="J502" s="1030"/>
      <c r="Q502" s="114" t="s">
        <v>1708</v>
      </c>
      <c r="R502" s="114">
        <f>(SUM(R497:R500)*R501)+SUM(R497:R500)</f>
        <v>25345.714248524389</v>
      </c>
    </row>
    <row r="503" spans="3:31" s="29" customFormat="1" x14ac:dyDescent="0.25">
      <c r="C503" s="1022"/>
      <c r="D503" s="1023"/>
      <c r="E503" s="1024"/>
      <c r="F503" s="1031"/>
      <c r="G503" s="1032"/>
      <c r="H503" s="1032"/>
      <c r="I503" s="1032"/>
      <c r="J503" s="1033"/>
      <c r="Q503" s="114" t="s">
        <v>2130</v>
      </c>
      <c r="R503" s="114">
        <f>R502*0.08</f>
        <v>2027.6571398819513</v>
      </c>
    </row>
    <row r="504" spans="3:31" s="29" customFormat="1" x14ac:dyDescent="0.25">
      <c r="C504" s="1025"/>
      <c r="D504" s="1026"/>
      <c r="E504" s="1027"/>
      <c r="F504" s="1034"/>
      <c r="G504" s="1035"/>
      <c r="H504" s="1035"/>
      <c r="I504" s="1035"/>
      <c r="J504" s="1036"/>
      <c r="Q504" s="114" t="s">
        <v>1686</v>
      </c>
      <c r="R504" s="114">
        <f>SUM(R502+R503)</f>
        <v>27373.37138840634</v>
      </c>
    </row>
    <row r="505" spans="3:31" s="29" customFormat="1" x14ac:dyDescent="0.25"/>
    <row r="506" spans="3:31" s="29" customFormat="1" x14ac:dyDescent="0.25"/>
    <row r="507" spans="3:31" s="29" customFormat="1" x14ac:dyDescent="0.25">
      <c r="C507" s="1037" t="s">
        <v>8</v>
      </c>
      <c r="D507" s="1038"/>
      <c r="E507" s="1038"/>
      <c r="F507" s="1038"/>
      <c r="G507" s="1038"/>
      <c r="H507" s="1038"/>
      <c r="I507" s="1038"/>
      <c r="J507" s="1039"/>
    </row>
    <row r="508" spans="3:31" s="29" customFormat="1" x14ac:dyDescent="0.25">
      <c r="C508" s="1016" t="s">
        <v>0</v>
      </c>
      <c r="D508" s="1017"/>
      <c r="E508" s="1018"/>
      <c r="F508" s="1016" t="s">
        <v>1</v>
      </c>
      <c r="G508" s="1017"/>
      <c r="H508" s="1017"/>
      <c r="I508" s="1017"/>
      <c r="J508" s="1018"/>
    </row>
    <row r="509" spans="3:31" s="29" customFormat="1" x14ac:dyDescent="0.25">
      <c r="C509" s="1019" t="s">
        <v>2</v>
      </c>
      <c r="D509" s="1020"/>
      <c r="E509" s="1021"/>
      <c r="F509" s="1028" t="s">
        <v>98</v>
      </c>
      <c r="G509" s="1029"/>
      <c r="H509" s="1029"/>
      <c r="I509" s="1029"/>
      <c r="J509" s="1030"/>
      <c r="M509" s="113" t="s">
        <v>336</v>
      </c>
      <c r="N509" s="113" t="s">
        <v>174</v>
      </c>
      <c r="O509" s="113" t="s">
        <v>248</v>
      </c>
      <c r="P509" s="113" t="s">
        <v>176</v>
      </c>
      <c r="Q509" s="113" t="s">
        <v>337</v>
      </c>
      <c r="R509" s="113" t="s">
        <v>1641</v>
      </c>
      <c r="S509" s="113" t="s">
        <v>1642</v>
      </c>
      <c r="T509" s="113" t="s">
        <v>1643</v>
      </c>
      <c r="U509" s="113" t="s">
        <v>1644</v>
      </c>
      <c r="W509" s="994" t="s">
        <v>1467</v>
      </c>
      <c r="X509" s="994"/>
      <c r="Y509" s="994"/>
      <c r="Z509" s="994"/>
      <c r="AA509" s="994"/>
      <c r="AB509" s="994"/>
      <c r="AC509" s="994"/>
      <c r="AD509" s="994"/>
      <c r="AE509" s="994"/>
    </row>
    <row r="510" spans="3:31" s="29" customFormat="1" x14ac:dyDescent="0.25">
      <c r="C510" s="1022"/>
      <c r="D510" s="1023"/>
      <c r="E510" s="1024"/>
      <c r="F510" s="1031"/>
      <c r="G510" s="1032"/>
      <c r="H510" s="1032"/>
      <c r="I510" s="1032"/>
      <c r="J510" s="1033"/>
      <c r="M510" s="114" t="s">
        <v>344</v>
      </c>
      <c r="N510" s="114">
        <f>E10</f>
        <v>2099.0723984875517</v>
      </c>
      <c r="O510" s="114" t="str">
        <f>D10</f>
        <v>g</v>
      </c>
      <c r="P510" s="114">
        <v>100</v>
      </c>
      <c r="Q510" s="114">
        <f>N510</f>
        <v>2099.0723984875517</v>
      </c>
      <c r="R510" s="114">
        <v>0</v>
      </c>
      <c r="S510" s="114">
        <f>P510*R510</f>
        <v>0</v>
      </c>
      <c r="T510" s="114">
        <f>P510-S510</f>
        <v>100</v>
      </c>
      <c r="U510" s="114">
        <f>Q510+((S510*Q510)/P510)</f>
        <v>2099.0723984875517</v>
      </c>
      <c r="W510" s="113" t="s">
        <v>336</v>
      </c>
      <c r="X510" s="113" t="s">
        <v>174</v>
      </c>
      <c r="Y510" s="113" t="s">
        <v>248</v>
      </c>
      <c r="Z510" s="113" t="s">
        <v>176</v>
      </c>
      <c r="AA510" s="113" t="s">
        <v>337</v>
      </c>
      <c r="AB510" s="113" t="s">
        <v>1641</v>
      </c>
      <c r="AC510" s="113" t="s">
        <v>1642</v>
      </c>
      <c r="AD510" s="113" t="s">
        <v>1643</v>
      </c>
      <c r="AE510" s="113" t="s">
        <v>1644</v>
      </c>
    </row>
    <row r="511" spans="3:31" s="29" customFormat="1" x14ac:dyDescent="0.25">
      <c r="C511" s="1025"/>
      <c r="D511" s="1026"/>
      <c r="E511" s="1027"/>
      <c r="F511" s="1034"/>
      <c r="G511" s="1035"/>
      <c r="H511" s="1035"/>
      <c r="I511" s="1035"/>
      <c r="J511" s="1036"/>
      <c r="M511" s="114" t="s">
        <v>340</v>
      </c>
      <c r="N511" s="114">
        <f>Y20</f>
        <v>0.64</v>
      </c>
      <c r="O511" s="114" t="str">
        <f>X20</f>
        <v>g</v>
      </c>
      <c r="P511" s="114">
        <v>2</v>
      </c>
      <c r="Q511" s="114">
        <f>N511*P511</f>
        <v>1.28</v>
      </c>
      <c r="R511" s="114">
        <v>0</v>
      </c>
      <c r="S511" s="114">
        <f t="shared" ref="S511:S515" si="110">P511*R511</f>
        <v>0</v>
      </c>
      <c r="T511" s="114">
        <f t="shared" ref="T511:T515" si="111">P511-S511</f>
        <v>2</v>
      </c>
      <c r="U511" s="114">
        <f t="shared" ref="U511:U515" si="112">Q511+((S511*Q511)/P511)</f>
        <v>1.28</v>
      </c>
      <c r="W511" s="114" t="s">
        <v>442</v>
      </c>
      <c r="X511" s="114">
        <f>Y3</f>
        <v>30</v>
      </c>
      <c r="Y511" s="114" t="str">
        <f>X3</f>
        <v>g</v>
      </c>
      <c r="Z511" s="114">
        <v>15</v>
      </c>
      <c r="AA511" s="114">
        <f>X511*Z511</f>
        <v>450</v>
      </c>
      <c r="AB511" s="114">
        <v>0</v>
      </c>
      <c r="AC511" s="114">
        <f>Z511*AB511</f>
        <v>0</v>
      </c>
      <c r="AD511" s="114">
        <f>Z511-AC511</f>
        <v>15</v>
      </c>
      <c r="AE511" s="114">
        <f>AA511+((AC511*AA511)/Z511)</f>
        <v>450</v>
      </c>
    </row>
    <row r="512" spans="3:31" s="29" customFormat="1" x14ac:dyDescent="0.25">
      <c r="C512" s="1016" t="s">
        <v>0</v>
      </c>
      <c r="D512" s="1017"/>
      <c r="E512" s="1018"/>
      <c r="F512" s="1016" t="s">
        <v>1</v>
      </c>
      <c r="G512" s="1017"/>
      <c r="H512" s="1017"/>
      <c r="I512" s="1017"/>
      <c r="J512" s="1018"/>
      <c r="M512" s="114" t="s">
        <v>483</v>
      </c>
      <c r="N512" s="114">
        <f>AE518</f>
        <v>5620.16</v>
      </c>
      <c r="O512" s="114" t="s">
        <v>1388</v>
      </c>
      <c r="P512" s="114">
        <v>120</v>
      </c>
      <c r="Q512" s="114">
        <f>N512</f>
        <v>5620.16</v>
      </c>
      <c r="R512" s="114">
        <v>0</v>
      </c>
      <c r="S512" s="114">
        <f t="shared" si="110"/>
        <v>0</v>
      </c>
      <c r="T512" s="114">
        <f t="shared" si="111"/>
        <v>120</v>
      </c>
      <c r="U512" s="114">
        <f t="shared" si="112"/>
        <v>5620.16</v>
      </c>
      <c r="W512" s="114" t="s">
        <v>482</v>
      </c>
      <c r="X512" s="114">
        <f>P18</f>
        <v>5</v>
      </c>
      <c r="Y512" s="114" t="str">
        <f>O18</f>
        <v>g</v>
      </c>
      <c r="Z512" s="114">
        <v>10</v>
      </c>
      <c r="AA512" s="114">
        <f t="shared" ref="AA512:AA517" si="113">X512*Z512</f>
        <v>50</v>
      </c>
      <c r="AB512" s="114">
        <f>AJ11</f>
        <v>0.23</v>
      </c>
      <c r="AC512" s="114">
        <f t="shared" ref="AC512:AC517" si="114">Z512*AB512</f>
        <v>2.3000000000000003</v>
      </c>
      <c r="AD512" s="114">
        <f t="shared" ref="AD512:AD517" si="115">Z512-AC512</f>
        <v>7.6999999999999993</v>
      </c>
      <c r="AE512" s="114">
        <f t="shared" ref="AE512:AE517" si="116">AA512+((AC512*AA512)/Z512)</f>
        <v>61.5</v>
      </c>
    </row>
    <row r="513" spans="3:31" s="29" customFormat="1" x14ac:dyDescent="0.25">
      <c r="C513" s="1019" t="s">
        <v>3</v>
      </c>
      <c r="D513" s="1020"/>
      <c r="E513" s="1021"/>
      <c r="F513" s="1028" t="s">
        <v>99</v>
      </c>
      <c r="G513" s="1029"/>
      <c r="H513" s="1029"/>
      <c r="I513" s="1029"/>
      <c r="J513" s="1030"/>
      <c r="M513" s="114" t="s">
        <v>547</v>
      </c>
      <c r="N513" s="114">
        <f>V13</f>
        <v>81.900000000000006</v>
      </c>
      <c r="O513" s="114" t="str">
        <f>U13</f>
        <v>g</v>
      </c>
      <c r="P513" s="114">
        <v>30</v>
      </c>
      <c r="Q513" s="114">
        <f>N513*P513</f>
        <v>2457</v>
      </c>
      <c r="R513" s="114">
        <v>0</v>
      </c>
      <c r="S513" s="114">
        <f t="shared" si="110"/>
        <v>0</v>
      </c>
      <c r="T513" s="114">
        <f t="shared" si="111"/>
        <v>30</v>
      </c>
      <c r="U513" s="114">
        <f t="shared" si="112"/>
        <v>2457</v>
      </c>
      <c r="W513" s="114" t="s">
        <v>547</v>
      </c>
      <c r="X513" s="114">
        <f>V13</f>
        <v>81.900000000000006</v>
      </c>
      <c r="Y513" s="114" t="str">
        <f>U13</f>
        <v>g</v>
      </c>
      <c r="Z513" s="114">
        <v>15</v>
      </c>
      <c r="AA513" s="114">
        <f t="shared" si="113"/>
        <v>1228.5</v>
      </c>
      <c r="AB513" s="114">
        <v>0</v>
      </c>
      <c r="AC513" s="114">
        <f t="shared" si="114"/>
        <v>0</v>
      </c>
      <c r="AD513" s="114">
        <f t="shared" si="115"/>
        <v>15</v>
      </c>
      <c r="AE513" s="114">
        <f t="shared" si="116"/>
        <v>1228.5</v>
      </c>
    </row>
    <row r="514" spans="3:31" s="29" customFormat="1" x14ac:dyDescent="0.25">
      <c r="C514" s="1022"/>
      <c r="D514" s="1023"/>
      <c r="E514" s="1024"/>
      <c r="F514" s="1031"/>
      <c r="G514" s="1032"/>
      <c r="H514" s="1032"/>
      <c r="I514" s="1032"/>
      <c r="J514" s="1033"/>
      <c r="M514" s="114" t="s">
        <v>484</v>
      </c>
      <c r="N514" s="114">
        <f>S7</f>
        <v>54</v>
      </c>
      <c r="O514" s="114" t="str">
        <f>R7</f>
        <v>g</v>
      </c>
      <c r="P514" s="114">
        <v>70</v>
      </c>
      <c r="Q514" s="114">
        <f>N514*P514</f>
        <v>3780</v>
      </c>
      <c r="R514" s="114">
        <f>AN2</f>
        <v>0.33</v>
      </c>
      <c r="S514" s="114">
        <f t="shared" si="110"/>
        <v>23.1</v>
      </c>
      <c r="T514" s="114">
        <f t="shared" si="111"/>
        <v>46.9</v>
      </c>
      <c r="U514" s="114">
        <f t="shared" si="112"/>
        <v>5027.3999999999996</v>
      </c>
      <c r="W514" s="114" t="s">
        <v>340</v>
      </c>
      <c r="X514" s="114">
        <f>Y20</f>
        <v>0.64</v>
      </c>
      <c r="Y514" s="114" t="str">
        <f>X20</f>
        <v>g</v>
      </c>
      <c r="Z514" s="114">
        <v>1</v>
      </c>
      <c r="AA514" s="114">
        <f t="shared" si="113"/>
        <v>0.64</v>
      </c>
      <c r="AB514" s="114">
        <v>0</v>
      </c>
      <c r="AC514" s="114">
        <f t="shared" si="114"/>
        <v>0</v>
      </c>
      <c r="AD514" s="114">
        <f t="shared" si="115"/>
        <v>1</v>
      </c>
      <c r="AE514" s="114">
        <f t="shared" si="116"/>
        <v>0.64</v>
      </c>
    </row>
    <row r="515" spans="3:31" s="29" customFormat="1" x14ac:dyDescent="0.25">
      <c r="C515" s="1025"/>
      <c r="D515" s="1026"/>
      <c r="E515" s="1027"/>
      <c r="F515" s="1034"/>
      <c r="G515" s="1035"/>
      <c r="H515" s="1035"/>
      <c r="I515" s="1035"/>
      <c r="J515" s="1036"/>
      <c r="M515" s="114" t="s">
        <v>463</v>
      </c>
      <c r="N515" s="114">
        <f>Y13+Y19+Y21</f>
        <v>447.4</v>
      </c>
      <c r="O515" s="114" t="str">
        <f>X21</f>
        <v>g</v>
      </c>
      <c r="P515" s="114">
        <v>30</v>
      </c>
      <c r="Q515" s="114">
        <f>N515*P515</f>
        <v>13422</v>
      </c>
      <c r="R515" s="114">
        <v>0</v>
      </c>
      <c r="S515" s="114">
        <f t="shared" si="110"/>
        <v>0</v>
      </c>
      <c r="T515" s="114">
        <f t="shared" si="111"/>
        <v>30</v>
      </c>
      <c r="U515" s="114">
        <f t="shared" si="112"/>
        <v>13422</v>
      </c>
      <c r="W515" s="114" t="s">
        <v>346</v>
      </c>
      <c r="X515" s="114">
        <f>P3</f>
        <v>7</v>
      </c>
      <c r="Y515" s="114" t="str">
        <f>O3</f>
        <v>g</v>
      </c>
      <c r="Z515" s="114">
        <v>4</v>
      </c>
      <c r="AA515" s="114">
        <f t="shared" si="113"/>
        <v>28</v>
      </c>
      <c r="AB515" s="114">
        <f>AJ2</f>
        <v>0.23</v>
      </c>
      <c r="AC515" s="114">
        <f t="shared" si="114"/>
        <v>0.92</v>
      </c>
      <c r="AD515" s="114">
        <f t="shared" si="115"/>
        <v>3.08</v>
      </c>
      <c r="AE515" s="114">
        <f t="shared" si="116"/>
        <v>34.44</v>
      </c>
    </row>
    <row r="516" spans="3:31" s="29" customFormat="1" x14ac:dyDescent="0.25">
      <c r="C516" s="1019" t="s">
        <v>4</v>
      </c>
      <c r="D516" s="1020"/>
      <c r="E516" s="1021"/>
      <c r="F516" s="1028" t="s">
        <v>15</v>
      </c>
      <c r="G516" s="1029"/>
      <c r="H516" s="1029"/>
      <c r="I516" s="1029"/>
      <c r="J516" s="1030"/>
      <c r="M516" s="114"/>
      <c r="N516" s="114"/>
      <c r="O516" s="114"/>
      <c r="P516" s="114"/>
      <c r="Q516" s="114"/>
      <c r="R516" s="114"/>
      <c r="S516" s="114"/>
      <c r="T516" s="114"/>
      <c r="U516" s="114"/>
      <c r="W516" s="114" t="s">
        <v>433</v>
      </c>
      <c r="X516" s="114">
        <f>Y18</f>
        <v>223.57</v>
      </c>
      <c r="Y516" s="114" t="str">
        <f>X18</f>
        <v>g</v>
      </c>
      <c r="Z516" s="114">
        <v>4</v>
      </c>
      <c r="AA516" s="114">
        <f t="shared" si="113"/>
        <v>894.28</v>
      </c>
      <c r="AB516" s="114">
        <v>0</v>
      </c>
      <c r="AC516" s="114">
        <f t="shared" si="114"/>
        <v>0</v>
      </c>
      <c r="AD516" s="114">
        <f t="shared" si="115"/>
        <v>4</v>
      </c>
      <c r="AE516" s="114">
        <f t="shared" si="116"/>
        <v>894.28</v>
      </c>
    </row>
    <row r="517" spans="3:31" s="29" customFormat="1" x14ac:dyDescent="0.25">
      <c r="C517" s="1022"/>
      <c r="D517" s="1023"/>
      <c r="E517" s="1024"/>
      <c r="F517" s="1031"/>
      <c r="G517" s="1032"/>
      <c r="H517" s="1032"/>
      <c r="I517" s="1032"/>
      <c r="J517" s="1033"/>
      <c r="M517" s="114"/>
      <c r="N517" s="114"/>
      <c r="O517" s="114"/>
      <c r="P517" s="114"/>
      <c r="Q517" s="114"/>
      <c r="R517" s="114"/>
      <c r="S517" s="114"/>
      <c r="T517" s="114"/>
      <c r="U517" s="114"/>
      <c r="W517" s="114" t="s">
        <v>546</v>
      </c>
      <c r="X517" s="114">
        <f>AE3</f>
        <v>49.18</v>
      </c>
      <c r="Y517" s="114" t="str">
        <f>AD3</f>
        <v>mL</v>
      </c>
      <c r="Z517" s="114">
        <v>60</v>
      </c>
      <c r="AA517" s="114">
        <f t="shared" si="113"/>
        <v>2950.8</v>
      </c>
      <c r="AB517" s="114">
        <v>0</v>
      </c>
      <c r="AC517" s="114">
        <f t="shared" si="114"/>
        <v>0</v>
      </c>
      <c r="AD517" s="114">
        <f t="shared" si="115"/>
        <v>60</v>
      </c>
      <c r="AE517" s="114">
        <f t="shared" si="116"/>
        <v>2950.8</v>
      </c>
    </row>
    <row r="518" spans="3:31" s="29" customFormat="1" x14ac:dyDescent="0.25">
      <c r="C518" s="1025"/>
      <c r="D518" s="1026"/>
      <c r="E518" s="1027"/>
      <c r="F518" s="1034"/>
      <c r="G518" s="1035"/>
      <c r="H518" s="1035"/>
      <c r="I518" s="1035"/>
      <c r="J518" s="1036"/>
      <c r="M518" s="114" t="s">
        <v>337</v>
      </c>
      <c r="N518" s="114">
        <f>SUM(N510:N517)</f>
        <v>8303.1723984875516</v>
      </c>
      <c r="O518" s="114"/>
      <c r="P518" s="114">
        <f>SUM(P510:P517)</f>
        <v>352</v>
      </c>
      <c r="Q518" s="114">
        <f>SUM(Q510:Q517)</f>
        <v>27379.512398487554</v>
      </c>
      <c r="R518" s="114"/>
      <c r="S518" s="114"/>
      <c r="T518" s="114"/>
      <c r="U518" s="114">
        <f>SUM(U510:U517)</f>
        <v>28626.912398487551</v>
      </c>
      <c r="W518" s="114" t="s">
        <v>337</v>
      </c>
      <c r="X518" s="114">
        <f>SUM(X511:X517)</f>
        <v>397.29</v>
      </c>
      <c r="Y518" s="114"/>
      <c r="Z518" s="114">
        <f>SUM(Z511:Z517)</f>
        <v>109</v>
      </c>
      <c r="AA518" s="114">
        <f>SUM(AA511:AA517)</f>
        <v>5602.22</v>
      </c>
      <c r="AB518" s="114"/>
      <c r="AC518" s="114"/>
      <c r="AD518" s="114"/>
      <c r="AE518" s="114">
        <f>SUM(AE511:AE517)</f>
        <v>5620.16</v>
      </c>
    </row>
    <row r="519" spans="3:31" s="29" customFormat="1" x14ac:dyDescent="0.25">
      <c r="C519" s="1019" t="s">
        <v>5</v>
      </c>
      <c r="D519" s="1020"/>
      <c r="E519" s="1021"/>
      <c r="F519" s="1028" t="s">
        <v>583</v>
      </c>
      <c r="G519" s="1029"/>
      <c r="H519" s="1029"/>
      <c r="I519" s="1029"/>
      <c r="J519" s="1030"/>
      <c r="W519" s="29" t="s">
        <v>584</v>
      </c>
    </row>
    <row r="520" spans="3:31" s="29" customFormat="1" x14ac:dyDescent="0.25">
      <c r="C520" s="1022"/>
      <c r="D520" s="1023"/>
      <c r="E520" s="1024"/>
      <c r="F520" s="1031"/>
      <c r="G520" s="1032"/>
      <c r="H520" s="1032"/>
      <c r="I520" s="1032"/>
      <c r="J520" s="1033"/>
      <c r="Q520" s="114" t="s">
        <v>1681</v>
      </c>
      <c r="R520" s="114">
        <f>U518</f>
        <v>28626.912398487551</v>
      </c>
      <c r="S520" s="608" t="s">
        <v>2142</v>
      </c>
      <c r="T520" s="608">
        <f>(R520*100)/R527</f>
        <v>54.185334255882367</v>
      </c>
      <c r="AA520" s="114" t="s">
        <v>1681</v>
      </c>
      <c r="AB520" s="114">
        <f>AE518</f>
        <v>5620.16</v>
      </c>
      <c r="AC520" s="608" t="s">
        <v>2142</v>
      </c>
      <c r="AD520" s="608">
        <f>(AB520*100)/AB527</f>
        <v>42.441465841361861</v>
      </c>
    </row>
    <row r="521" spans="3:31" s="29" customFormat="1" x14ac:dyDescent="0.25">
      <c r="C521" s="1025"/>
      <c r="D521" s="1026"/>
      <c r="E521" s="1027"/>
      <c r="F521" s="1034"/>
      <c r="G521" s="1035"/>
      <c r="H521" s="1035"/>
      <c r="I521" s="1035"/>
      <c r="J521" s="1036"/>
      <c r="Q521" s="114" t="s">
        <v>2326</v>
      </c>
      <c r="R521" s="114">
        <f>$AL$26</f>
        <v>1801.715474357886</v>
      </c>
      <c r="AA521" s="114" t="s">
        <v>2326</v>
      </c>
      <c r="AB521" s="114">
        <f>$AO$26/2</f>
        <v>476.87414947063905</v>
      </c>
    </row>
    <row r="522" spans="3:31" s="29" customFormat="1" x14ac:dyDescent="0.25">
      <c r="C522" s="1019" t="s">
        <v>6</v>
      </c>
      <c r="D522" s="1020"/>
      <c r="E522" s="1021"/>
      <c r="F522" s="1028" t="s">
        <v>9</v>
      </c>
      <c r="G522" s="1029"/>
      <c r="H522" s="1029"/>
      <c r="I522" s="1029"/>
      <c r="J522" s="1030"/>
      <c r="Q522" s="114" t="s">
        <v>2325</v>
      </c>
      <c r="R522" s="114">
        <f>$AL$27</f>
        <v>75.599999999999994</v>
      </c>
      <c r="AA522" s="114" t="s">
        <v>2325</v>
      </c>
      <c r="AB522" s="114">
        <f>$AO$27/4</f>
        <v>18.899999999999999</v>
      </c>
    </row>
    <row r="523" spans="3:31" s="29" customFormat="1" x14ac:dyDescent="0.25">
      <c r="C523" s="1022"/>
      <c r="D523" s="1023"/>
      <c r="E523" s="1024"/>
      <c r="F523" s="1031"/>
      <c r="G523" s="1032"/>
      <c r="H523" s="1032"/>
      <c r="I523" s="1032"/>
      <c r="J523" s="1033"/>
      <c r="Q523" s="114" t="s">
        <v>1684</v>
      </c>
      <c r="R523" s="114">
        <f>$AL$29</f>
        <v>69.543532482306858</v>
      </c>
      <c r="AA523" s="114" t="s">
        <v>1684</v>
      </c>
      <c r="AB523" s="114">
        <f>$AO$29</f>
        <v>1547.3435977313275</v>
      </c>
    </row>
    <row r="524" spans="3:31" s="29" customFormat="1" x14ac:dyDescent="0.25">
      <c r="C524" s="1025"/>
      <c r="D524" s="1026"/>
      <c r="E524" s="1027"/>
      <c r="F524" s="1034"/>
      <c r="G524" s="1035"/>
      <c r="H524" s="1035"/>
      <c r="I524" s="1035"/>
      <c r="J524" s="1036"/>
      <c r="Q524" s="114" t="s">
        <v>1685</v>
      </c>
      <c r="R524" s="114">
        <v>0.6</v>
      </c>
      <c r="AA524" s="114" t="s">
        <v>1685</v>
      </c>
      <c r="AB524" s="114">
        <v>0.6</v>
      </c>
    </row>
    <row r="525" spans="3:31" s="29" customFormat="1" x14ac:dyDescent="0.25">
      <c r="C525" s="1019" t="s">
        <v>7</v>
      </c>
      <c r="D525" s="1020"/>
      <c r="E525" s="1021"/>
      <c r="F525" s="1028" t="s">
        <v>582</v>
      </c>
      <c r="G525" s="1029"/>
      <c r="H525" s="1029"/>
      <c r="I525" s="1029"/>
      <c r="J525" s="1030"/>
      <c r="Q525" s="114" t="s">
        <v>1708</v>
      </c>
      <c r="R525" s="114">
        <f>(SUM(R520:R523)*R524)+SUM(R520:R523)</f>
        <v>48918.034248524389</v>
      </c>
      <c r="AA525" s="114" t="s">
        <v>1708</v>
      </c>
      <c r="AB525" s="114">
        <f>(SUM(AB520:AB523)*AB524)+SUM(AB520:AB523)</f>
        <v>12261.244395523147</v>
      </c>
    </row>
    <row r="526" spans="3:31" s="29" customFormat="1" x14ac:dyDescent="0.25">
      <c r="C526" s="1022"/>
      <c r="D526" s="1023"/>
      <c r="E526" s="1024"/>
      <c r="F526" s="1031"/>
      <c r="G526" s="1032"/>
      <c r="H526" s="1032"/>
      <c r="I526" s="1032"/>
      <c r="J526" s="1033"/>
      <c r="Q526" s="114" t="s">
        <v>2130</v>
      </c>
      <c r="R526" s="114">
        <f>R525*0.08</f>
        <v>3913.4427398819512</v>
      </c>
      <c r="AA526" s="114" t="s">
        <v>2130</v>
      </c>
      <c r="AB526" s="114">
        <f>AB525*0.08</f>
        <v>980.89955164185176</v>
      </c>
    </row>
    <row r="527" spans="3:31" s="29" customFormat="1" x14ac:dyDescent="0.25">
      <c r="C527" s="1025"/>
      <c r="D527" s="1026"/>
      <c r="E527" s="1027"/>
      <c r="F527" s="1034"/>
      <c r="G527" s="1035"/>
      <c r="H527" s="1035"/>
      <c r="I527" s="1035"/>
      <c r="J527" s="1036"/>
      <c r="Q527" s="114" t="s">
        <v>1686</v>
      </c>
      <c r="R527" s="114">
        <f>SUM(R525+R526)</f>
        <v>52831.476988406343</v>
      </c>
      <c r="AA527" s="114" t="s">
        <v>1686</v>
      </c>
      <c r="AB527" s="114">
        <f>SUM(AB525+AB526)</f>
        <v>13242.143947164997</v>
      </c>
    </row>
    <row r="528" spans="3:31" s="29" customFormat="1" x14ac:dyDescent="0.25"/>
    <row r="529" spans="3:31" s="29" customFormat="1" x14ac:dyDescent="0.25"/>
    <row r="530" spans="3:31" s="29" customFormat="1" x14ac:dyDescent="0.25">
      <c r="C530" s="1037" t="s">
        <v>8</v>
      </c>
      <c r="D530" s="1038"/>
      <c r="E530" s="1038"/>
      <c r="F530" s="1038"/>
      <c r="G530" s="1038"/>
      <c r="H530" s="1038"/>
      <c r="I530" s="1038"/>
      <c r="J530" s="1039"/>
    </row>
    <row r="531" spans="3:31" s="29" customFormat="1" x14ac:dyDescent="0.25">
      <c r="C531" s="1016" t="s">
        <v>0</v>
      </c>
      <c r="D531" s="1017"/>
      <c r="E531" s="1018"/>
      <c r="F531" s="1016" t="s">
        <v>1</v>
      </c>
      <c r="G531" s="1017"/>
      <c r="H531" s="1017"/>
      <c r="I531" s="1017"/>
      <c r="J531" s="1018"/>
    </row>
    <row r="532" spans="3:31" s="29" customFormat="1" x14ac:dyDescent="0.25">
      <c r="C532" s="1019" t="s">
        <v>2</v>
      </c>
      <c r="D532" s="1020"/>
      <c r="E532" s="1021"/>
      <c r="F532" s="1028" t="s">
        <v>307</v>
      </c>
      <c r="G532" s="1029"/>
      <c r="H532" s="1029"/>
      <c r="I532" s="1029"/>
      <c r="J532" s="1030"/>
      <c r="M532" s="113" t="s">
        <v>336</v>
      </c>
      <c r="N532" s="113" t="s">
        <v>174</v>
      </c>
      <c r="O532" s="113" t="s">
        <v>248</v>
      </c>
      <c r="P532" s="113" t="s">
        <v>176</v>
      </c>
      <c r="Q532" s="113" t="s">
        <v>337</v>
      </c>
      <c r="R532" s="113" t="s">
        <v>1641</v>
      </c>
      <c r="S532" s="113" t="s">
        <v>1642</v>
      </c>
      <c r="T532" s="113" t="s">
        <v>1643</v>
      </c>
      <c r="U532" s="113" t="s">
        <v>1644</v>
      </c>
      <c r="W532" s="994" t="s">
        <v>1468</v>
      </c>
      <c r="X532" s="994"/>
      <c r="Y532" s="994"/>
      <c r="Z532" s="994"/>
      <c r="AA532" s="994"/>
      <c r="AB532" s="994"/>
      <c r="AC532" s="994"/>
      <c r="AD532" s="994"/>
      <c r="AE532" s="994"/>
    </row>
    <row r="533" spans="3:31" s="29" customFormat="1" x14ac:dyDescent="0.25">
      <c r="C533" s="1022"/>
      <c r="D533" s="1023"/>
      <c r="E533" s="1024"/>
      <c r="F533" s="1031"/>
      <c r="G533" s="1032"/>
      <c r="H533" s="1032"/>
      <c r="I533" s="1032"/>
      <c r="J533" s="1033"/>
      <c r="M533" s="114" t="s">
        <v>344</v>
      </c>
      <c r="N533" s="114">
        <f>E24</f>
        <v>2099.0723984875517</v>
      </c>
      <c r="O533" s="114" t="str">
        <f>D24</f>
        <v>g</v>
      </c>
      <c r="P533" s="114">
        <v>100</v>
      </c>
      <c r="Q533" s="114">
        <f>N533</f>
        <v>2099.0723984875517</v>
      </c>
      <c r="R533" s="114">
        <v>0</v>
      </c>
      <c r="S533" s="114">
        <f>P533*R533</f>
        <v>0</v>
      </c>
      <c r="T533" s="114">
        <f>P533-S533</f>
        <v>100</v>
      </c>
      <c r="U533" s="114">
        <f>Q533+((S533*Q533)/P533)</f>
        <v>2099.0723984875517</v>
      </c>
      <c r="W533" s="113" t="s">
        <v>336</v>
      </c>
      <c r="X533" s="113" t="s">
        <v>174</v>
      </c>
      <c r="Y533" s="113" t="s">
        <v>248</v>
      </c>
      <c r="Z533" s="113" t="s">
        <v>176</v>
      </c>
      <c r="AA533" s="113" t="s">
        <v>337</v>
      </c>
      <c r="AB533" s="113" t="s">
        <v>1641</v>
      </c>
      <c r="AC533" s="113" t="s">
        <v>1642</v>
      </c>
      <c r="AD533" s="113" t="s">
        <v>1643</v>
      </c>
      <c r="AE533" s="113" t="s">
        <v>1644</v>
      </c>
    </row>
    <row r="534" spans="3:31" s="29" customFormat="1" x14ac:dyDescent="0.25">
      <c r="C534" s="1025"/>
      <c r="D534" s="1026"/>
      <c r="E534" s="1027"/>
      <c r="F534" s="1034"/>
      <c r="G534" s="1035"/>
      <c r="H534" s="1035"/>
      <c r="I534" s="1035"/>
      <c r="J534" s="1036"/>
      <c r="M534" s="114" t="s">
        <v>340</v>
      </c>
      <c r="N534" s="114">
        <f>Y20</f>
        <v>0.64</v>
      </c>
      <c r="O534" s="114" t="str">
        <f>X20</f>
        <v>g</v>
      </c>
      <c r="P534" s="114">
        <v>2</v>
      </c>
      <c r="Q534" s="114">
        <f t="shared" ref="Q534:Q542" si="117">N534*P534</f>
        <v>1.28</v>
      </c>
      <c r="R534" s="114">
        <v>0</v>
      </c>
      <c r="S534" s="114">
        <f t="shared" ref="S534:S542" si="118">P534*R534</f>
        <v>0</v>
      </c>
      <c r="T534" s="114">
        <f t="shared" ref="T534:T542" si="119">P534-S534</f>
        <v>2</v>
      </c>
      <c r="U534" s="114">
        <f t="shared" ref="U534:U542" si="120">Q534+((S534*Q534)/P534)</f>
        <v>1.28</v>
      </c>
      <c r="W534" s="114" t="s">
        <v>433</v>
      </c>
      <c r="X534" s="114">
        <f>Y18</f>
        <v>223.57</v>
      </c>
      <c r="Y534" s="114" t="str">
        <f>X18</f>
        <v>g</v>
      </c>
      <c r="Z534" s="114">
        <v>10</v>
      </c>
      <c r="AA534" s="114">
        <f t="shared" ref="AA534:AA539" si="121">X534*Z534</f>
        <v>2235.6999999999998</v>
      </c>
      <c r="AB534" s="114">
        <v>0</v>
      </c>
      <c r="AC534" s="114">
        <f>Z534*AB534</f>
        <v>0</v>
      </c>
      <c r="AD534" s="114">
        <f>Z534-AC534</f>
        <v>10</v>
      </c>
      <c r="AE534" s="114">
        <f>AA534+((AC534*AA534)/Z534)</f>
        <v>2235.6999999999998</v>
      </c>
    </row>
    <row r="535" spans="3:31" s="29" customFormat="1" x14ac:dyDescent="0.25">
      <c r="C535" s="1016" t="s">
        <v>0</v>
      </c>
      <c r="D535" s="1017"/>
      <c r="E535" s="1018"/>
      <c r="F535" s="1016" t="s">
        <v>1</v>
      </c>
      <c r="G535" s="1017"/>
      <c r="H535" s="1017"/>
      <c r="I535" s="1017"/>
      <c r="J535" s="1018"/>
      <c r="M535" s="114" t="s">
        <v>346</v>
      </c>
      <c r="N535" s="114">
        <f>P3</f>
        <v>7</v>
      </c>
      <c r="O535" s="114" t="str">
        <f>O3</f>
        <v>g</v>
      </c>
      <c r="P535" s="114">
        <v>4</v>
      </c>
      <c r="Q535" s="114">
        <f t="shared" si="117"/>
        <v>28</v>
      </c>
      <c r="R535" s="114">
        <f>AJ2</f>
        <v>0.23</v>
      </c>
      <c r="S535" s="114">
        <f t="shared" si="118"/>
        <v>0.92</v>
      </c>
      <c r="T535" s="114">
        <f t="shared" si="119"/>
        <v>3.08</v>
      </c>
      <c r="U535" s="114">
        <f t="shared" si="120"/>
        <v>34.44</v>
      </c>
      <c r="W535" s="114" t="s">
        <v>546</v>
      </c>
      <c r="X535" s="114">
        <f>AE3</f>
        <v>49.18</v>
      </c>
      <c r="Y535" s="114" t="str">
        <f>AD3</f>
        <v>mL</v>
      </c>
      <c r="Z535" s="114">
        <v>20</v>
      </c>
      <c r="AA535" s="114">
        <f t="shared" si="121"/>
        <v>983.6</v>
      </c>
      <c r="AB535" s="114">
        <v>0</v>
      </c>
      <c r="AC535" s="114">
        <f t="shared" ref="AC535:AC539" si="122">Z535*AB535</f>
        <v>0</v>
      </c>
      <c r="AD535" s="114">
        <f t="shared" ref="AD535:AD539" si="123">Z535-AC535</f>
        <v>20</v>
      </c>
      <c r="AE535" s="114">
        <f t="shared" ref="AE535:AE539" si="124">AA535+((AC535*AA535)/Z535)</f>
        <v>983.6</v>
      </c>
    </row>
    <row r="536" spans="3:31" s="29" customFormat="1" x14ac:dyDescent="0.25">
      <c r="C536" s="1019" t="s">
        <v>3</v>
      </c>
      <c r="D536" s="1020"/>
      <c r="E536" s="1021"/>
      <c r="F536" s="1007" t="s">
        <v>103</v>
      </c>
      <c r="G536" s="1008"/>
      <c r="H536" s="1008"/>
      <c r="I536" s="1008"/>
      <c r="J536" s="1009"/>
      <c r="M536" s="114" t="s">
        <v>433</v>
      </c>
      <c r="N536" s="114">
        <f>Y18</f>
        <v>223.57</v>
      </c>
      <c r="O536" s="114" t="str">
        <f>X18</f>
        <v>g</v>
      </c>
      <c r="P536" s="114">
        <v>10</v>
      </c>
      <c r="Q536" s="114">
        <f t="shared" si="117"/>
        <v>2235.6999999999998</v>
      </c>
      <c r="R536" s="114">
        <v>0</v>
      </c>
      <c r="S536" s="114">
        <f t="shared" si="118"/>
        <v>0</v>
      </c>
      <c r="T536" s="114">
        <f t="shared" si="119"/>
        <v>10</v>
      </c>
      <c r="U536" s="114">
        <f t="shared" si="120"/>
        <v>2235.6999999999998</v>
      </c>
      <c r="W536" s="114" t="s">
        <v>431</v>
      </c>
      <c r="X536" s="114">
        <f>P19</f>
        <v>10.28</v>
      </c>
      <c r="Y536" s="114" t="str">
        <f>O19</f>
        <v>g</v>
      </c>
      <c r="Z536" s="114">
        <v>1</v>
      </c>
      <c r="AA536" s="114">
        <f t="shared" si="121"/>
        <v>10.28</v>
      </c>
      <c r="AB536" s="114">
        <f>AJ15</f>
        <v>0.26</v>
      </c>
      <c r="AC536" s="114">
        <f t="shared" si="122"/>
        <v>0.26</v>
      </c>
      <c r="AD536" s="114">
        <f t="shared" si="123"/>
        <v>0.74</v>
      </c>
      <c r="AE536" s="114">
        <f t="shared" si="124"/>
        <v>12.9528</v>
      </c>
    </row>
    <row r="537" spans="3:31" s="29" customFormat="1" x14ac:dyDescent="0.25">
      <c r="C537" s="1022"/>
      <c r="D537" s="1023"/>
      <c r="E537" s="1024"/>
      <c r="F537" s="1010"/>
      <c r="G537" s="1040"/>
      <c r="H537" s="1040"/>
      <c r="I537" s="1040"/>
      <c r="J537" s="1012"/>
      <c r="M537" s="114" t="s">
        <v>486</v>
      </c>
      <c r="N537" s="114">
        <f>AE540</f>
        <v>4118.9928</v>
      </c>
      <c r="O537" s="114" t="s">
        <v>1388</v>
      </c>
      <c r="P537" s="114">
        <v>120</v>
      </c>
      <c r="Q537" s="114">
        <f>N537</f>
        <v>4118.9928</v>
      </c>
      <c r="R537" s="114">
        <v>0</v>
      </c>
      <c r="S537" s="114">
        <f t="shared" si="118"/>
        <v>0</v>
      </c>
      <c r="T537" s="114">
        <f t="shared" si="119"/>
        <v>120</v>
      </c>
      <c r="U537" s="114">
        <f t="shared" si="120"/>
        <v>4118.9928</v>
      </c>
      <c r="W537" s="114" t="s">
        <v>585</v>
      </c>
      <c r="X537" s="114">
        <f>V15</f>
        <v>24.63</v>
      </c>
      <c r="Y537" s="114" t="str">
        <f>U15</f>
        <v>g</v>
      </c>
      <c r="Z537" s="114">
        <v>30</v>
      </c>
      <c r="AA537" s="114">
        <f t="shared" si="121"/>
        <v>738.9</v>
      </c>
      <c r="AB537" s="114">
        <v>0</v>
      </c>
      <c r="AC537" s="114">
        <f t="shared" si="122"/>
        <v>0</v>
      </c>
      <c r="AD537" s="114">
        <f t="shared" si="123"/>
        <v>30</v>
      </c>
      <c r="AE537" s="114">
        <f t="shared" si="124"/>
        <v>738.9</v>
      </c>
    </row>
    <row r="538" spans="3:31" s="29" customFormat="1" x14ac:dyDescent="0.25">
      <c r="C538" s="1025"/>
      <c r="D538" s="1026"/>
      <c r="E538" s="1027"/>
      <c r="F538" s="1013"/>
      <c r="G538" s="1014"/>
      <c r="H538" s="1014"/>
      <c r="I538" s="1014"/>
      <c r="J538" s="1015"/>
      <c r="M538" s="114" t="s">
        <v>445</v>
      </c>
      <c r="N538" s="114">
        <f>Y15</f>
        <v>159</v>
      </c>
      <c r="O538" s="114" t="str">
        <f>X15</f>
        <v>g</v>
      </c>
      <c r="P538" s="114">
        <v>15</v>
      </c>
      <c r="Q538" s="114">
        <f t="shared" si="117"/>
        <v>2385</v>
      </c>
      <c r="R538" s="114">
        <v>0</v>
      </c>
      <c r="S538" s="114">
        <f t="shared" si="118"/>
        <v>0</v>
      </c>
      <c r="T538" s="114">
        <f t="shared" si="119"/>
        <v>15</v>
      </c>
      <c r="U538" s="114">
        <f t="shared" si="120"/>
        <v>2385</v>
      </c>
      <c r="W538" s="114" t="s">
        <v>429</v>
      </c>
      <c r="X538" s="114">
        <f>P29</f>
        <v>1.8</v>
      </c>
      <c r="Y538" s="114" t="str">
        <f>O29</f>
        <v>g</v>
      </c>
      <c r="Z538" s="114">
        <v>60</v>
      </c>
      <c r="AA538" s="114">
        <f t="shared" si="121"/>
        <v>108</v>
      </c>
      <c r="AB538" s="114">
        <f>AJ18</f>
        <v>0.05</v>
      </c>
      <c r="AC538" s="114">
        <f t="shared" si="122"/>
        <v>3</v>
      </c>
      <c r="AD538" s="114">
        <f t="shared" si="123"/>
        <v>57</v>
      </c>
      <c r="AE538" s="114">
        <f t="shared" si="124"/>
        <v>113.4</v>
      </c>
    </row>
    <row r="539" spans="3:31" s="29" customFormat="1" x14ac:dyDescent="0.25">
      <c r="C539" s="1019" t="s">
        <v>4</v>
      </c>
      <c r="D539" s="1020"/>
      <c r="E539" s="1021"/>
      <c r="F539" s="1028" t="s">
        <v>15</v>
      </c>
      <c r="G539" s="1029"/>
      <c r="H539" s="1029"/>
      <c r="I539" s="1029"/>
      <c r="J539" s="1030"/>
      <c r="M539" s="114" t="s">
        <v>427</v>
      </c>
      <c r="N539" s="114">
        <f>S8</f>
        <v>59</v>
      </c>
      <c r="O539" s="114" t="str">
        <f>R8</f>
        <v>g</v>
      </c>
      <c r="P539" s="114">
        <v>60</v>
      </c>
      <c r="Q539" s="114">
        <f t="shared" si="117"/>
        <v>3540</v>
      </c>
      <c r="R539" s="114">
        <f>AN4</f>
        <v>0.41</v>
      </c>
      <c r="S539" s="114">
        <f t="shared" si="118"/>
        <v>24.599999999999998</v>
      </c>
      <c r="T539" s="114">
        <f t="shared" si="119"/>
        <v>35.400000000000006</v>
      </c>
      <c r="U539" s="114">
        <f t="shared" si="120"/>
        <v>4991.3999999999996</v>
      </c>
      <c r="W539" s="114" t="s">
        <v>346</v>
      </c>
      <c r="X539" s="114">
        <f>P3</f>
        <v>7</v>
      </c>
      <c r="Y539" s="114" t="str">
        <f>O3</f>
        <v>g</v>
      </c>
      <c r="Z539" s="114">
        <v>4</v>
      </c>
      <c r="AA539" s="114">
        <f t="shared" si="121"/>
        <v>28</v>
      </c>
      <c r="AB539" s="114">
        <f>AJ2</f>
        <v>0.23</v>
      </c>
      <c r="AC539" s="114">
        <f t="shared" si="122"/>
        <v>0.92</v>
      </c>
      <c r="AD539" s="114">
        <f t="shared" si="123"/>
        <v>3.08</v>
      </c>
      <c r="AE539" s="114">
        <f t="shared" si="124"/>
        <v>34.44</v>
      </c>
    </row>
    <row r="540" spans="3:31" s="29" customFormat="1" x14ac:dyDescent="0.25">
      <c r="C540" s="1022"/>
      <c r="D540" s="1023"/>
      <c r="E540" s="1024"/>
      <c r="F540" s="1031"/>
      <c r="G540" s="1032"/>
      <c r="H540" s="1032"/>
      <c r="I540" s="1032"/>
      <c r="J540" s="1033"/>
      <c r="M540" s="114" t="s">
        <v>487</v>
      </c>
      <c r="N540" s="114">
        <f>S16</f>
        <v>31.23</v>
      </c>
      <c r="O540" s="114" t="str">
        <f>R16</f>
        <v>g</v>
      </c>
      <c r="P540" s="114">
        <v>40</v>
      </c>
      <c r="Q540" s="114">
        <f t="shared" si="117"/>
        <v>1249.2</v>
      </c>
      <c r="R540" s="114">
        <v>0</v>
      </c>
      <c r="S540" s="114">
        <f t="shared" si="118"/>
        <v>0</v>
      </c>
      <c r="T540" s="114">
        <f t="shared" si="119"/>
        <v>40</v>
      </c>
      <c r="U540" s="114">
        <f t="shared" si="120"/>
        <v>1249.2</v>
      </c>
      <c r="W540" s="114" t="s">
        <v>337</v>
      </c>
      <c r="X540" s="114">
        <f>SUM(X534:X539)</f>
        <v>316.45999999999998</v>
      </c>
      <c r="Y540" s="114"/>
      <c r="Z540" s="114">
        <f>SUM(Z534:Z539)</f>
        <v>125</v>
      </c>
      <c r="AA540" s="114">
        <f>SUM(AA534:AA539)</f>
        <v>4104.4799999999996</v>
      </c>
      <c r="AB540" s="114"/>
      <c r="AC540" s="114"/>
      <c r="AD540" s="114"/>
      <c r="AE540" s="114">
        <f>SUM(AE534:AE539)</f>
        <v>4118.9928</v>
      </c>
    </row>
    <row r="541" spans="3:31" s="29" customFormat="1" x14ac:dyDescent="0.25">
      <c r="C541" s="1025"/>
      <c r="D541" s="1026"/>
      <c r="E541" s="1027"/>
      <c r="F541" s="1034"/>
      <c r="G541" s="1035"/>
      <c r="H541" s="1035"/>
      <c r="I541" s="1035"/>
      <c r="J541" s="1036"/>
      <c r="M541" s="114" t="s">
        <v>437</v>
      </c>
      <c r="N541" s="114">
        <f>V14</f>
        <v>318.95</v>
      </c>
      <c r="O541" s="114" t="str">
        <f>U14</f>
        <v>g</v>
      </c>
      <c r="P541" s="114">
        <v>10</v>
      </c>
      <c r="Q541" s="114">
        <f t="shared" si="117"/>
        <v>3189.5</v>
      </c>
      <c r="R541" s="114">
        <v>0</v>
      </c>
      <c r="S541" s="114">
        <f t="shared" si="118"/>
        <v>0</v>
      </c>
      <c r="T541" s="114">
        <f t="shared" si="119"/>
        <v>10</v>
      </c>
      <c r="U541" s="114">
        <f t="shared" si="120"/>
        <v>3189.5</v>
      </c>
    </row>
    <row r="542" spans="3:31" s="29" customFormat="1" x14ac:dyDescent="0.25">
      <c r="C542" s="1019" t="s">
        <v>5</v>
      </c>
      <c r="D542" s="1020"/>
      <c r="E542" s="1021"/>
      <c r="F542" s="1028" t="s">
        <v>104</v>
      </c>
      <c r="G542" s="1029"/>
      <c r="H542" s="1029"/>
      <c r="I542" s="1029"/>
      <c r="J542" s="1030"/>
      <c r="M542" s="114" t="s">
        <v>492</v>
      </c>
      <c r="N542" s="114">
        <f>AE13</f>
        <v>18.48</v>
      </c>
      <c r="O542" s="114" t="str">
        <f>AD13</f>
        <v>g</v>
      </c>
      <c r="P542" s="114">
        <v>15</v>
      </c>
      <c r="Q542" s="114">
        <f t="shared" si="117"/>
        <v>277.2</v>
      </c>
      <c r="R542" s="114">
        <v>0</v>
      </c>
      <c r="S542" s="114">
        <f t="shared" si="118"/>
        <v>0</v>
      </c>
      <c r="T542" s="114">
        <f t="shared" si="119"/>
        <v>15</v>
      </c>
      <c r="U542" s="114">
        <f t="shared" si="120"/>
        <v>277.2</v>
      </c>
      <c r="AA542" s="114" t="s">
        <v>1681</v>
      </c>
      <c r="AB542" s="114">
        <f>AE540</f>
        <v>4118.9928</v>
      </c>
      <c r="AC542" s="608" t="s">
        <v>2142</v>
      </c>
      <c r="AD542" s="608">
        <f>(AB542*100)/AB549</f>
        <v>38.682791725819435</v>
      </c>
    </row>
    <row r="543" spans="3:31" s="29" customFormat="1" x14ac:dyDescent="0.25">
      <c r="C543" s="1022"/>
      <c r="D543" s="1023"/>
      <c r="E543" s="1024"/>
      <c r="F543" s="1031"/>
      <c r="G543" s="1032"/>
      <c r="H543" s="1032"/>
      <c r="I543" s="1032"/>
      <c r="J543" s="1033"/>
      <c r="M543" s="114"/>
      <c r="N543" s="114"/>
      <c r="O543" s="114"/>
      <c r="P543" s="114"/>
      <c r="Q543" s="114"/>
      <c r="R543" s="114"/>
      <c r="S543" s="114"/>
      <c r="T543" s="114"/>
      <c r="U543" s="114"/>
      <c r="AA543" s="114" t="s">
        <v>2326</v>
      </c>
      <c r="AB543" s="114">
        <f>$AO$26/2</f>
        <v>476.87414947063905</v>
      </c>
    </row>
    <row r="544" spans="3:31" s="29" customFormat="1" x14ac:dyDescent="0.25">
      <c r="C544" s="1025"/>
      <c r="D544" s="1026"/>
      <c r="E544" s="1027"/>
      <c r="F544" s="1034"/>
      <c r="G544" s="1035"/>
      <c r="H544" s="1035"/>
      <c r="I544" s="1035"/>
      <c r="J544" s="1036"/>
      <c r="M544" s="114" t="s">
        <v>337</v>
      </c>
      <c r="N544" s="114">
        <f>SUM(N533:N543)</f>
        <v>7035.9351984875511</v>
      </c>
      <c r="O544" s="114"/>
      <c r="P544" s="114">
        <f>SUM(P533:P543)</f>
        <v>376</v>
      </c>
      <c r="Q544" s="114">
        <f>SUM(Q533:Q543)</f>
        <v>19123.945198487552</v>
      </c>
      <c r="R544" s="114"/>
      <c r="S544" s="114"/>
      <c r="T544" s="114"/>
      <c r="U544" s="114">
        <f>SUM(U533:U542)</f>
        <v>20581.785198487552</v>
      </c>
      <c r="AA544" s="114" t="s">
        <v>2325</v>
      </c>
      <c r="AB544" s="114">
        <f>$AO$27/4</f>
        <v>18.899999999999999</v>
      </c>
    </row>
    <row r="545" spans="3:28" s="29" customFormat="1" x14ac:dyDescent="0.25">
      <c r="C545" s="1019" t="s">
        <v>6</v>
      </c>
      <c r="D545" s="1020"/>
      <c r="E545" s="1021"/>
      <c r="F545" s="1028" t="s">
        <v>9</v>
      </c>
      <c r="G545" s="1029"/>
      <c r="H545" s="1029"/>
      <c r="I545" s="1029"/>
      <c r="J545" s="1030"/>
      <c r="AA545" s="114" t="s">
        <v>1684</v>
      </c>
      <c r="AB545" s="114">
        <f>$AO$29</f>
        <v>1547.3435977313275</v>
      </c>
    </row>
    <row r="546" spans="3:28" s="29" customFormat="1" x14ac:dyDescent="0.25">
      <c r="C546" s="1022"/>
      <c r="D546" s="1023"/>
      <c r="E546" s="1024"/>
      <c r="F546" s="1031"/>
      <c r="G546" s="1032"/>
      <c r="H546" s="1032"/>
      <c r="I546" s="1032"/>
      <c r="J546" s="1033"/>
      <c r="Q546" s="114" t="s">
        <v>1681</v>
      </c>
      <c r="R546" s="114">
        <f>U544</f>
        <v>20581.785198487552</v>
      </c>
      <c r="S546" s="608" t="s">
        <v>2142</v>
      </c>
      <c r="T546" s="608">
        <f>(R546*100)/R553</f>
        <v>52.86938359291976</v>
      </c>
      <c r="AA546" s="114" t="s">
        <v>1685</v>
      </c>
      <c r="AB546" s="114">
        <v>0.6</v>
      </c>
    </row>
    <row r="547" spans="3:28" s="29" customFormat="1" x14ac:dyDescent="0.25">
      <c r="C547" s="1025"/>
      <c r="D547" s="1026"/>
      <c r="E547" s="1027"/>
      <c r="F547" s="1034"/>
      <c r="G547" s="1035"/>
      <c r="H547" s="1035"/>
      <c r="I547" s="1035"/>
      <c r="J547" s="1036"/>
      <c r="Q547" s="114" t="s">
        <v>2326</v>
      </c>
      <c r="R547" s="114">
        <f>$AL$26</f>
        <v>1801.715474357886</v>
      </c>
      <c r="AA547" s="114" t="s">
        <v>1708</v>
      </c>
      <c r="AB547" s="114">
        <f>(SUM(AB542:AB545)*AB546)+SUM(AB542:AB545)</f>
        <v>9859.3768755231467</v>
      </c>
    </row>
    <row r="548" spans="3:28" s="29" customFormat="1" x14ac:dyDescent="0.25">
      <c r="C548" s="1019" t="s">
        <v>7</v>
      </c>
      <c r="D548" s="1020"/>
      <c r="E548" s="1021"/>
      <c r="F548" s="1028" t="s">
        <v>586</v>
      </c>
      <c r="G548" s="1029"/>
      <c r="H548" s="1029"/>
      <c r="I548" s="1029"/>
      <c r="J548" s="1030"/>
      <c r="Q548" s="114" t="s">
        <v>2325</v>
      </c>
      <c r="R548" s="114">
        <f>$AL$27</f>
        <v>75.599999999999994</v>
      </c>
      <c r="AA548" s="114" t="s">
        <v>2130</v>
      </c>
      <c r="AB548" s="114">
        <f>AB547*0.08</f>
        <v>788.75015004185173</v>
      </c>
    </row>
    <row r="549" spans="3:28" s="29" customFormat="1" x14ac:dyDescent="0.25">
      <c r="C549" s="1022"/>
      <c r="D549" s="1023"/>
      <c r="E549" s="1024"/>
      <c r="F549" s="1031"/>
      <c r="G549" s="1032"/>
      <c r="H549" s="1032"/>
      <c r="I549" s="1032"/>
      <c r="J549" s="1033"/>
      <c r="Q549" s="114" t="s">
        <v>1684</v>
      </c>
      <c r="R549" s="114">
        <f>$AL$29</f>
        <v>69.543532482306858</v>
      </c>
      <c r="AA549" s="114" t="s">
        <v>1686</v>
      </c>
      <c r="AB549" s="114">
        <f>SUM(AB547+AB548)</f>
        <v>10648.127025564998</v>
      </c>
    </row>
    <row r="550" spans="3:28" s="29" customFormat="1" x14ac:dyDescent="0.25">
      <c r="C550" s="1025"/>
      <c r="D550" s="1026"/>
      <c r="E550" s="1027"/>
      <c r="F550" s="1034"/>
      <c r="G550" s="1035"/>
      <c r="H550" s="1035"/>
      <c r="I550" s="1035"/>
      <c r="J550" s="1036"/>
      <c r="Q550" s="114" t="s">
        <v>1685</v>
      </c>
      <c r="R550" s="114">
        <v>0.6</v>
      </c>
    </row>
    <row r="551" spans="3:28" s="29" customFormat="1" x14ac:dyDescent="0.25">
      <c r="Q551" s="114" t="s">
        <v>1708</v>
      </c>
      <c r="R551" s="114">
        <f>(SUM(R546:R549)*R550)+SUM(R546:R549)</f>
        <v>36045.830728524394</v>
      </c>
    </row>
    <row r="552" spans="3:28" s="29" customFormat="1" x14ac:dyDescent="0.25">
      <c r="Q552" s="114" t="s">
        <v>2130</v>
      </c>
      <c r="R552" s="114">
        <f>R551*0.08</f>
        <v>2883.6664582819517</v>
      </c>
    </row>
    <row r="553" spans="3:28" s="29" customFormat="1" x14ac:dyDescent="0.25">
      <c r="Q553" s="114" t="s">
        <v>1686</v>
      </c>
      <c r="R553" s="114">
        <f>SUM(R551+R552)</f>
        <v>38929.497186806344</v>
      </c>
    </row>
    <row r="554" spans="3:28" s="29" customFormat="1" x14ac:dyDescent="0.25">
      <c r="S554" s="30"/>
      <c r="T554" s="30"/>
      <c r="U554" s="30"/>
      <c r="V554" s="30"/>
      <c r="W554" s="30"/>
      <c r="X554" s="30"/>
      <c r="Y554" s="30"/>
    </row>
    <row r="555" spans="3:28" s="29" customFormat="1" x14ac:dyDescent="0.25">
      <c r="C555" s="993" t="s">
        <v>8</v>
      </c>
      <c r="D555" s="993"/>
      <c r="E555" s="993"/>
      <c r="F555" s="993"/>
      <c r="G555" s="993"/>
      <c r="H555" s="993"/>
      <c r="I555" s="993"/>
      <c r="J555" s="993"/>
      <c r="S555" s="30"/>
      <c r="T555" s="30"/>
      <c r="U555" s="30"/>
      <c r="V555" s="30"/>
      <c r="W555" s="30"/>
      <c r="X555" s="30"/>
      <c r="Y555" s="30"/>
    </row>
    <row r="556" spans="3:28" s="29" customFormat="1" x14ac:dyDescent="0.25">
      <c r="C556" s="989" t="s">
        <v>0</v>
      </c>
      <c r="D556" s="989"/>
      <c r="E556" s="989"/>
      <c r="F556" s="989" t="s">
        <v>1</v>
      </c>
      <c r="G556" s="989"/>
      <c r="H556" s="989"/>
      <c r="I556" s="989"/>
      <c r="J556" s="989"/>
      <c r="S556" s="30"/>
      <c r="T556" s="30"/>
      <c r="U556" s="30"/>
      <c r="V556" s="30"/>
      <c r="W556" s="30"/>
      <c r="X556" s="30"/>
      <c r="Y556" s="30"/>
    </row>
    <row r="557" spans="3:28" s="29" customFormat="1" x14ac:dyDescent="0.25">
      <c r="C557" s="990" t="s">
        <v>2</v>
      </c>
      <c r="D557" s="990"/>
      <c r="E557" s="990"/>
      <c r="F557" s="991" t="s">
        <v>171</v>
      </c>
      <c r="G557" s="991"/>
      <c r="H557" s="991"/>
      <c r="I557" s="991"/>
      <c r="J557" s="991"/>
      <c r="M557" s="113" t="s">
        <v>336</v>
      </c>
      <c r="N557" s="113" t="s">
        <v>174</v>
      </c>
      <c r="O557" s="113" t="s">
        <v>248</v>
      </c>
      <c r="P557" s="113" t="s">
        <v>176</v>
      </c>
      <c r="Q557" s="113" t="s">
        <v>337</v>
      </c>
      <c r="R557" s="113" t="s">
        <v>1641</v>
      </c>
      <c r="S557" s="113" t="s">
        <v>1642</v>
      </c>
      <c r="T557" s="113" t="s">
        <v>1643</v>
      </c>
      <c r="U557" s="113" t="s">
        <v>1644</v>
      </c>
      <c r="V557" s="103"/>
      <c r="W557" s="103"/>
      <c r="X557" s="103"/>
      <c r="Y557" s="30"/>
    </row>
    <row r="558" spans="3:28" s="29" customFormat="1" x14ac:dyDescent="0.25">
      <c r="C558" s="990"/>
      <c r="D558" s="990"/>
      <c r="E558" s="990"/>
      <c r="F558" s="991"/>
      <c r="G558" s="991"/>
      <c r="H558" s="991"/>
      <c r="I558" s="991"/>
      <c r="J558" s="991"/>
      <c r="M558" s="114" t="s">
        <v>344</v>
      </c>
      <c r="N558" s="114">
        <f>E23</f>
        <v>2099.0723984875517</v>
      </c>
      <c r="O558" s="114" t="str">
        <f>D23</f>
        <v>g</v>
      </c>
      <c r="P558" s="114">
        <v>100</v>
      </c>
      <c r="Q558" s="114">
        <f>N558</f>
        <v>2099.0723984875517</v>
      </c>
      <c r="R558" s="114">
        <v>0</v>
      </c>
      <c r="S558" s="114">
        <f>P558*R558</f>
        <v>0</v>
      </c>
      <c r="T558" s="114">
        <f>P558-S558</f>
        <v>100</v>
      </c>
      <c r="U558" s="114">
        <f>Q558+((S558*Q558)/P558)</f>
        <v>2099.0723984875517</v>
      </c>
      <c r="V558" s="104"/>
      <c r="W558" s="104"/>
      <c r="X558" s="104"/>
      <c r="Y558" s="30"/>
    </row>
    <row r="559" spans="3:28" s="29" customFormat="1" x14ac:dyDescent="0.25">
      <c r="C559" s="990"/>
      <c r="D559" s="990"/>
      <c r="E559" s="990"/>
      <c r="F559" s="991"/>
      <c r="G559" s="991"/>
      <c r="H559" s="991"/>
      <c r="I559" s="991"/>
      <c r="J559" s="991"/>
      <c r="M559" s="114" t="s">
        <v>340</v>
      </c>
      <c r="N559" s="114">
        <f>Y20</f>
        <v>0.64</v>
      </c>
      <c r="O559" s="114" t="str">
        <f>X20</f>
        <v>g</v>
      </c>
      <c r="P559" s="114">
        <v>2</v>
      </c>
      <c r="Q559" s="114">
        <f t="shared" ref="Q559:Q566" si="125">N559*P559</f>
        <v>1.28</v>
      </c>
      <c r="R559" s="114">
        <v>0</v>
      </c>
      <c r="S559" s="114">
        <f t="shared" ref="S559:S566" si="126">P559*R559</f>
        <v>0</v>
      </c>
      <c r="T559" s="114">
        <f t="shared" ref="T559:T566" si="127">P559-S559</f>
        <v>2</v>
      </c>
      <c r="U559" s="114">
        <f t="shared" ref="U559:U566" si="128">Q559+((S559*Q559)/P559)</f>
        <v>1.28</v>
      </c>
      <c r="V559" s="30"/>
      <c r="W559" s="30"/>
      <c r="X559" s="30"/>
      <c r="Y559" s="30"/>
    </row>
    <row r="560" spans="3:28" s="29" customFormat="1" x14ac:dyDescent="0.25">
      <c r="C560" s="989" t="s">
        <v>0</v>
      </c>
      <c r="D560" s="989"/>
      <c r="E560" s="989"/>
      <c r="F560" s="989" t="s">
        <v>1</v>
      </c>
      <c r="G560" s="989"/>
      <c r="H560" s="989"/>
      <c r="I560" s="989"/>
      <c r="J560" s="989"/>
      <c r="M560" s="114" t="s">
        <v>346</v>
      </c>
      <c r="N560" s="114">
        <f>P3</f>
        <v>7</v>
      </c>
      <c r="O560" s="114" t="str">
        <f>O3</f>
        <v>g</v>
      </c>
      <c r="P560" s="114">
        <v>4</v>
      </c>
      <c r="Q560" s="114">
        <f t="shared" si="125"/>
        <v>28</v>
      </c>
      <c r="R560" s="114">
        <f>AJ2</f>
        <v>0.23</v>
      </c>
      <c r="S560" s="114">
        <f t="shared" si="126"/>
        <v>0.92</v>
      </c>
      <c r="T560" s="114">
        <f t="shared" si="127"/>
        <v>3.08</v>
      </c>
      <c r="U560" s="114">
        <f t="shared" si="128"/>
        <v>34.44</v>
      </c>
      <c r="V560" s="30"/>
      <c r="W560" s="30"/>
      <c r="X560" s="30"/>
      <c r="Y560" s="30"/>
    </row>
    <row r="561" spans="3:25" s="29" customFormat="1" x14ac:dyDescent="0.25">
      <c r="C561" s="990" t="s">
        <v>3</v>
      </c>
      <c r="D561" s="990"/>
      <c r="E561" s="990"/>
      <c r="F561" s="992" t="s">
        <v>172</v>
      </c>
      <c r="G561" s="991"/>
      <c r="H561" s="991"/>
      <c r="I561" s="991"/>
      <c r="J561" s="991"/>
      <c r="M561" s="114" t="s">
        <v>347</v>
      </c>
      <c r="N561" s="114">
        <f>V6</f>
        <v>28.76</v>
      </c>
      <c r="O561" s="114" t="str">
        <f>U6</f>
        <v>g</v>
      </c>
      <c r="P561" s="114">
        <v>15</v>
      </c>
      <c r="Q561" s="114">
        <f t="shared" si="125"/>
        <v>431.40000000000003</v>
      </c>
      <c r="R561" s="114">
        <v>0</v>
      </c>
      <c r="S561" s="114">
        <f t="shared" si="126"/>
        <v>0</v>
      </c>
      <c r="T561" s="114">
        <f t="shared" si="127"/>
        <v>15</v>
      </c>
      <c r="U561" s="114">
        <f t="shared" si="128"/>
        <v>431.40000000000003</v>
      </c>
      <c r="V561" s="30"/>
      <c r="W561" s="30"/>
      <c r="X561" s="30"/>
      <c r="Y561" s="30"/>
    </row>
    <row r="562" spans="3:25" s="29" customFormat="1" x14ac:dyDescent="0.25">
      <c r="C562" s="990"/>
      <c r="D562" s="990"/>
      <c r="E562" s="990"/>
      <c r="F562" s="991"/>
      <c r="G562" s="991"/>
      <c r="H562" s="991"/>
      <c r="I562" s="991"/>
      <c r="J562" s="991"/>
      <c r="M562" s="114" t="s">
        <v>429</v>
      </c>
      <c r="N562" s="114">
        <f>P29</f>
        <v>1.8</v>
      </c>
      <c r="O562" s="114" t="str">
        <f>O29</f>
        <v>g</v>
      </c>
      <c r="P562" s="114">
        <v>60</v>
      </c>
      <c r="Q562" s="114">
        <f t="shared" si="125"/>
        <v>108</v>
      </c>
      <c r="R562" s="114">
        <f>AJ18</f>
        <v>0.05</v>
      </c>
      <c r="S562" s="114">
        <f t="shared" si="126"/>
        <v>3</v>
      </c>
      <c r="T562" s="114">
        <f t="shared" si="127"/>
        <v>57</v>
      </c>
      <c r="U562" s="114">
        <f t="shared" si="128"/>
        <v>113.4</v>
      </c>
      <c r="V562" s="30"/>
      <c r="W562" s="30"/>
      <c r="X562" s="30"/>
      <c r="Y562" s="30"/>
    </row>
    <row r="563" spans="3:25" s="29" customFormat="1" x14ac:dyDescent="0.25">
      <c r="C563" s="990"/>
      <c r="D563" s="990"/>
      <c r="E563" s="990"/>
      <c r="F563" s="991"/>
      <c r="G563" s="991"/>
      <c r="H563" s="991"/>
      <c r="I563" s="991"/>
      <c r="J563" s="991"/>
      <c r="M563" s="114" t="s">
        <v>442</v>
      </c>
      <c r="N563" s="114">
        <f>Y3</f>
        <v>30</v>
      </c>
      <c r="O563" s="114" t="str">
        <f>X3</f>
        <v>g</v>
      </c>
      <c r="P563" s="114">
        <v>10</v>
      </c>
      <c r="Q563" s="114">
        <f t="shared" si="125"/>
        <v>300</v>
      </c>
      <c r="R563" s="114">
        <v>0</v>
      </c>
      <c r="S563" s="114">
        <f t="shared" si="126"/>
        <v>0</v>
      </c>
      <c r="T563" s="114">
        <f t="shared" si="127"/>
        <v>10</v>
      </c>
      <c r="U563" s="114">
        <f t="shared" si="128"/>
        <v>300</v>
      </c>
      <c r="V563" s="30"/>
      <c r="W563" s="30"/>
      <c r="X563" s="30"/>
      <c r="Y563" s="30"/>
    </row>
    <row r="564" spans="3:25" s="29" customFormat="1" x14ac:dyDescent="0.25">
      <c r="C564" s="990" t="s">
        <v>4</v>
      </c>
      <c r="D564" s="990"/>
      <c r="E564" s="990"/>
      <c r="F564" s="991" t="s">
        <v>15</v>
      </c>
      <c r="G564" s="991"/>
      <c r="H564" s="991"/>
      <c r="I564" s="991"/>
      <c r="J564" s="991"/>
      <c r="M564" s="114" t="s">
        <v>433</v>
      </c>
      <c r="N564" s="114">
        <f>Y18</f>
        <v>223.57</v>
      </c>
      <c r="O564" s="114" t="str">
        <f>X18</f>
        <v>g</v>
      </c>
      <c r="P564" s="114">
        <v>5</v>
      </c>
      <c r="Q564" s="114">
        <f t="shared" si="125"/>
        <v>1117.8499999999999</v>
      </c>
      <c r="R564" s="114">
        <v>0</v>
      </c>
      <c r="S564" s="114">
        <f t="shared" si="126"/>
        <v>0</v>
      </c>
      <c r="T564" s="114">
        <f t="shared" si="127"/>
        <v>5</v>
      </c>
      <c r="U564" s="114">
        <f t="shared" si="128"/>
        <v>1117.8499999999999</v>
      </c>
      <c r="V564" s="30"/>
      <c r="W564" s="30"/>
      <c r="X564" s="30"/>
      <c r="Y564" s="30"/>
    </row>
    <row r="565" spans="3:25" s="29" customFormat="1" x14ac:dyDescent="0.25">
      <c r="C565" s="990"/>
      <c r="D565" s="990"/>
      <c r="E565" s="990"/>
      <c r="F565" s="991"/>
      <c r="G565" s="991"/>
      <c r="H565" s="991"/>
      <c r="I565" s="991"/>
      <c r="J565" s="991"/>
      <c r="M565" s="114" t="s">
        <v>546</v>
      </c>
      <c r="N565" s="114">
        <f>AE3</f>
        <v>49.18</v>
      </c>
      <c r="O565" s="114" t="str">
        <f>AD3</f>
        <v>mL</v>
      </c>
      <c r="P565" s="114">
        <v>20</v>
      </c>
      <c r="Q565" s="114">
        <f t="shared" si="125"/>
        <v>983.6</v>
      </c>
      <c r="R565" s="114">
        <v>0</v>
      </c>
      <c r="S565" s="114">
        <f t="shared" si="126"/>
        <v>0</v>
      </c>
      <c r="T565" s="114">
        <f t="shared" si="127"/>
        <v>20</v>
      </c>
      <c r="U565" s="114">
        <f t="shared" si="128"/>
        <v>983.6</v>
      </c>
      <c r="V565" s="30"/>
      <c r="W565" s="30"/>
      <c r="X565" s="30"/>
      <c r="Y565" s="30"/>
    </row>
    <row r="566" spans="3:25" s="29" customFormat="1" x14ac:dyDescent="0.25">
      <c r="C566" s="990"/>
      <c r="D566" s="990"/>
      <c r="E566" s="990"/>
      <c r="F566" s="991"/>
      <c r="G566" s="991"/>
      <c r="H566" s="991"/>
      <c r="I566" s="991"/>
      <c r="J566" s="991"/>
      <c r="M566" s="114" t="s">
        <v>488</v>
      </c>
      <c r="N566" s="114">
        <f>S17</f>
        <v>153.78</v>
      </c>
      <c r="O566" s="114" t="str">
        <f>R17</f>
        <v>g</v>
      </c>
      <c r="P566" s="114">
        <v>80</v>
      </c>
      <c r="Q566" s="114">
        <f t="shared" si="125"/>
        <v>12302.4</v>
      </c>
      <c r="R566" s="114">
        <f>AN8</f>
        <v>0.35</v>
      </c>
      <c r="S566" s="114">
        <f t="shared" si="126"/>
        <v>28</v>
      </c>
      <c r="T566" s="114">
        <f t="shared" si="127"/>
        <v>52</v>
      </c>
      <c r="U566" s="114">
        <f t="shared" si="128"/>
        <v>16608.239999999998</v>
      </c>
      <c r="V566" s="30"/>
      <c r="W566" s="30"/>
      <c r="X566" s="30"/>
      <c r="Y566" s="30"/>
    </row>
    <row r="567" spans="3:25" s="29" customFormat="1" x14ac:dyDescent="0.25">
      <c r="C567" s="990" t="s">
        <v>5</v>
      </c>
      <c r="D567" s="990"/>
      <c r="E567" s="990"/>
      <c r="F567" s="992" t="s">
        <v>173</v>
      </c>
      <c r="G567" s="991"/>
      <c r="H567" s="991"/>
      <c r="I567" s="991"/>
      <c r="J567" s="991"/>
      <c r="M567" s="114"/>
      <c r="N567" s="114"/>
      <c r="O567" s="114"/>
      <c r="P567" s="114"/>
      <c r="Q567" s="114"/>
      <c r="R567" s="114"/>
      <c r="S567" s="114"/>
      <c r="T567" s="114"/>
      <c r="U567" s="114"/>
      <c r="V567" s="30"/>
      <c r="W567" s="30"/>
      <c r="X567" s="30"/>
      <c r="Y567" s="30"/>
    </row>
    <row r="568" spans="3:25" s="29" customFormat="1" x14ac:dyDescent="0.25">
      <c r="C568" s="990"/>
      <c r="D568" s="990"/>
      <c r="E568" s="990"/>
      <c r="F568" s="991"/>
      <c r="G568" s="991"/>
      <c r="H568" s="991"/>
      <c r="I568" s="991"/>
      <c r="J568" s="991"/>
      <c r="M568" s="114" t="s">
        <v>337</v>
      </c>
      <c r="N568" s="114">
        <f>SUM(N558:N567)</f>
        <v>2593.8023984875522</v>
      </c>
      <c r="O568" s="114"/>
      <c r="P568" s="114">
        <f>SUM(P558:P567)</f>
        <v>296</v>
      </c>
      <c r="Q568" s="114">
        <f>SUM(Q558:Q567)</f>
        <v>17371.60239848755</v>
      </c>
      <c r="R568" s="114"/>
      <c r="S568" s="114"/>
      <c r="T568" s="114"/>
      <c r="U568" s="114">
        <f>SUM(U558:U567)</f>
        <v>21689.28239848755</v>
      </c>
    </row>
    <row r="569" spans="3:25" s="29" customFormat="1" x14ac:dyDescent="0.25">
      <c r="C569" s="990"/>
      <c r="D569" s="990"/>
      <c r="E569" s="990"/>
      <c r="F569" s="991"/>
      <c r="G569" s="991"/>
      <c r="H569" s="991"/>
      <c r="I569" s="991"/>
      <c r="J569" s="991"/>
    </row>
    <row r="570" spans="3:25" s="29" customFormat="1" x14ac:dyDescent="0.25">
      <c r="C570" s="990" t="s">
        <v>6</v>
      </c>
      <c r="D570" s="990"/>
      <c r="E570" s="990"/>
      <c r="F570" s="991" t="s">
        <v>9</v>
      </c>
      <c r="G570" s="991"/>
      <c r="H570" s="991"/>
      <c r="I570" s="991"/>
      <c r="J570" s="991"/>
      <c r="Q570" s="114" t="s">
        <v>1681</v>
      </c>
      <c r="R570" s="114">
        <f>U568</f>
        <v>21689.28239848755</v>
      </c>
      <c r="S570" s="608" t="s">
        <v>2142</v>
      </c>
      <c r="T570" s="608">
        <f>(R570*100)/R577</f>
        <v>53.103710286024366</v>
      </c>
    </row>
    <row r="571" spans="3:25" s="29" customFormat="1" x14ac:dyDescent="0.25">
      <c r="C571" s="990"/>
      <c r="D571" s="990"/>
      <c r="E571" s="990"/>
      <c r="F571" s="991"/>
      <c r="G571" s="991"/>
      <c r="H571" s="991"/>
      <c r="I571" s="991"/>
      <c r="J571" s="991"/>
      <c r="Q571" s="114" t="s">
        <v>2326</v>
      </c>
      <c r="R571" s="114">
        <f>$AL$26</f>
        <v>1801.715474357886</v>
      </c>
    </row>
    <row r="572" spans="3:25" s="29" customFormat="1" x14ac:dyDescent="0.25">
      <c r="C572" s="990"/>
      <c r="D572" s="990"/>
      <c r="E572" s="990"/>
      <c r="F572" s="991"/>
      <c r="G572" s="991"/>
      <c r="H572" s="991"/>
      <c r="I572" s="991"/>
      <c r="J572" s="991"/>
      <c r="Q572" s="114" t="s">
        <v>2325</v>
      </c>
      <c r="R572" s="114">
        <f>$AL$27</f>
        <v>75.599999999999994</v>
      </c>
    </row>
    <row r="573" spans="3:25" s="29" customFormat="1" x14ac:dyDescent="0.25">
      <c r="C573" s="990" t="s">
        <v>7</v>
      </c>
      <c r="D573" s="990"/>
      <c r="E573" s="990"/>
      <c r="F573" s="992" t="s">
        <v>310</v>
      </c>
      <c r="G573" s="991"/>
      <c r="H573" s="991"/>
      <c r="I573" s="991"/>
      <c r="J573" s="991"/>
      <c r="Q573" s="114" t="s">
        <v>1684</v>
      </c>
      <c r="R573" s="114">
        <f>$AL$29</f>
        <v>69.543532482306858</v>
      </c>
    </row>
    <row r="574" spans="3:25" s="29" customFormat="1" x14ac:dyDescent="0.25">
      <c r="C574" s="990"/>
      <c r="D574" s="990"/>
      <c r="E574" s="990"/>
      <c r="F574" s="991"/>
      <c r="G574" s="991"/>
      <c r="H574" s="991"/>
      <c r="I574" s="991"/>
      <c r="J574" s="991"/>
      <c r="Q574" s="114" t="s">
        <v>1685</v>
      </c>
      <c r="R574" s="114">
        <v>0.6</v>
      </c>
    </row>
    <row r="575" spans="3:25" s="29" customFormat="1" x14ac:dyDescent="0.25">
      <c r="C575" s="990"/>
      <c r="D575" s="990"/>
      <c r="E575" s="990"/>
      <c r="F575" s="991"/>
      <c r="G575" s="991"/>
      <c r="H575" s="991"/>
      <c r="I575" s="991"/>
      <c r="J575" s="991"/>
      <c r="Q575" s="114" t="s">
        <v>1708</v>
      </c>
      <c r="R575" s="114">
        <f>(SUM(R570:R573)*R574)+SUM(R570:R573)</f>
        <v>37817.82624852439</v>
      </c>
    </row>
    <row r="576" spans="3:25" s="29" customFormat="1" x14ac:dyDescent="0.25">
      <c r="Q576" s="114" t="s">
        <v>2130</v>
      </c>
      <c r="R576" s="114">
        <f>R575*0.08</f>
        <v>3025.4260998819514</v>
      </c>
    </row>
    <row r="577" spans="3:24" s="29" customFormat="1" x14ac:dyDescent="0.25">
      <c r="Q577" s="114" t="s">
        <v>1686</v>
      </c>
      <c r="R577" s="114">
        <f>SUM(R575+R576)</f>
        <v>40843.252348406342</v>
      </c>
    </row>
    <row r="578" spans="3:24" s="29" customFormat="1" x14ac:dyDescent="0.25"/>
    <row r="579" spans="3:24" s="29" customFormat="1" x14ac:dyDescent="0.25"/>
    <row r="580" spans="3:24" s="29" customFormat="1" x14ac:dyDescent="0.25"/>
    <row r="581" spans="3:24" s="29" customFormat="1" x14ac:dyDescent="0.25">
      <c r="C581" s="993" t="s">
        <v>8</v>
      </c>
      <c r="D581" s="993"/>
      <c r="E581" s="993"/>
      <c r="F581" s="993"/>
      <c r="G581" s="993"/>
      <c r="H581" s="993"/>
      <c r="I581" s="993"/>
      <c r="J581" s="993"/>
    </row>
    <row r="582" spans="3:24" s="29" customFormat="1" x14ac:dyDescent="0.25">
      <c r="C582" s="989" t="s">
        <v>0</v>
      </c>
      <c r="D582" s="989"/>
      <c r="E582" s="989"/>
      <c r="F582" s="989" t="s">
        <v>1</v>
      </c>
      <c r="G582" s="989"/>
      <c r="H582" s="989"/>
      <c r="I582" s="989"/>
      <c r="J582" s="989"/>
    </row>
    <row r="583" spans="3:24" s="29" customFormat="1" x14ac:dyDescent="0.25">
      <c r="C583" s="990" t="s">
        <v>2</v>
      </c>
      <c r="D583" s="990"/>
      <c r="E583" s="990"/>
      <c r="F583" s="991" t="s">
        <v>59</v>
      </c>
      <c r="G583" s="991"/>
      <c r="H583" s="991"/>
      <c r="I583" s="991"/>
      <c r="J583" s="991"/>
      <c r="M583" s="113" t="s">
        <v>336</v>
      </c>
      <c r="N583" s="113" t="s">
        <v>174</v>
      </c>
      <c r="O583" s="113" t="s">
        <v>248</v>
      </c>
      <c r="P583" s="113" t="s">
        <v>176</v>
      </c>
      <c r="Q583" s="113" t="s">
        <v>337</v>
      </c>
      <c r="R583" s="113" t="s">
        <v>1641</v>
      </c>
      <c r="S583" s="113" t="s">
        <v>1642</v>
      </c>
      <c r="T583" s="113" t="s">
        <v>1643</v>
      </c>
      <c r="U583" s="113" t="s">
        <v>1644</v>
      </c>
      <c r="V583" s="103"/>
      <c r="W583" s="103"/>
      <c r="X583" s="103"/>
    </row>
    <row r="584" spans="3:24" s="29" customFormat="1" x14ac:dyDescent="0.25">
      <c r="C584" s="990"/>
      <c r="D584" s="990"/>
      <c r="E584" s="990"/>
      <c r="F584" s="991"/>
      <c r="G584" s="991"/>
      <c r="H584" s="991"/>
      <c r="I584" s="991"/>
      <c r="J584" s="991"/>
      <c r="M584" s="114" t="s">
        <v>344</v>
      </c>
      <c r="N584" s="114">
        <f>E13</f>
        <v>2099.0723984875517</v>
      </c>
      <c r="O584" s="114" t="str">
        <f>D13</f>
        <v>g</v>
      </c>
      <c r="P584" s="114">
        <v>100</v>
      </c>
      <c r="Q584" s="114">
        <f>N584</f>
        <v>2099.0723984875517</v>
      </c>
      <c r="R584" s="114">
        <v>0</v>
      </c>
      <c r="S584" s="114">
        <f>P584*R584</f>
        <v>0</v>
      </c>
      <c r="T584" s="114">
        <f>P584-S584</f>
        <v>100</v>
      </c>
      <c r="U584" s="114">
        <f>Q584+((S584*Q584)/P584)</f>
        <v>2099.0723984875517</v>
      </c>
      <c r="V584" s="104"/>
      <c r="W584" s="104"/>
      <c r="X584" s="104"/>
    </row>
    <row r="585" spans="3:24" s="29" customFormat="1" x14ac:dyDescent="0.25">
      <c r="C585" s="990"/>
      <c r="D585" s="990"/>
      <c r="E585" s="990"/>
      <c r="F585" s="991"/>
      <c r="G585" s="991"/>
      <c r="H585" s="991"/>
      <c r="I585" s="991"/>
      <c r="J585" s="991"/>
      <c r="M585" s="114" t="s">
        <v>429</v>
      </c>
      <c r="N585" s="114">
        <f>P29</f>
        <v>1.8</v>
      </c>
      <c r="O585" s="114" t="str">
        <f>O29</f>
        <v>g</v>
      </c>
      <c r="P585" s="114">
        <v>30</v>
      </c>
      <c r="Q585" s="114">
        <f t="shared" ref="Q585:Q591" si="129">N585*P585</f>
        <v>54</v>
      </c>
      <c r="R585" s="114">
        <v>0</v>
      </c>
      <c r="S585" s="114">
        <f t="shared" ref="S585:S592" si="130">P585*R585</f>
        <v>0</v>
      </c>
      <c r="T585" s="114">
        <f t="shared" ref="T585:T592" si="131">P585-S585</f>
        <v>30</v>
      </c>
      <c r="U585" s="114">
        <f t="shared" ref="U585:U592" si="132">Q585+((S585*Q585)/P585)</f>
        <v>54</v>
      </c>
      <c r="V585" s="30"/>
      <c r="W585" s="30"/>
      <c r="X585" s="30"/>
    </row>
    <row r="586" spans="3:24" s="29" customFormat="1" x14ac:dyDescent="0.25">
      <c r="C586" s="989" t="s">
        <v>0</v>
      </c>
      <c r="D586" s="989"/>
      <c r="E586" s="989"/>
      <c r="F586" s="989" t="s">
        <v>1</v>
      </c>
      <c r="G586" s="989"/>
      <c r="H586" s="989"/>
      <c r="I586" s="989"/>
      <c r="J586" s="989"/>
      <c r="M586" s="114" t="s">
        <v>489</v>
      </c>
      <c r="N586" s="114">
        <f>S4</f>
        <v>56.71</v>
      </c>
      <c r="O586" s="114" t="str">
        <f>R4</f>
        <v>g</v>
      </c>
      <c r="P586" s="114">
        <v>30</v>
      </c>
      <c r="Q586" s="114">
        <f t="shared" si="129"/>
        <v>1701.3</v>
      </c>
      <c r="R586" s="114">
        <v>0</v>
      </c>
      <c r="S586" s="114">
        <f t="shared" si="130"/>
        <v>0</v>
      </c>
      <c r="T586" s="114">
        <f t="shared" si="131"/>
        <v>30</v>
      </c>
      <c r="U586" s="114">
        <f t="shared" si="132"/>
        <v>1701.3</v>
      </c>
      <c r="V586" s="30"/>
      <c r="W586" s="30"/>
      <c r="X586" s="30"/>
    </row>
    <row r="587" spans="3:24" s="29" customFormat="1" x14ac:dyDescent="0.25">
      <c r="C587" s="990" t="s">
        <v>3</v>
      </c>
      <c r="D587" s="990"/>
      <c r="E587" s="990"/>
      <c r="F587" s="991" t="s">
        <v>60</v>
      </c>
      <c r="G587" s="991"/>
      <c r="H587" s="991"/>
      <c r="I587" s="991"/>
      <c r="J587" s="991"/>
      <c r="M587" s="114" t="s">
        <v>430</v>
      </c>
      <c r="N587" s="114">
        <f>P10</f>
        <v>0.7</v>
      </c>
      <c r="O587" s="114" t="str">
        <f>O10</f>
        <v>g</v>
      </c>
      <c r="P587" s="114">
        <v>20</v>
      </c>
      <c r="Q587" s="114">
        <f t="shared" si="129"/>
        <v>14</v>
      </c>
      <c r="R587" s="114">
        <f>AJ7</f>
        <v>0.15</v>
      </c>
      <c r="S587" s="114">
        <f t="shared" si="130"/>
        <v>3</v>
      </c>
      <c r="T587" s="114">
        <f t="shared" si="131"/>
        <v>17</v>
      </c>
      <c r="U587" s="114">
        <f t="shared" si="132"/>
        <v>16.100000000000001</v>
      </c>
      <c r="V587" s="30"/>
      <c r="W587" s="30"/>
      <c r="X587" s="30"/>
    </row>
    <row r="588" spans="3:24" s="29" customFormat="1" x14ac:dyDescent="0.25">
      <c r="C588" s="990"/>
      <c r="D588" s="990"/>
      <c r="E588" s="990"/>
      <c r="F588" s="991"/>
      <c r="G588" s="991"/>
      <c r="H588" s="991"/>
      <c r="I588" s="991"/>
      <c r="J588" s="991"/>
      <c r="M588" s="114" t="s">
        <v>490</v>
      </c>
      <c r="N588" s="114">
        <f>P6</f>
        <v>7.8</v>
      </c>
      <c r="O588" s="114" t="str">
        <f>O6</f>
        <v>g</v>
      </c>
      <c r="P588" s="114">
        <v>35</v>
      </c>
      <c r="Q588" s="114">
        <f t="shared" si="129"/>
        <v>273</v>
      </c>
      <c r="R588" s="114">
        <f>AJ4</f>
        <v>0.55000000000000004</v>
      </c>
      <c r="S588" s="114">
        <f t="shared" si="130"/>
        <v>19.25</v>
      </c>
      <c r="T588" s="114">
        <f t="shared" si="131"/>
        <v>15.75</v>
      </c>
      <c r="U588" s="114">
        <f t="shared" si="132"/>
        <v>423.15</v>
      </c>
      <c r="V588" s="30"/>
      <c r="W588" s="30"/>
      <c r="X588" s="30"/>
    </row>
    <row r="589" spans="3:24" s="29" customFormat="1" x14ac:dyDescent="0.25">
      <c r="C589" s="990"/>
      <c r="D589" s="990"/>
      <c r="E589" s="990"/>
      <c r="F589" s="991"/>
      <c r="G589" s="991"/>
      <c r="H589" s="991"/>
      <c r="I589" s="991"/>
      <c r="J589" s="991"/>
      <c r="M589" s="114" t="s">
        <v>339</v>
      </c>
      <c r="N589" s="114">
        <f>AE7</f>
        <v>0.4</v>
      </c>
      <c r="O589" s="114" t="str">
        <f>AD7</f>
        <v>g</v>
      </c>
      <c r="P589" s="114">
        <v>60</v>
      </c>
      <c r="Q589" s="114">
        <f t="shared" si="129"/>
        <v>24</v>
      </c>
      <c r="R589" s="114">
        <v>0</v>
      </c>
      <c r="S589" s="114">
        <f t="shared" si="130"/>
        <v>0</v>
      </c>
      <c r="T589" s="114">
        <f t="shared" si="131"/>
        <v>60</v>
      </c>
      <c r="U589" s="114">
        <f t="shared" si="132"/>
        <v>24</v>
      </c>
      <c r="V589" s="30"/>
      <c r="W589" s="30"/>
      <c r="X589" s="30"/>
    </row>
    <row r="590" spans="3:24" s="29" customFormat="1" x14ac:dyDescent="0.25">
      <c r="C590" s="990" t="s">
        <v>4</v>
      </c>
      <c r="D590" s="990"/>
      <c r="E590" s="990"/>
      <c r="F590" s="991" t="s">
        <v>15</v>
      </c>
      <c r="G590" s="991"/>
      <c r="H590" s="991"/>
      <c r="I590" s="991"/>
      <c r="J590" s="991"/>
      <c r="M590" s="114" t="s">
        <v>491</v>
      </c>
      <c r="N590" s="114">
        <f>AE8</f>
        <v>27.25</v>
      </c>
      <c r="O590" s="114" t="str">
        <f>AD8</f>
        <v>g</v>
      </c>
      <c r="P590" s="114">
        <v>40</v>
      </c>
      <c r="Q590" s="114">
        <f t="shared" si="129"/>
        <v>1090</v>
      </c>
      <c r="R590" s="114">
        <v>0</v>
      </c>
      <c r="S590" s="114">
        <f t="shared" si="130"/>
        <v>0</v>
      </c>
      <c r="T590" s="114">
        <f t="shared" si="131"/>
        <v>40</v>
      </c>
      <c r="U590" s="114">
        <f t="shared" si="132"/>
        <v>1090</v>
      </c>
      <c r="V590" s="30"/>
      <c r="W590" s="30"/>
      <c r="X590" s="30"/>
    </row>
    <row r="591" spans="3:24" s="29" customFormat="1" x14ac:dyDescent="0.25">
      <c r="C591" s="990"/>
      <c r="D591" s="990"/>
      <c r="E591" s="990"/>
      <c r="F591" s="991"/>
      <c r="G591" s="991"/>
      <c r="H591" s="991"/>
      <c r="I591" s="991"/>
      <c r="J591" s="991"/>
      <c r="M591" s="114" t="s">
        <v>487</v>
      </c>
      <c r="N591" s="114">
        <f>S16</f>
        <v>31.23</v>
      </c>
      <c r="O591" s="114" t="str">
        <f>R16</f>
        <v>g</v>
      </c>
      <c r="P591" s="114">
        <v>40</v>
      </c>
      <c r="Q591" s="114">
        <f t="shared" si="129"/>
        <v>1249.2</v>
      </c>
      <c r="R591" s="114">
        <v>0</v>
      </c>
      <c r="S591" s="114">
        <f t="shared" si="130"/>
        <v>0</v>
      </c>
      <c r="T591" s="114">
        <f t="shared" si="131"/>
        <v>40</v>
      </c>
      <c r="U591" s="114">
        <f t="shared" si="132"/>
        <v>1249.2</v>
      </c>
      <c r="V591" s="30"/>
      <c r="W591" s="30"/>
      <c r="X591" s="30"/>
    </row>
    <row r="592" spans="3:24" s="29" customFormat="1" x14ac:dyDescent="0.25">
      <c r="C592" s="990"/>
      <c r="D592" s="990"/>
      <c r="E592" s="990"/>
      <c r="F592" s="991"/>
      <c r="G592" s="991"/>
      <c r="H592" s="991"/>
      <c r="I592" s="991"/>
      <c r="J592" s="991"/>
      <c r="M592" s="114" t="s">
        <v>340</v>
      </c>
      <c r="N592" s="153">
        <f>Y20</f>
        <v>0.64</v>
      </c>
      <c r="O592" s="114" t="str">
        <f>X20</f>
        <v>g</v>
      </c>
      <c r="P592" s="114">
        <v>2</v>
      </c>
      <c r="Q592" s="114">
        <f>N592*P592</f>
        <v>1.28</v>
      </c>
      <c r="R592" s="114">
        <v>0</v>
      </c>
      <c r="S592" s="114">
        <f t="shared" si="130"/>
        <v>0</v>
      </c>
      <c r="T592" s="114">
        <f t="shared" si="131"/>
        <v>2</v>
      </c>
      <c r="U592" s="114">
        <f t="shared" si="132"/>
        <v>1.28</v>
      </c>
    </row>
    <row r="593" spans="3:31" s="29" customFormat="1" x14ac:dyDescent="0.25">
      <c r="C593" s="990" t="s">
        <v>5</v>
      </c>
      <c r="D593" s="990"/>
      <c r="E593" s="990"/>
      <c r="F593" s="991" t="s">
        <v>61</v>
      </c>
      <c r="G593" s="991"/>
      <c r="H593" s="991"/>
      <c r="I593" s="991"/>
      <c r="J593" s="991"/>
      <c r="M593" s="114"/>
      <c r="N593" s="114"/>
      <c r="O593" s="114"/>
      <c r="P593" s="114"/>
      <c r="Q593" s="114"/>
      <c r="R593" s="114"/>
      <c r="S593" s="114"/>
      <c r="T593" s="114"/>
      <c r="U593" s="114"/>
    </row>
    <row r="594" spans="3:31" s="29" customFormat="1" x14ac:dyDescent="0.25">
      <c r="C594" s="990"/>
      <c r="D594" s="990"/>
      <c r="E594" s="990"/>
      <c r="F594" s="991"/>
      <c r="G594" s="991"/>
      <c r="H594" s="991"/>
      <c r="I594" s="991"/>
      <c r="J594" s="991"/>
      <c r="M594" s="114" t="s">
        <v>337</v>
      </c>
      <c r="N594" s="114">
        <f>SUM(N584:N593)</f>
        <v>2225.6023984875519</v>
      </c>
      <c r="O594" s="114"/>
      <c r="P594" s="114">
        <f>SUM(P584:P593)</f>
        <v>357</v>
      </c>
      <c r="Q594" s="114">
        <f>SUM(Q584:Q593)</f>
        <v>6505.852398487551</v>
      </c>
      <c r="R594" s="114"/>
      <c r="S594" s="114"/>
      <c r="T594" s="114"/>
      <c r="U594" s="114">
        <f>SUM(U584:U593)</f>
        <v>6658.102398487551</v>
      </c>
    </row>
    <row r="595" spans="3:31" s="29" customFormat="1" x14ac:dyDescent="0.25">
      <c r="C595" s="990"/>
      <c r="D595" s="990"/>
      <c r="E595" s="990"/>
      <c r="F595" s="991"/>
      <c r="G595" s="991"/>
      <c r="H595" s="991"/>
      <c r="I595" s="991"/>
      <c r="J595" s="991"/>
    </row>
    <row r="596" spans="3:31" s="29" customFormat="1" x14ac:dyDescent="0.25">
      <c r="C596" s="990" t="s">
        <v>6</v>
      </c>
      <c r="D596" s="990"/>
      <c r="E596" s="990"/>
      <c r="F596" s="991" t="s">
        <v>9</v>
      </c>
      <c r="G596" s="991"/>
      <c r="H596" s="991"/>
      <c r="I596" s="991"/>
      <c r="J596" s="991"/>
      <c r="Q596" s="114" t="s">
        <v>1681</v>
      </c>
      <c r="R596" s="114">
        <f>U594</f>
        <v>6658.102398487551</v>
      </c>
      <c r="S596" s="608" t="s">
        <v>2142</v>
      </c>
      <c r="T596" s="608">
        <f>(R596*100)/R603</f>
        <v>44.777289939471892</v>
      </c>
    </row>
    <row r="597" spans="3:31" s="29" customFormat="1" x14ac:dyDescent="0.25">
      <c r="C597" s="990"/>
      <c r="D597" s="990"/>
      <c r="E597" s="990"/>
      <c r="F597" s="991"/>
      <c r="G597" s="991"/>
      <c r="H597" s="991"/>
      <c r="I597" s="991"/>
      <c r="J597" s="991"/>
      <c r="Q597" s="114" t="s">
        <v>2326</v>
      </c>
      <c r="R597" s="114">
        <f>$AL$26</f>
        <v>1801.715474357886</v>
      </c>
    </row>
    <row r="598" spans="3:31" s="29" customFormat="1" x14ac:dyDescent="0.25">
      <c r="C598" s="990"/>
      <c r="D598" s="990"/>
      <c r="E598" s="990"/>
      <c r="F598" s="991"/>
      <c r="G598" s="991"/>
      <c r="H598" s="991"/>
      <c r="I598" s="991"/>
      <c r="J598" s="991"/>
      <c r="Q598" s="114" t="s">
        <v>2325</v>
      </c>
      <c r="R598" s="114">
        <f>$AL$27</f>
        <v>75.599999999999994</v>
      </c>
    </row>
    <row r="599" spans="3:31" s="29" customFormat="1" x14ac:dyDescent="0.25">
      <c r="C599" s="990" t="s">
        <v>7</v>
      </c>
      <c r="D599" s="990"/>
      <c r="E599" s="990"/>
      <c r="F599" s="991" t="s">
        <v>312</v>
      </c>
      <c r="G599" s="991"/>
      <c r="H599" s="991"/>
      <c r="I599" s="991"/>
      <c r="J599" s="991"/>
      <c r="Q599" s="114" t="s">
        <v>1684</v>
      </c>
      <c r="R599" s="114">
        <f>$AL$29</f>
        <v>69.543532482306858</v>
      </c>
    </row>
    <row r="600" spans="3:31" s="29" customFormat="1" x14ac:dyDescent="0.25">
      <c r="C600" s="990"/>
      <c r="D600" s="990"/>
      <c r="E600" s="990"/>
      <c r="F600" s="991"/>
      <c r="G600" s="991"/>
      <c r="H600" s="991"/>
      <c r="I600" s="991"/>
      <c r="J600" s="991"/>
      <c r="Q600" s="114" t="s">
        <v>1685</v>
      </c>
      <c r="R600" s="114">
        <v>0.6</v>
      </c>
    </row>
    <row r="601" spans="3:31" s="29" customFormat="1" x14ac:dyDescent="0.25">
      <c r="C601" s="990"/>
      <c r="D601" s="990"/>
      <c r="E601" s="990"/>
      <c r="F601" s="991"/>
      <c r="G601" s="991"/>
      <c r="H601" s="991"/>
      <c r="I601" s="991"/>
      <c r="J601" s="991"/>
      <c r="Q601" s="114" t="s">
        <v>1708</v>
      </c>
      <c r="R601" s="114">
        <f>(SUM(R596:R599)*R600)+SUM(R596:R599)</f>
        <v>13767.93824852439</v>
      </c>
    </row>
    <row r="602" spans="3:31" s="29" customFormat="1" x14ac:dyDescent="0.25">
      <c r="Q602" s="114" t="s">
        <v>2130</v>
      </c>
      <c r="R602" s="114">
        <f>R601*0.08</f>
        <v>1101.4350598819512</v>
      </c>
    </row>
    <row r="603" spans="3:31" s="29" customFormat="1" x14ac:dyDescent="0.25">
      <c r="Q603" s="114" t="s">
        <v>1686</v>
      </c>
      <c r="R603" s="114">
        <f>SUM(R601+R602)</f>
        <v>14869.373308406341</v>
      </c>
    </row>
    <row r="604" spans="3:31" s="29" customFormat="1" x14ac:dyDescent="0.25"/>
    <row r="605" spans="3:31" s="29" customFormat="1" x14ac:dyDescent="0.25">
      <c r="C605" s="993" t="s">
        <v>8</v>
      </c>
      <c r="D605" s="993"/>
      <c r="E605" s="993"/>
      <c r="F605" s="993"/>
      <c r="G605" s="993"/>
      <c r="H605" s="993"/>
      <c r="I605" s="993"/>
      <c r="J605" s="993"/>
    </row>
    <row r="606" spans="3:31" s="29" customFormat="1" x14ac:dyDescent="0.25">
      <c r="C606" s="989" t="s">
        <v>0</v>
      </c>
      <c r="D606" s="989"/>
      <c r="E606" s="989"/>
      <c r="F606" s="989" t="s">
        <v>1</v>
      </c>
      <c r="G606" s="989"/>
      <c r="H606" s="989"/>
      <c r="I606" s="989"/>
      <c r="J606" s="989"/>
    </row>
    <row r="607" spans="3:31" s="29" customFormat="1" x14ac:dyDescent="0.25">
      <c r="C607" s="990" t="s">
        <v>2</v>
      </c>
      <c r="D607" s="990"/>
      <c r="E607" s="990"/>
      <c r="F607" s="991" t="s">
        <v>62</v>
      </c>
      <c r="G607" s="991"/>
      <c r="H607" s="991"/>
      <c r="I607" s="991"/>
      <c r="J607" s="991"/>
      <c r="M607" s="113" t="s">
        <v>336</v>
      </c>
      <c r="N607" s="113" t="s">
        <v>174</v>
      </c>
      <c r="O607" s="113" t="s">
        <v>248</v>
      </c>
      <c r="P607" s="113" t="s">
        <v>176</v>
      </c>
      <c r="Q607" s="113" t="s">
        <v>337</v>
      </c>
      <c r="R607" s="113" t="s">
        <v>1641</v>
      </c>
      <c r="S607" s="113" t="s">
        <v>1642</v>
      </c>
      <c r="T607" s="113" t="s">
        <v>1643</v>
      </c>
      <c r="U607" s="113" t="s">
        <v>1644</v>
      </c>
      <c r="W607" s="994" t="s">
        <v>1460</v>
      </c>
      <c r="X607" s="994"/>
      <c r="Y607" s="994"/>
      <c r="Z607" s="994"/>
      <c r="AA607" s="994"/>
      <c r="AB607" s="994"/>
      <c r="AC607" s="994"/>
      <c r="AD607" s="994"/>
      <c r="AE607" s="994"/>
    </row>
    <row r="608" spans="3:31" s="29" customFormat="1" x14ac:dyDescent="0.25">
      <c r="C608" s="990"/>
      <c r="D608" s="990"/>
      <c r="E608" s="990"/>
      <c r="F608" s="991"/>
      <c r="G608" s="991"/>
      <c r="H608" s="991"/>
      <c r="I608" s="991"/>
      <c r="J608" s="991"/>
      <c r="M608" s="114" t="s">
        <v>344</v>
      </c>
      <c r="N608" s="114">
        <f>E13</f>
        <v>2099.0723984875517</v>
      </c>
      <c r="O608" s="114" t="str">
        <f>D13</f>
        <v>g</v>
      </c>
      <c r="P608" s="114">
        <v>100</v>
      </c>
      <c r="Q608" s="114">
        <f>N608</f>
        <v>2099.0723984875517</v>
      </c>
      <c r="R608" s="114">
        <v>0</v>
      </c>
      <c r="S608" s="114">
        <f>P608*R608</f>
        <v>0</v>
      </c>
      <c r="T608" s="114">
        <f>P608-S608</f>
        <v>100</v>
      </c>
      <c r="U608" s="114">
        <f>Q608+((S608*Q608)/P608)</f>
        <v>2099.0723984875517</v>
      </c>
      <c r="W608" s="113" t="s">
        <v>336</v>
      </c>
      <c r="X608" s="113" t="s">
        <v>174</v>
      </c>
      <c r="Y608" s="113" t="s">
        <v>248</v>
      </c>
      <c r="Z608" s="113" t="s">
        <v>176</v>
      </c>
      <c r="AA608" s="113" t="s">
        <v>337</v>
      </c>
      <c r="AB608" s="113" t="s">
        <v>1641</v>
      </c>
      <c r="AC608" s="113" t="s">
        <v>1642</v>
      </c>
      <c r="AD608" s="113" t="s">
        <v>1643</v>
      </c>
      <c r="AE608" s="113" t="s">
        <v>1644</v>
      </c>
    </row>
    <row r="609" spans="3:31" s="29" customFormat="1" x14ac:dyDescent="0.25">
      <c r="C609" s="990"/>
      <c r="D609" s="990"/>
      <c r="E609" s="990"/>
      <c r="F609" s="991"/>
      <c r="G609" s="991"/>
      <c r="H609" s="991"/>
      <c r="I609" s="991"/>
      <c r="J609" s="991"/>
      <c r="M609" s="114" t="s">
        <v>340</v>
      </c>
      <c r="N609" s="114">
        <f>Y20</f>
        <v>0.64</v>
      </c>
      <c r="O609" s="114" t="str">
        <f>X20</f>
        <v>g</v>
      </c>
      <c r="P609" s="114">
        <v>2</v>
      </c>
      <c r="Q609" s="114">
        <f t="shared" ref="Q609:Q614" si="133">N609*P609</f>
        <v>1.28</v>
      </c>
      <c r="R609" s="114">
        <v>0</v>
      </c>
      <c r="S609" s="114">
        <f t="shared" ref="S609:S616" si="134">P609*R609</f>
        <v>0</v>
      </c>
      <c r="T609" s="114">
        <f t="shared" ref="T609:T616" si="135">P609-S609</f>
        <v>2</v>
      </c>
      <c r="U609" s="114">
        <f t="shared" ref="U609:U614" si="136">Q609+((S609*Q609)/P609)</f>
        <v>1.28</v>
      </c>
      <c r="W609" s="114" t="s">
        <v>347</v>
      </c>
      <c r="X609" s="114">
        <f>V6</f>
        <v>28.76</v>
      </c>
      <c r="Y609" s="114" t="str">
        <f>U6</f>
        <v>g</v>
      </c>
      <c r="Z609" s="114">
        <v>60</v>
      </c>
      <c r="AA609" s="114">
        <f>X609*Z609</f>
        <v>1725.6000000000001</v>
      </c>
      <c r="AB609" s="114">
        <v>0</v>
      </c>
      <c r="AC609" s="114">
        <f>Z609*AB609</f>
        <v>0</v>
      </c>
      <c r="AD609" s="114">
        <f>Z609-AC609</f>
        <v>60</v>
      </c>
      <c r="AE609" s="114">
        <f>AA609+((AC609*AA609)/Z609)</f>
        <v>1725.6000000000001</v>
      </c>
    </row>
    <row r="610" spans="3:31" s="29" customFormat="1" x14ac:dyDescent="0.25">
      <c r="C610" s="989" t="s">
        <v>0</v>
      </c>
      <c r="D610" s="989"/>
      <c r="E610" s="989"/>
      <c r="F610" s="989" t="s">
        <v>1</v>
      </c>
      <c r="G610" s="989"/>
      <c r="H610" s="989"/>
      <c r="I610" s="989"/>
      <c r="J610" s="989"/>
      <c r="M610" s="114" t="s">
        <v>346</v>
      </c>
      <c r="N610" s="114">
        <f>P3</f>
        <v>7</v>
      </c>
      <c r="O610" s="114" t="str">
        <f>O3</f>
        <v>g</v>
      </c>
      <c r="P610" s="114">
        <v>4</v>
      </c>
      <c r="Q610" s="114">
        <f t="shared" si="133"/>
        <v>28</v>
      </c>
      <c r="R610" s="114">
        <f>AJ2</f>
        <v>0.23</v>
      </c>
      <c r="S610" s="114">
        <f t="shared" si="134"/>
        <v>0.92</v>
      </c>
      <c r="T610" s="114">
        <f t="shared" si="135"/>
        <v>3.08</v>
      </c>
      <c r="U610" s="114">
        <f t="shared" si="136"/>
        <v>34.44</v>
      </c>
      <c r="W610" s="114" t="s">
        <v>439</v>
      </c>
      <c r="X610" s="114">
        <f>AE7</f>
        <v>0.4</v>
      </c>
      <c r="Y610" s="114" t="str">
        <f>AD7</f>
        <v>g</v>
      </c>
      <c r="Z610" s="114">
        <v>35</v>
      </c>
      <c r="AA610" s="114">
        <f>X610*Z610</f>
        <v>14</v>
      </c>
      <c r="AB610" s="114">
        <v>0</v>
      </c>
      <c r="AC610" s="114">
        <f>Z610*AB610</f>
        <v>0</v>
      </c>
      <c r="AD610" s="114">
        <f>Z610-AC610</f>
        <v>35</v>
      </c>
      <c r="AE610" s="114">
        <f>AA610+((AC610*AA610)/Z610)</f>
        <v>14</v>
      </c>
    </row>
    <row r="611" spans="3:31" s="29" customFormat="1" x14ac:dyDescent="0.25">
      <c r="C611" s="990" t="s">
        <v>3</v>
      </c>
      <c r="D611" s="990"/>
      <c r="E611" s="990"/>
      <c r="F611" s="992" t="s">
        <v>63</v>
      </c>
      <c r="G611" s="991"/>
      <c r="H611" s="991"/>
      <c r="I611" s="991"/>
      <c r="J611" s="991"/>
      <c r="M611" s="114" t="s">
        <v>440</v>
      </c>
      <c r="N611" s="114">
        <f>AE614</f>
        <v>5999.66</v>
      </c>
      <c r="O611" s="114" t="s">
        <v>1388</v>
      </c>
      <c r="P611" s="114">
        <v>120</v>
      </c>
      <c r="Q611" s="114">
        <f>N611</f>
        <v>5999.66</v>
      </c>
      <c r="R611" s="114">
        <v>0</v>
      </c>
      <c r="S611" s="114">
        <f t="shared" si="134"/>
        <v>0</v>
      </c>
      <c r="T611" s="114">
        <f t="shared" si="135"/>
        <v>120</v>
      </c>
      <c r="U611" s="114">
        <f t="shared" si="136"/>
        <v>5999.66</v>
      </c>
      <c r="W611" s="114" t="s">
        <v>433</v>
      </c>
      <c r="X611" s="114">
        <f>Y18</f>
        <v>223.57</v>
      </c>
      <c r="Y611" s="114" t="str">
        <f>X18</f>
        <v>g</v>
      </c>
      <c r="Z611" s="114">
        <v>6</v>
      </c>
      <c r="AA611" s="114">
        <f>X611*Z611</f>
        <v>1341.42</v>
      </c>
      <c r="AB611" s="114">
        <v>0</v>
      </c>
      <c r="AC611" s="114">
        <f>Z611*AB611</f>
        <v>0</v>
      </c>
      <c r="AD611" s="114">
        <f>Z611-AC611</f>
        <v>6</v>
      </c>
      <c r="AE611" s="114">
        <f>AA611+((AC611*AA611)/Z611)</f>
        <v>1341.42</v>
      </c>
    </row>
    <row r="612" spans="3:31" s="29" customFormat="1" x14ac:dyDescent="0.25">
      <c r="C612" s="990"/>
      <c r="D612" s="990"/>
      <c r="E612" s="990"/>
      <c r="F612" s="991"/>
      <c r="G612" s="991"/>
      <c r="H612" s="991"/>
      <c r="I612" s="991"/>
      <c r="J612" s="991"/>
      <c r="M612" s="114" t="s">
        <v>559</v>
      </c>
      <c r="N612" s="114">
        <f>V14</f>
        <v>318.95</v>
      </c>
      <c r="O612" s="114" t="str">
        <f>U14</f>
        <v>g</v>
      </c>
      <c r="P612" s="114">
        <v>30</v>
      </c>
      <c r="Q612" s="114">
        <f t="shared" si="133"/>
        <v>9568.5</v>
      </c>
      <c r="R612" s="114">
        <v>0</v>
      </c>
      <c r="S612" s="114">
        <f t="shared" si="134"/>
        <v>0</v>
      </c>
      <c r="T612" s="114">
        <f t="shared" si="135"/>
        <v>30</v>
      </c>
      <c r="U612" s="114">
        <f t="shared" si="136"/>
        <v>9568.5</v>
      </c>
      <c r="W612" s="114" t="s">
        <v>340</v>
      </c>
      <c r="X612" s="114">
        <f>Y20</f>
        <v>0.64</v>
      </c>
      <c r="Y612" s="114" t="str">
        <f>X20</f>
        <v>g</v>
      </c>
      <c r="Z612" s="114">
        <v>1</v>
      </c>
      <c r="AA612" s="114">
        <f>X612*Z612</f>
        <v>0.64</v>
      </c>
      <c r="AB612" s="114">
        <v>0</v>
      </c>
      <c r="AC612" s="114">
        <f>Z612*AB612</f>
        <v>0</v>
      </c>
      <c r="AD612" s="114">
        <f>Z612-AC612</f>
        <v>1</v>
      </c>
      <c r="AE612" s="114">
        <f>AA612+((AC612*AA612)/Z612)</f>
        <v>0.64</v>
      </c>
    </row>
    <row r="613" spans="3:31" s="29" customFormat="1" x14ac:dyDescent="0.25">
      <c r="C613" s="990"/>
      <c r="D613" s="990"/>
      <c r="E613" s="990"/>
      <c r="F613" s="991"/>
      <c r="G613" s="991"/>
      <c r="H613" s="991"/>
      <c r="I613" s="991"/>
      <c r="J613" s="991"/>
      <c r="M613" s="114" t="s">
        <v>547</v>
      </c>
      <c r="N613" s="114">
        <f>V13</f>
        <v>81.900000000000006</v>
      </c>
      <c r="O613" s="114" t="str">
        <f>U13</f>
        <v>g</v>
      </c>
      <c r="P613" s="114">
        <v>30</v>
      </c>
      <c r="Q613" s="114">
        <f t="shared" si="133"/>
        <v>2457</v>
      </c>
      <c r="R613" s="114">
        <v>0</v>
      </c>
      <c r="S613" s="114">
        <f t="shared" si="134"/>
        <v>0</v>
      </c>
      <c r="T613" s="114">
        <f t="shared" si="135"/>
        <v>30</v>
      </c>
      <c r="U613" s="114">
        <f t="shared" si="136"/>
        <v>2457</v>
      </c>
      <c r="W613" s="114" t="s">
        <v>438</v>
      </c>
      <c r="X613" s="114">
        <f>S14</f>
        <v>72.95</v>
      </c>
      <c r="Y613" s="114" t="str">
        <f>R14</f>
        <v>g</v>
      </c>
      <c r="Z613" s="114">
        <v>40</v>
      </c>
      <c r="AA613" s="114">
        <f>X613*Z613</f>
        <v>2918</v>
      </c>
      <c r="AB613" s="114">
        <v>0</v>
      </c>
      <c r="AC613" s="114">
        <f>Z613*AB613</f>
        <v>0</v>
      </c>
      <c r="AD613" s="114">
        <f>Z613-AC613</f>
        <v>40</v>
      </c>
      <c r="AE613" s="114">
        <f>AA613+((AC613*AA613)/Z613)</f>
        <v>2918</v>
      </c>
    </row>
    <row r="614" spans="3:31" s="29" customFormat="1" x14ac:dyDescent="0.25">
      <c r="C614" s="990" t="s">
        <v>4</v>
      </c>
      <c r="D614" s="990"/>
      <c r="E614" s="990"/>
      <c r="F614" s="991" t="s">
        <v>15</v>
      </c>
      <c r="G614" s="991"/>
      <c r="H614" s="991"/>
      <c r="I614" s="991"/>
      <c r="J614" s="991"/>
      <c r="M614" s="114" t="s">
        <v>349</v>
      </c>
      <c r="N614" s="114">
        <f>S15</f>
        <v>41</v>
      </c>
      <c r="O614" s="114" t="str">
        <f>R15</f>
        <v>g</v>
      </c>
      <c r="P614" s="114">
        <v>70</v>
      </c>
      <c r="Q614" s="114">
        <f t="shared" si="133"/>
        <v>2870</v>
      </c>
      <c r="R614" s="114">
        <f>AN3</f>
        <v>0.47</v>
      </c>
      <c r="S614" s="114">
        <f t="shared" si="134"/>
        <v>32.9</v>
      </c>
      <c r="T614" s="114">
        <f t="shared" si="135"/>
        <v>37.1</v>
      </c>
      <c r="U614" s="114">
        <f t="shared" si="136"/>
        <v>4218.8999999999996</v>
      </c>
      <c r="W614" s="114" t="s">
        <v>337</v>
      </c>
      <c r="X614" s="114">
        <f>SUM(X609:X613)</f>
        <v>326.32</v>
      </c>
      <c r="Y614" s="114"/>
      <c r="Z614" s="114">
        <f>SUM(Z609:Z613)</f>
        <v>142</v>
      </c>
      <c r="AA614" s="114">
        <f>SUM(AA609:AA613)</f>
        <v>5999.66</v>
      </c>
      <c r="AB614" s="114"/>
      <c r="AC614" s="114"/>
      <c r="AD614" s="114"/>
      <c r="AE614" s="114">
        <f>SUM(AE609:AE613)</f>
        <v>5999.66</v>
      </c>
    </row>
    <row r="615" spans="3:31" s="29" customFormat="1" x14ac:dyDescent="0.25">
      <c r="C615" s="990"/>
      <c r="D615" s="990"/>
      <c r="E615" s="990"/>
      <c r="F615" s="991"/>
      <c r="G615" s="991"/>
      <c r="H615" s="991"/>
      <c r="I615" s="991"/>
      <c r="J615" s="991"/>
      <c r="M615" s="114"/>
      <c r="N615" s="114"/>
      <c r="O615" s="114"/>
      <c r="P615" s="114"/>
      <c r="Q615" s="114"/>
      <c r="R615" s="114"/>
      <c r="S615" s="114"/>
      <c r="T615" s="114"/>
      <c r="U615" s="114"/>
    </row>
    <row r="616" spans="3:31" s="29" customFormat="1" x14ac:dyDescent="0.25">
      <c r="C616" s="990"/>
      <c r="D616" s="990"/>
      <c r="E616" s="990"/>
      <c r="F616" s="991"/>
      <c r="G616" s="991"/>
      <c r="H616" s="991"/>
      <c r="I616" s="991"/>
      <c r="J616" s="991"/>
      <c r="M616" s="114" t="s">
        <v>337</v>
      </c>
      <c r="N616" s="114">
        <f>SUM(N608:N614)</f>
        <v>8548.2223984875509</v>
      </c>
      <c r="O616" s="114"/>
      <c r="P616" s="114">
        <f>SUM(P608:P614)</f>
        <v>356</v>
      </c>
      <c r="Q616" s="114">
        <f>SUM(Q608:Q614)</f>
        <v>23023.512398487554</v>
      </c>
      <c r="R616" s="114">
        <v>0</v>
      </c>
      <c r="S616" s="114">
        <f t="shared" si="134"/>
        <v>0</v>
      </c>
      <c r="T616" s="114">
        <f t="shared" si="135"/>
        <v>356</v>
      </c>
      <c r="U616" s="114">
        <f>SUM(U608:U615)</f>
        <v>24378.85239848755</v>
      </c>
      <c r="AA616" s="114" t="s">
        <v>1681</v>
      </c>
      <c r="AB616" s="114">
        <f>AE614</f>
        <v>5999.66</v>
      </c>
      <c r="AC616" s="608" t="s">
        <v>2142</v>
      </c>
      <c r="AD616" s="608">
        <f>(AB616*100)/AB623</f>
        <v>43.169481640479994</v>
      </c>
    </row>
    <row r="617" spans="3:31" s="29" customFormat="1" x14ac:dyDescent="0.25">
      <c r="C617" s="990" t="s">
        <v>5</v>
      </c>
      <c r="D617" s="990"/>
      <c r="E617" s="990"/>
      <c r="F617" s="991" t="s">
        <v>64</v>
      </c>
      <c r="G617" s="991"/>
      <c r="H617" s="991"/>
      <c r="I617" s="991"/>
      <c r="J617" s="991"/>
      <c r="AA617" s="114" t="s">
        <v>2326</v>
      </c>
      <c r="AB617" s="114">
        <f>$AO$26/2</f>
        <v>476.87414947063905</v>
      </c>
    </row>
    <row r="618" spans="3:31" s="29" customFormat="1" x14ac:dyDescent="0.25">
      <c r="C618" s="990"/>
      <c r="D618" s="990"/>
      <c r="E618" s="990"/>
      <c r="F618" s="991"/>
      <c r="G618" s="991"/>
      <c r="H618" s="991"/>
      <c r="I618" s="991"/>
      <c r="J618" s="991"/>
      <c r="Q618" s="114" t="s">
        <v>1681</v>
      </c>
      <c r="R618" s="114">
        <f>U616</f>
        <v>24378.85239848755</v>
      </c>
      <c r="S618" s="608" t="s">
        <v>2142</v>
      </c>
      <c r="T618" s="608">
        <f>(R618*100)/R625</f>
        <v>53.590696782444745</v>
      </c>
      <c r="AA618" s="114" t="s">
        <v>2325</v>
      </c>
      <c r="AB618" s="114">
        <f>$AO$27/4</f>
        <v>18.899999999999999</v>
      </c>
    </row>
    <row r="619" spans="3:31" s="29" customFormat="1" x14ac:dyDescent="0.25">
      <c r="C619" s="990"/>
      <c r="D619" s="990"/>
      <c r="E619" s="990"/>
      <c r="F619" s="991"/>
      <c r="G619" s="991"/>
      <c r="H619" s="991"/>
      <c r="I619" s="991"/>
      <c r="J619" s="991"/>
      <c r="Q619" s="114" t="s">
        <v>2326</v>
      </c>
      <c r="R619" s="114">
        <f>$AL$26</f>
        <v>1801.715474357886</v>
      </c>
      <c r="AA619" s="114" t="s">
        <v>1684</v>
      </c>
      <c r="AB619" s="114">
        <f>$AO$29</f>
        <v>1547.3435977313275</v>
      </c>
    </row>
    <row r="620" spans="3:31" s="29" customFormat="1" x14ac:dyDescent="0.25">
      <c r="C620" s="990" t="s">
        <v>6</v>
      </c>
      <c r="D620" s="990"/>
      <c r="E620" s="990"/>
      <c r="F620" s="991" t="s">
        <v>9</v>
      </c>
      <c r="G620" s="991"/>
      <c r="H620" s="991"/>
      <c r="I620" s="991"/>
      <c r="J620" s="991"/>
      <c r="Q620" s="114" t="s">
        <v>2325</v>
      </c>
      <c r="R620" s="114">
        <f>$AL$27</f>
        <v>75.599999999999994</v>
      </c>
      <c r="AA620" s="114" t="s">
        <v>1685</v>
      </c>
      <c r="AB620" s="114">
        <v>0.6</v>
      </c>
    </row>
    <row r="621" spans="3:31" s="29" customFormat="1" x14ac:dyDescent="0.25">
      <c r="C621" s="990"/>
      <c r="D621" s="990"/>
      <c r="E621" s="990"/>
      <c r="F621" s="991"/>
      <c r="G621" s="991"/>
      <c r="H621" s="991"/>
      <c r="I621" s="991"/>
      <c r="J621" s="991"/>
      <c r="Q621" s="114" t="s">
        <v>1684</v>
      </c>
      <c r="R621" s="114">
        <f>$AL$29</f>
        <v>69.543532482306858</v>
      </c>
      <c r="AA621" s="114" t="s">
        <v>1708</v>
      </c>
      <c r="AB621" s="114">
        <f>(SUM(AB616:AB619)*AB620)+SUM(AB616:AB619)</f>
        <v>12868.444395523145</v>
      </c>
    </row>
    <row r="622" spans="3:31" s="29" customFormat="1" x14ac:dyDescent="0.25">
      <c r="C622" s="990"/>
      <c r="D622" s="990"/>
      <c r="E622" s="990"/>
      <c r="F622" s="991"/>
      <c r="G622" s="991"/>
      <c r="H622" s="991"/>
      <c r="I622" s="991"/>
      <c r="J622" s="991"/>
      <c r="Q622" s="114" t="s">
        <v>1685</v>
      </c>
      <c r="R622" s="114">
        <v>0.6</v>
      </c>
      <c r="AA622" s="114" t="s">
        <v>2130</v>
      </c>
      <c r="AB622" s="114">
        <f>AB621*0.08</f>
        <v>1029.4755516418516</v>
      </c>
    </row>
    <row r="623" spans="3:31" s="29" customFormat="1" x14ac:dyDescent="0.25">
      <c r="C623" s="990" t="s">
        <v>7</v>
      </c>
      <c r="D623" s="990"/>
      <c r="E623" s="990"/>
      <c r="F623" s="991" t="s">
        <v>587</v>
      </c>
      <c r="G623" s="991"/>
      <c r="H623" s="991"/>
      <c r="I623" s="991"/>
      <c r="J623" s="991"/>
      <c r="Q623" s="114" t="s">
        <v>1708</v>
      </c>
      <c r="R623" s="114">
        <f>(SUM(R618:R621)*R622)+SUM(R618:R621)</f>
        <v>42121.138248524388</v>
      </c>
      <c r="AA623" s="114" t="s">
        <v>1686</v>
      </c>
      <c r="AB623" s="114">
        <f>SUM(AB621+AB622)</f>
        <v>13897.919947164997</v>
      </c>
    </row>
    <row r="624" spans="3:31" s="29" customFormat="1" x14ac:dyDescent="0.25">
      <c r="C624" s="990"/>
      <c r="D624" s="990"/>
      <c r="E624" s="990"/>
      <c r="F624" s="991"/>
      <c r="G624" s="991"/>
      <c r="H624" s="991"/>
      <c r="I624" s="991"/>
      <c r="J624" s="991"/>
      <c r="Q624" s="114" t="s">
        <v>2130</v>
      </c>
      <c r="R624" s="114">
        <f>R623*0.08</f>
        <v>3369.6910598819513</v>
      </c>
    </row>
    <row r="625" spans="3:31" s="29" customFormat="1" x14ac:dyDescent="0.25">
      <c r="C625" s="990"/>
      <c r="D625" s="990"/>
      <c r="E625" s="990"/>
      <c r="F625" s="991"/>
      <c r="G625" s="991"/>
      <c r="H625" s="991"/>
      <c r="I625" s="991"/>
      <c r="J625" s="991"/>
      <c r="Q625" s="114" t="s">
        <v>1686</v>
      </c>
      <c r="R625" s="114">
        <f>SUM(R623+R624)</f>
        <v>45490.829308406341</v>
      </c>
    </row>
    <row r="626" spans="3:31" s="29" customFormat="1" x14ac:dyDescent="0.25"/>
    <row r="627" spans="3:31" s="29" customFormat="1" x14ac:dyDescent="0.25"/>
    <row r="628" spans="3:31" s="29" customFormat="1" x14ac:dyDescent="0.25">
      <c r="C628" s="993" t="s">
        <v>8</v>
      </c>
      <c r="D628" s="993"/>
      <c r="E628" s="993"/>
      <c r="F628" s="993"/>
      <c r="G628" s="993"/>
      <c r="H628" s="993"/>
      <c r="I628" s="993"/>
      <c r="J628" s="993"/>
    </row>
    <row r="629" spans="3:31" s="29" customFormat="1" x14ac:dyDescent="0.25">
      <c r="C629" s="989" t="s">
        <v>0</v>
      </c>
      <c r="D629" s="989"/>
      <c r="E629" s="989"/>
      <c r="F629" s="989" t="s">
        <v>1</v>
      </c>
      <c r="G629" s="989"/>
      <c r="H629" s="989"/>
      <c r="I629" s="989"/>
      <c r="J629" s="989"/>
    </row>
    <row r="630" spans="3:31" s="29" customFormat="1" x14ac:dyDescent="0.25">
      <c r="C630" s="990" t="s">
        <v>2</v>
      </c>
      <c r="D630" s="990"/>
      <c r="E630" s="990"/>
      <c r="F630" s="991" t="s">
        <v>65</v>
      </c>
      <c r="G630" s="991"/>
      <c r="H630" s="991"/>
      <c r="I630" s="991"/>
      <c r="J630" s="991"/>
      <c r="M630" s="113" t="s">
        <v>336</v>
      </c>
      <c r="N630" s="113" t="s">
        <v>174</v>
      </c>
      <c r="O630" s="113" t="s">
        <v>248</v>
      </c>
      <c r="P630" s="113" t="s">
        <v>176</v>
      </c>
      <c r="Q630" s="113" t="s">
        <v>337</v>
      </c>
      <c r="R630" s="113" t="s">
        <v>1641</v>
      </c>
      <c r="S630" s="113" t="s">
        <v>1642</v>
      </c>
      <c r="T630" s="113" t="s">
        <v>1643</v>
      </c>
      <c r="U630" s="113" t="s">
        <v>1644</v>
      </c>
      <c r="W630" s="994" t="s">
        <v>1469</v>
      </c>
      <c r="X630" s="994"/>
      <c r="Y630" s="994"/>
      <c r="Z630" s="994"/>
      <c r="AA630" s="994"/>
      <c r="AB630" s="994"/>
      <c r="AC630" s="994"/>
      <c r="AD630" s="994"/>
      <c r="AE630" s="994"/>
    </row>
    <row r="631" spans="3:31" s="29" customFormat="1" x14ac:dyDescent="0.25">
      <c r="C631" s="990"/>
      <c r="D631" s="990"/>
      <c r="E631" s="990"/>
      <c r="F631" s="991"/>
      <c r="G631" s="991"/>
      <c r="H631" s="991"/>
      <c r="I631" s="991"/>
      <c r="J631" s="991"/>
      <c r="M631" s="114" t="s">
        <v>344</v>
      </c>
      <c r="N631" s="114">
        <f>E13</f>
        <v>2099.0723984875517</v>
      </c>
      <c r="O631" s="114" t="str">
        <f>D13</f>
        <v>g</v>
      </c>
      <c r="P631" s="114">
        <v>100</v>
      </c>
      <c r="Q631" s="114">
        <f>N631</f>
        <v>2099.0723984875517</v>
      </c>
      <c r="R631" s="114">
        <v>0</v>
      </c>
      <c r="S631" s="114">
        <f>P631*R631</f>
        <v>0</v>
      </c>
      <c r="T631" s="114">
        <f>P631-S631</f>
        <v>100</v>
      </c>
      <c r="U631" s="114">
        <f>Q631+((S631*Q631)/P631)</f>
        <v>2099.0723984875517</v>
      </c>
      <c r="W631" s="113" t="s">
        <v>336</v>
      </c>
      <c r="X631" s="113" t="s">
        <v>174</v>
      </c>
      <c r="Y631" s="113" t="s">
        <v>248</v>
      </c>
      <c r="Z631" s="113" t="s">
        <v>176</v>
      </c>
      <c r="AA631" s="113" t="s">
        <v>337</v>
      </c>
      <c r="AB631" s="113" t="s">
        <v>1641</v>
      </c>
      <c r="AC631" s="113" t="s">
        <v>1642</v>
      </c>
      <c r="AD631" s="113" t="s">
        <v>1643</v>
      </c>
      <c r="AE631" s="113" t="s">
        <v>1644</v>
      </c>
    </row>
    <row r="632" spans="3:31" s="29" customFormat="1" x14ac:dyDescent="0.25">
      <c r="C632" s="990"/>
      <c r="D632" s="990"/>
      <c r="E632" s="990"/>
      <c r="F632" s="991"/>
      <c r="G632" s="991"/>
      <c r="H632" s="991"/>
      <c r="I632" s="991"/>
      <c r="J632" s="991"/>
      <c r="M632" s="114" t="s">
        <v>340</v>
      </c>
      <c r="N632" s="114">
        <f>Y20</f>
        <v>0.64</v>
      </c>
      <c r="O632" s="114" t="str">
        <f>X20</f>
        <v>g</v>
      </c>
      <c r="P632" s="114">
        <v>2</v>
      </c>
      <c r="Q632" s="114">
        <f t="shared" ref="Q632:Q637" si="137">N632*P632</f>
        <v>1.28</v>
      </c>
      <c r="R632" s="114">
        <v>0</v>
      </c>
      <c r="S632" s="114">
        <f t="shared" ref="S632:S638" si="138">P632*R632</f>
        <v>0</v>
      </c>
      <c r="T632" s="114">
        <f t="shared" ref="T632:T638" si="139">P632-S632</f>
        <v>2</v>
      </c>
      <c r="U632" s="114">
        <f t="shared" ref="U632:U638" si="140">Q632+((S632*Q632)/P632)</f>
        <v>1.28</v>
      </c>
      <c r="W632" s="114" t="s">
        <v>462</v>
      </c>
      <c r="X632" s="114">
        <f>V12</f>
        <v>25.98</v>
      </c>
      <c r="Y632" s="114" t="str">
        <f>U12</f>
        <v>g</v>
      </c>
      <c r="Z632" s="114">
        <v>15</v>
      </c>
      <c r="AA632" s="114">
        <f>X632*Z632</f>
        <v>389.7</v>
      </c>
      <c r="AB632" s="114">
        <v>0</v>
      </c>
      <c r="AC632" s="114">
        <f>Z632*AB632</f>
        <v>0</v>
      </c>
      <c r="AD632" s="114">
        <f>Z632-AC632</f>
        <v>15</v>
      </c>
      <c r="AE632" s="114">
        <f>AA632+((AC632*AA632)/Z632)</f>
        <v>389.7</v>
      </c>
    </row>
    <row r="633" spans="3:31" s="29" customFormat="1" x14ac:dyDescent="0.25">
      <c r="C633" s="989" t="s">
        <v>0</v>
      </c>
      <c r="D633" s="989"/>
      <c r="E633" s="989"/>
      <c r="F633" s="989" t="s">
        <v>1</v>
      </c>
      <c r="G633" s="989"/>
      <c r="H633" s="989"/>
      <c r="I633" s="989"/>
      <c r="J633" s="989"/>
      <c r="M633" s="114" t="s">
        <v>346</v>
      </c>
      <c r="N633" s="114">
        <f>P3</f>
        <v>7</v>
      </c>
      <c r="O633" s="114" t="str">
        <f>O3</f>
        <v>g</v>
      </c>
      <c r="P633" s="114">
        <v>4</v>
      </c>
      <c r="Q633" s="114">
        <f t="shared" si="137"/>
        <v>28</v>
      </c>
      <c r="R633" s="114">
        <f>AJ2</f>
        <v>0.23</v>
      </c>
      <c r="S633" s="114">
        <f t="shared" si="138"/>
        <v>0.92</v>
      </c>
      <c r="T633" s="114">
        <f t="shared" si="139"/>
        <v>3.08</v>
      </c>
      <c r="U633" s="114">
        <f t="shared" si="140"/>
        <v>34.44</v>
      </c>
      <c r="W633" s="114" t="s">
        <v>576</v>
      </c>
      <c r="X633" s="114">
        <f>V9</f>
        <v>19.36</v>
      </c>
      <c r="Y633" s="114" t="str">
        <f>U9</f>
        <v>g</v>
      </c>
      <c r="Z633" s="114">
        <v>15</v>
      </c>
      <c r="AA633" s="114">
        <f t="shared" ref="AA633:AA639" si="141">X633*Z633</f>
        <v>290.39999999999998</v>
      </c>
      <c r="AB633" s="114">
        <v>0</v>
      </c>
      <c r="AC633" s="114">
        <f t="shared" ref="AC633:AC640" si="142">Z633*AB633</f>
        <v>0</v>
      </c>
      <c r="AD633" s="114">
        <f t="shared" ref="AD633:AD640" si="143">Z633-AC633</f>
        <v>15</v>
      </c>
      <c r="AE633" s="114">
        <f t="shared" ref="AE633:AE640" si="144">AA633+((AC633*AA633)/Z633)</f>
        <v>290.39999999999998</v>
      </c>
    </row>
    <row r="634" spans="3:31" s="29" customFormat="1" x14ac:dyDescent="0.25">
      <c r="C634" s="990" t="s">
        <v>3</v>
      </c>
      <c r="D634" s="990"/>
      <c r="E634" s="990"/>
      <c r="F634" s="991" t="s">
        <v>66</v>
      </c>
      <c r="G634" s="991"/>
      <c r="H634" s="991"/>
      <c r="I634" s="991"/>
      <c r="J634" s="991"/>
      <c r="M634" s="114" t="s">
        <v>347</v>
      </c>
      <c r="N634" s="114">
        <f>V6</f>
        <v>28.76</v>
      </c>
      <c r="O634" s="114" t="str">
        <f>U6</f>
        <v>g</v>
      </c>
      <c r="P634" s="114">
        <v>30</v>
      </c>
      <c r="Q634" s="114">
        <f t="shared" si="137"/>
        <v>862.80000000000007</v>
      </c>
      <c r="R634" s="114">
        <v>0</v>
      </c>
      <c r="S634" s="114">
        <f t="shared" si="138"/>
        <v>0</v>
      </c>
      <c r="T634" s="114">
        <f t="shared" si="139"/>
        <v>30</v>
      </c>
      <c r="U634" s="114">
        <f t="shared" si="140"/>
        <v>862.80000000000007</v>
      </c>
      <c r="W634" s="114" t="s">
        <v>547</v>
      </c>
      <c r="X634" s="114">
        <f>V13</f>
        <v>81.900000000000006</v>
      </c>
      <c r="Y634" s="114" t="str">
        <f>U13</f>
        <v>g</v>
      </c>
      <c r="Z634" s="114">
        <v>15</v>
      </c>
      <c r="AA634" s="114">
        <f t="shared" si="141"/>
        <v>1228.5</v>
      </c>
      <c r="AB634" s="114">
        <v>0</v>
      </c>
      <c r="AC634" s="114">
        <f t="shared" si="142"/>
        <v>0</v>
      </c>
      <c r="AD634" s="114">
        <f t="shared" si="143"/>
        <v>15</v>
      </c>
      <c r="AE634" s="114">
        <f t="shared" si="144"/>
        <v>1228.5</v>
      </c>
    </row>
    <row r="635" spans="3:31" s="29" customFormat="1" x14ac:dyDescent="0.25">
      <c r="C635" s="990"/>
      <c r="D635" s="990"/>
      <c r="E635" s="990"/>
      <c r="F635" s="991"/>
      <c r="G635" s="991"/>
      <c r="H635" s="991"/>
      <c r="I635" s="991"/>
      <c r="J635" s="991"/>
      <c r="M635" s="114" t="s">
        <v>454</v>
      </c>
      <c r="N635" s="114">
        <f>P14</f>
        <v>18.86</v>
      </c>
      <c r="O635" s="114" t="str">
        <f>O14</f>
        <v>g</v>
      </c>
      <c r="P635" s="114">
        <v>40</v>
      </c>
      <c r="Q635" s="114">
        <f t="shared" si="137"/>
        <v>754.4</v>
      </c>
      <c r="R635" s="114">
        <v>0</v>
      </c>
      <c r="S635" s="114">
        <f t="shared" si="138"/>
        <v>0</v>
      </c>
      <c r="T635" s="114">
        <f t="shared" si="139"/>
        <v>40</v>
      </c>
      <c r="U635" s="114">
        <f t="shared" si="140"/>
        <v>754.4</v>
      </c>
      <c r="W635" s="114" t="s">
        <v>348</v>
      </c>
      <c r="X635" s="114">
        <f>V2</f>
        <v>13.11</v>
      </c>
      <c r="Y635" s="114" t="str">
        <f>U2</f>
        <v>g</v>
      </c>
      <c r="Z635" s="114">
        <v>50</v>
      </c>
      <c r="AA635" s="114">
        <f t="shared" si="141"/>
        <v>655.5</v>
      </c>
      <c r="AB635" s="114">
        <v>0</v>
      </c>
      <c r="AC635" s="114">
        <f t="shared" si="142"/>
        <v>0</v>
      </c>
      <c r="AD635" s="114">
        <f t="shared" si="143"/>
        <v>50</v>
      </c>
      <c r="AE635" s="114">
        <f t="shared" si="144"/>
        <v>655.5</v>
      </c>
    </row>
    <row r="636" spans="3:31" s="29" customFormat="1" x14ac:dyDescent="0.25">
      <c r="C636" s="990"/>
      <c r="D636" s="990"/>
      <c r="E636" s="990"/>
      <c r="F636" s="991"/>
      <c r="G636" s="991"/>
      <c r="H636" s="991"/>
      <c r="I636" s="991"/>
      <c r="J636" s="991"/>
      <c r="M636" s="114" t="s">
        <v>349</v>
      </c>
      <c r="N636" s="114">
        <f>S15</f>
        <v>41</v>
      </c>
      <c r="O636" s="114" t="str">
        <f>R15</f>
        <v>g</v>
      </c>
      <c r="P636" s="114">
        <v>50</v>
      </c>
      <c r="Q636" s="114">
        <f t="shared" si="137"/>
        <v>2050</v>
      </c>
      <c r="R636" s="114">
        <f>AN3</f>
        <v>0.47</v>
      </c>
      <c r="S636" s="114">
        <f t="shared" si="138"/>
        <v>23.5</v>
      </c>
      <c r="T636" s="114">
        <f t="shared" si="139"/>
        <v>26.5</v>
      </c>
      <c r="U636" s="114">
        <f t="shared" si="140"/>
        <v>3013.5</v>
      </c>
      <c r="W636" s="114" t="s">
        <v>346</v>
      </c>
      <c r="X636" s="114">
        <f>P3</f>
        <v>7</v>
      </c>
      <c r="Y636" s="114" t="str">
        <f>O3</f>
        <v>g</v>
      </c>
      <c r="Z636" s="114">
        <v>4</v>
      </c>
      <c r="AA636" s="114">
        <f t="shared" si="141"/>
        <v>28</v>
      </c>
      <c r="AB636" s="114">
        <f>AJ2</f>
        <v>0.23</v>
      </c>
      <c r="AC636" s="114">
        <f t="shared" si="142"/>
        <v>0.92</v>
      </c>
      <c r="AD636" s="114">
        <f t="shared" si="143"/>
        <v>3.08</v>
      </c>
      <c r="AE636" s="114">
        <f t="shared" si="144"/>
        <v>34.44</v>
      </c>
    </row>
    <row r="637" spans="3:31" s="29" customFormat="1" x14ac:dyDescent="0.25">
      <c r="C637" s="990" t="s">
        <v>4</v>
      </c>
      <c r="D637" s="990"/>
      <c r="E637" s="990"/>
      <c r="F637" s="991" t="s">
        <v>15</v>
      </c>
      <c r="G637" s="991"/>
      <c r="H637" s="991"/>
      <c r="I637" s="991"/>
      <c r="J637" s="991"/>
      <c r="M637" s="114" t="s">
        <v>345</v>
      </c>
      <c r="N637" s="114">
        <f>P23</f>
        <v>1.6</v>
      </c>
      <c r="O637" s="114" t="str">
        <f>O23</f>
        <v>g</v>
      </c>
      <c r="P637" s="114">
        <v>20</v>
      </c>
      <c r="Q637" s="114">
        <f t="shared" si="137"/>
        <v>32</v>
      </c>
      <c r="R637" s="114">
        <v>0</v>
      </c>
      <c r="S637" s="114">
        <f t="shared" si="138"/>
        <v>0</v>
      </c>
      <c r="T637" s="114">
        <f t="shared" si="139"/>
        <v>20</v>
      </c>
      <c r="U637" s="114">
        <f t="shared" si="140"/>
        <v>32</v>
      </c>
      <c r="W637" s="114" t="s">
        <v>493</v>
      </c>
      <c r="X637" s="114">
        <f>P10</f>
        <v>0.7</v>
      </c>
      <c r="Y637" s="114" t="str">
        <f>O10</f>
        <v>g</v>
      </c>
      <c r="Z637" s="114">
        <v>15</v>
      </c>
      <c r="AA637" s="114">
        <f t="shared" si="141"/>
        <v>10.5</v>
      </c>
      <c r="AB637" s="114">
        <f>AJ7</f>
        <v>0.15</v>
      </c>
      <c r="AC637" s="114">
        <f t="shared" si="142"/>
        <v>2.25</v>
      </c>
      <c r="AD637" s="114">
        <f t="shared" si="143"/>
        <v>12.75</v>
      </c>
      <c r="AE637" s="114">
        <f t="shared" si="144"/>
        <v>12.074999999999999</v>
      </c>
    </row>
    <row r="638" spans="3:31" s="29" customFormat="1" x14ac:dyDescent="0.25">
      <c r="C638" s="990"/>
      <c r="D638" s="990"/>
      <c r="E638" s="990"/>
      <c r="F638" s="991"/>
      <c r="G638" s="991"/>
      <c r="H638" s="991"/>
      <c r="I638" s="991"/>
      <c r="J638" s="991"/>
      <c r="M638" s="114" t="s">
        <v>588</v>
      </c>
      <c r="N638" s="114">
        <f>AE641</f>
        <v>3567.1349999999993</v>
      </c>
      <c r="O638" s="114" t="s">
        <v>1388</v>
      </c>
      <c r="P638" s="114">
        <v>120</v>
      </c>
      <c r="Q638" s="114">
        <f>N638</f>
        <v>3567.1349999999993</v>
      </c>
      <c r="R638" s="114">
        <v>0</v>
      </c>
      <c r="S638" s="114">
        <f t="shared" si="138"/>
        <v>0</v>
      </c>
      <c r="T638" s="114">
        <f t="shared" si="139"/>
        <v>120</v>
      </c>
      <c r="U638" s="114">
        <f t="shared" si="140"/>
        <v>3567.1349999999993</v>
      </c>
      <c r="W638" s="114" t="s">
        <v>354</v>
      </c>
      <c r="X638" s="114">
        <f>V4</f>
        <v>3.08</v>
      </c>
      <c r="Y638" s="114" t="str">
        <f>U4</f>
        <v>mL</v>
      </c>
      <c r="Z638" s="114">
        <v>20</v>
      </c>
      <c r="AA638" s="114">
        <f t="shared" si="141"/>
        <v>61.6</v>
      </c>
      <c r="AB638" s="114">
        <v>0</v>
      </c>
      <c r="AC638" s="114">
        <f t="shared" si="142"/>
        <v>0</v>
      </c>
      <c r="AD638" s="114">
        <f t="shared" si="143"/>
        <v>20</v>
      </c>
      <c r="AE638" s="114">
        <f t="shared" si="144"/>
        <v>61.6</v>
      </c>
    </row>
    <row r="639" spans="3:31" s="29" customFormat="1" x14ac:dyDescent="0.25">
      <c r="C639" s="990"/>
      <c r="D639" s="990"/>
      <c r="E639" s="990"/>
      <c r="F639" s="991"/>
      <c r="G639" s="991"/>
      <c r="H639" s="991"/>
      <c r="I639" s="991"/>
      <c r="J639" s="991"/>
      <c r="M639" s="114"/>
      <c r="N639" s="114"/>
      <c r="O639" s="114"/>
      <c r="P639" s="114"/>
      <c r="Q639" s="114"/>
      <c r="R639" s="114"/>
      <c r="S639" s="114"/>
      <c r="T639" s="114"/>
      <c r="U639" s="114"/>
      <c r="W639" s="114" t="s">
        <v>340</v>
      </c>
      <c r="X639" s="114">
        <f>Y20</f>
        <v>0.64</v>
      </c>
      <c r="Y639" s="114" t="str">
        <f>X20</f>
        <v>g</v>
      </c>
      <c r="Z639" s="114">
        <v>1</v>
      </c>
      <c r="AA639" s="114">
        <f t="shared" si="141"/>
        <v>0.64</v>
      </c>
      <c r="AB639" s="114">
        <v>0</v>
      </c>
      <c r="AC639" s="114">
        <f t="shared" si="142"/>
        <v>0</v>
      </c>
      <c r="AD639" s="114">
        <f t="shared" si="143"/>
        <v>1</v>
      </c>
      <c r="AE639" s="114">
        <f t="shared" si="144"/>
        <v>0.64</v>
      </c>
    </row>
    <row r="640" spans="3:31" s="29" customFormat="1" x14ac:dyDescent="0.25">
      <c r="C640" s="990" t="s">
        <v>5</v>
      </c>
      <c r="D640" s="990"/>
      <c r="E640" s="990"/>
      <c r="F640" s="991" t="s">
        <v>67</v>
      </c>
      <c r="G640" s="991"/>
      <c r="H640" s="991"/>
      <c r="I640" s="991"/>
      <c r="J640" s="991"/>
      <c r="M640" s="114"/>
      <c r="N640" s="114"/>
      <c r="O640" s="114"/>
      <c r="P640" s="114"/>
      <c r="Q640" s="114"/>
      <c r="R640" s="114"/>
      <c r="S640" s="114"/>
      <c r="T640" s="114"/>
      <c r="U640" s="114"/>
      <c r="W640" s="114" t="s">
        <v>433</v>
      </c>
      <c r="X640" s="114">
        <f>Y18</f>
        <v>223.57</v>
      </c>
      <c r="Y640" s="114" t="str">
        <f>X18</f>
        <v>g</v>
      </c>
      <c r="Z640" s="114">
        <v>4</v>
      </c>
      <c r="AA640" s="114">
        <f>X640*Z640</f>
        <v>894.28</v>
      </c>
      <c r="AB640" s="114">
        <v>0</v>
      </c>
      <c r="AC640" s="114">
        <f t="shared" si="142"/>
        <v>0</v>
      </c>
      <c r="AD640" s="114">
        <f t="shared" si="143"/>
        <v>4</v>
      </c>
      <c r="AE640" s="114">
        <f t="shared" si="144"/>
        <v>894.28</v>
      </c>
    </row>
    <row r="641" spans="3:31" s="29" customFormat="1" x14ac:dyDescent="0.25">
      <c r="C641" s="990"/>
      <c r="D641" s="990"/>
      <c r="E641" s="990"/>
      <c r="F641" s="991"/>
      <c r="G641" s="991"/>
      <c r="H641" s="991"/>
      <c r="I641" s="991"/>
      <c r="J641" s="991"/>
      <c r="M641" s="114"/>
      <c r="N641" s="114"/>
      <c r="O641" s="114"/>
      <c r="P641" s="114"/>
      <c r="Q641" s="114"/>
      <c r="R641" s="114"/>
      <c r="S641" s="114"/>
      <c r="T641" s="114"/>
      <c r="U641" s="114"/>
      <c r="W641" s="114" t="s">
        <v>337</v>
      </c>
      <c r="X641" s="114">
        <f>SUM(X632:X640)</f>
        <v>375.34000000000003</v>
      </c>
      <c r="Y641" s="114"/>
      <c r="Z641" s="114">
        <f>SUM(Z632:Z640)</f>
        <v>139</v>
      </c>
      <c r="AA641" s="114">
        <f>SUM(AA632:AA640)</f>
        <v>3559.12</v>
      </c>
      <c r="AB641" s="114"/>
      <c r="AC641" s="114"/>
      <c r="AD641" s="114"/>
      <c r="AE641" s="114">
        <f>SUM(AE632:AE640)</f>
        <v>3567.1349999999993</v>
      </c>
    </row>
    <row r="642" spans="3:31" s="29" customFormat="1" x14ac:dyDescent="0.25">
      <c r="C642" s="990"/>
      <c r="D642" s="990"/>
      <c r="E642" s="990"/>
      <c r="F642" s="991"/>
      <c r="G642" s="991"/>
      <c r="H642" s="991"/>
      <c r="I642" s="991"/>
      <c r="J642" s="991"/>
      <c r="M642" s="114" t="s">
        <v>337</v>
      </c>
      <c r="N642" s="114">
        <f>SUM(N631:N641)</f>
        <v>5764.0673984875511</v>
      </c>
      <c r="O642" s="114"/>
      <c r="P642" s="114">
        <f>SUM(P631:P641)</f>
        <v>366</v>
      </c>
      <c r="Q642" s="114">
        <f>SUM(Q631:Q641)</f>
        <v>9394.6873984875529</v>
      </c>
      <c r="R642" s="114">
        <v>0</v>
      </c>
      <c r="S642" s="114">
        <f>P639*R642</f>
        <v>0</v>
      </c>
      <c r="T642" s="114">
        <f>P639-S642</f>
        <v>0</v>
      </c>
      <c r="U642" s="114">
        <f>SUM(U631:U641)</f>
        <v>10364.627398487552</v>
      </c>
      <c r="W642" s="29" t="s">
        <v>607</v>
      </c>
    </row>
    <row r="643" spans="3:31" s="29" customFormat="1" x14ac:dyDescent="0.25">
      <c r="C643" s="990" t="s">
        <v>6</v>
      </c>
      <c r="D643" s="990"/>
      <c r="E643" s="990"/>
      <c r="F643" s="991" t="s">
        <v>9</v>
      </c>
      <c r="G643" s="991"/>
      <c r="H643" s="991"/>
      <c r="I643" s="991"/>
      <c r="J643" s="991"/>
      <c r="AA643" s="114" t="s">
        <v>1681</v>
      </c>
      <c r="AB643" s="114">
        <f>AE641</f>
        <v>3567.1349999999993</v>
      </c>
      <c r="AC643" s="608" t="s">
        <v>2142</v>
      </c>
      <c r="AD643" s="608">
        <f>(AB643*100)/AB650</f>
        <v>36.79538746521996</v>
      </c>
    </row>
    <row r="644" spans="3:31" s="29" customFormat="1" x14ac:dyDescent="0.25">
      <c r="C644" s="990"/>
      <c r="D644" s="990"/>
      <c r="E644" s="990"/>
      <c r="F644" s="991"/>
      <c r="G644" s="991"/>
      <c r="H644" s="991"/>
      <c r="I644" s="991"/>
      <c r="J644" s="991"/>
      <c r="Q644" s="114" t="s">
        <v>1681</v>
      </c>
      <c r="R644" s="114">
        <f>U642</f>
        <v>10364.627398487552</v>
      </c>
      <c r="S644" s="608" t="s">
        <v>2142</v>
      </c>
      <c r="T644" s="608">
        <f>(R644*100)/R651</f>
        <v>48.719123471703618</v>
      </c>
      <c r="AA644" s="114" t="s">
        <v>2326</v>
      </c>
      <c r="AB644" s="114">
        <f>$AO$26/2</f>
        <v>476.87414947063905</v>
      </c>
    </row>
    <row r="645" spans="3:31" s="29" customFormat="1" x14ac:dyDescent="0.25">
      <c r="C645" s="990"/>
      <c r="D645" s="990"/>
      <c r="E645" s="990"/>
      <c r="F645" s="991"/>
      <c r="G645" s="991"/>
      <c r="H645" s="991"/>
      <c r="I645" s="991"/>
      <c r="J645" s="991"/>
      <c r="Q645" s="114" t="s">
        <v>2326</v>
      </c>
      <c r="R645" s="114">
        <f>$AL$26</f>
        <v>1801.715474357886</v>
      </c>
      <c r="AA645" s="114" t="s">
        <v>2325</v>
      </c>
      <c r="AB645" s="114">
        <f>$AO$27/4</f>
        <v>18.899999999999999</v>
      </c>
    </row>
    <row r="646" spans="3:31" s="29" customFormat="1" x14ac:dyDescent="0.25">
      <c r="C646" s="990" t="s">
        <v>7</v>
      </c>
      <c r="D646" s="990"/>
      <c r="E646" s="990"/>
      <c r="F646" s="991" t="s">
        <v>589</v>
      </c>
      <c r="G646" s="991"/>
      <c r="H646" s="991"/>
      <c r="I646" s="991"/>
      <c r="J646" s="991"/>
      <c r="Q646" s="114" t="s">
        <v>2325</v>
      </c>
      <c r="R646" s="114">
        <f>$AL$27</f>
        <v>75.599999999999994</v>
      </c>
      <c r="AA646" s="114" t="s">
        <v>1684</v>
      </c>
      <c r="AB646" s="114">
        <f>$AO$29</f>
        <v>1547.3435977313275</v>
      </c>
    </row>
    <row r="647" spans="3:31" s="29" customFormat="1" x14ac:dyDescent="0.25">
      <c r="C647" s="990"/>
      <c r="D647" s="990"/>
      <c r="E647" s="990"/>
      <c r="F647" s="991"/>
      <c r="G647" s="991"/>
      <c r="H647" s="991"/>
      <c r="I647" s="991"/>
      <c r="J647" s="991"/>
      <c r="Q647" s="114" t="s">
        <v>1684</v>
      </c>
      <c r="R647" s="114">
        <f>$AL$29</f>
        <v>69.543532482306858</v>
      </c>
      <c r="AA647" s="114" t="s">
        <v>1685</v>
      </c>
      <c r="AB647" s="114">
        <v>0.6</v>
      </c>
    </row>
    <row r="648" spans="3:31" s="29" customFormat="1" x14ac:dyDescent="0.25">
      <c r="C648" s="990"/>
      <c r="D648" s="990"/>
      <c r="E648" s="990"/>
      <c r="F648" s="991"/>
      <c r="G648" s="991"/>
      <c r="H648" s="991"/>
      <c r="I648" s="991"/>
      <c r="J648" s="991"/>
      <c r="Q648" s="114" t="s">
        <v>1685</v>
      </c>
      <c r="R648" s="114">
        <v>0.6</v>
      </c>
      <c r="AA648" s="114" t="s">
        <v>1708</v>
      </c>
      <c r="AB648" s="114">
        <f>(SUM(AB643:AB646)*AB647)+SUM(AB643:AB646)</f>
        <v>8976.4043955231464</v>
      </c>
    </row>
    <row r="649" spans="3:31" s="29" customFormat="1" x14ac:dyDescent="0.25">
      <c r="Q649" s="114" t="s">
        <v>1708</v>
      </c>
      <c r="R649" s="114">
        <f>(SUM(R644:R647)*R648)+SUM(R644:R647)</f>
        <v>19698.378248524394</v>
      </c>
      <c r="AA649" s="114" t="s">
        <v>2130</v>
      </c>
      <c r="AB649" s="114">
        <f>AB648*0.08</f>
        <v>718.11235164185177</v>
      </c>
    </row>
    <row r="650" spans="3:31" s="29" customFormat="1" x14ac:dyDescent="0.25">
      <c r="Q650" s="114" t="s">
        <v>2130</v>
      </c>
      <c r="R650" s="114">
        <f>R649*0.08</f>
        <v>1575.8702598819516</v>
      </c>
      <c r="AA650" s="114" t="s">
        <v>1686</v>
      </c>
      <c r="AB650" s="114">
        <f>SUM(AB648+AB649)</f>
        <v>9694.5167471649984</v>
      </c>
    </row>
    <row r="651" spans="3:31" s="29" customFormat="1" x14ac:dyDescent="0.25">
      <c r="Q651" s="114" t="s">
        <v>1686</v>
      </c>
      <c r="R651" s="114">
        <f>SUM(R649+R650)</f>
        <v>21274.248508406345</v>
      </c>
    </row>
    <row r="652" spans="3:31" s="29" customFormat="1" x14ac:dyDescent="0.25">
      <c r="T652" s="30"/>
      <c r="U652" s="30"/>
      <c r="V652" s="30"/>
      <c r="W652" s="30"/>
      <c r="X652" s="30"/>
    </row>
    <row r="653" spans="3:31" s="29" customFormat="1" x14ac:dyDescent="0.25">
      <c r="C653" s="993" t="s">
        <v>8</v>
      </c>
      <c r="D653" s="993"/>
      <c r="E653" s="993"/>
      <c r="F653" s="993"/>
      <c r="G653" s="993"/>
      <c r="H653" s="993"/>
      <c r="I653" s="993"/>
      <c r="J653" s="993"/>
      <c r="T653" s="30"/>
      <c r="U653" s="30"/>
      <c r="V653" s="30"/>
      <c r="W653" s="30"/>
      <c r="X653" s="30"/>
    </row>
    <row r="654" spans="3:31" s="29" customFormat="1" x14ac:dyDescent="0.25">
      <c r="C654" s="989" t="s">
        <v>0</v>
      </c>
      <c r="D654" s="989"/>
      <c r="E654" s="989"/>
      <c r="F654" s="989" t="s">
        <v>1</v>
      </c>
      <c r="G654" s="989"/>
      <c r="H654" s="989"/>
      <c r="I654" s="989"/>
      <c r="J654" s="989"/>
      <c r="T654" s="30"/>
      <c r="U654" s="30"/>
      <c r="V654" s="30"/>
      <c r="W654" s="30"/>
      <c r="X654" s="30"/>
    </row>
    <row r="655" spans="3:31" s="29" customFormat="1" x14ac:dyDescent="0.25">
      <c r="C655" s="990" t="s">
        <v>2</v>
      </c>
      <c r="D655" s="990"/>
      <c r="E655" s="990"/>
      <c r="F655" s="991" t="s">
        <v>68</v>
      </c>
      <c r="G655" s="991"/>
      <c r="H655" s="991"/>
      <c r="I655" s="991"/>
      <c r="J655" s="991"/>
      <c r="M655" s="113" t="s">
        <v>336</v>
      </c>
      <c r="N655" s="113" t="s">
        <v>174</v>
      </c>
      <c r="O655" s="113" t="s">
        <v>248</v>
      </c>
      <c r="P655" s="113" t="s">
        <v>176</v>
      </c>
      <c r="Q655" s="113" t="s">
        <v>337</v>
      </c>
      <c r="R655" s="113" t="s">
        <v>1641</v>
      </c>
      <c r="S655" s="113" t="s">
        <v>1642</v>
      </c>
      <c r="T655" s="113" t="s">
        <v>1643</v>
      </c>
      <c r="U655" s="113" t="s">
        <v>1644</v>
      </c>
      <c r="V655" s="103"/>
      <c r="W655" s="103"/>
      <c r="X655" s="103"/>
    </row>
    <row r="656" spans="3:31" s="29" customFormat="1" x14ac:dyDescent="0.25">
      <c r="C656" s="990"/>
      <c r="D656" s="990"/>
      <c r="E656" s="990"/>
      <c r="F656" s="991"/>
      <c r="G656" s="991"/>
      <c r="H656" s="991"/>
      <c r="I656" s="991"/>
      <c r="J656" s="991"/>
      <c r="M656" s="114" t="s">
        <v>344</v>
      </c>
      <c r="N656" s="114">
        <f>E13</f>
        <v>2099.0723984875517</v>
      </c>
      <c r="O656" s="114" t="str">
        <f>D13</f>
        <v>g</v>
      </c>
      <c r="P656" s="114">
        <v>100</v>
      </c>
      <c r="Q656" s="114">
        <f>N656</f>
        <v>2099.0723984875517</v>
      </c>
      <c r="R656" s="114">
        <v>0</v>
      </c>
      <c r="S656" s="114">
        <f>P656*R656</f>
        <v>0</v>
      </c>
      <c r="T656" s="114">
        <f>P656-S656</f>
        <v>100</v>
      </c>
      <c r="U656" s="114">
        <f>Q656+((S656*Q656)/P656)</f>
        <v>2099.0723984875517</v>
      </c>
      <c r="V656" s="104"/>
      <c r="W656" s="104"/>
      <c r="X656" s="104"/>
    </row>
    <row r="657" spans="3:24" s="29" customFormat="1" x14ac:dyDescent="0.25">
      <c r="C657" s="990"/>
      <c r="D657" s="990"/>
      <c r="E657" s="990"/>
      <c r="F657" s="991"/>
      <c r="G657" s="991"/>
      <c r="H657" s="991"/>
      <c r="I657" s="991"/>
      <c r="J657" s="991"/>
      <c r="M657" s="114" t="s">
        <v>340</v>
      </c>
      <c r="N657" s="114">
        <f>Y20</f>
        <v>0.64</v>
      </c>
      <c r="O657" s="114" t="str">
        <f>X20</f>
        <v>g</v>
      </c>
      <c r="P657" s="114">
        <v>2</v>
      </c>
      <c r="Q657" s="114">
        <f t="shared" ref="Q657:Q663" si="145">N657*P657</f>
        <v>1.28</v>
      </c>
      <c r="R657" s="114">
        <v>0</v>
      </c>
      <c r="S657" s="114">
        <f t="shared" ref="S657:S663" si="146">P657*R657</f>
        <v>0</v>
      </c>
      <c r="T657" s="114">
        <f t="shared" ref="T657:T663" si="147">P657-S657</f>
        <v>2</v>
      </c>
      <c r="U657" s="114">
        <f t="shared" ref="U657:U663" si="148">Q657+((S657*Q657)/P657)</f>
        <v>1.28</v>
      </c>
      <c r="V657" s="30"/>
      <c r="W657" s="30"/>
      <c r="X657" s="30"/>
    </row>
    <row r="658" spans="3:24" s="29" customFormat="1" x14ac:dyDescent="0.25">
      <c r="C658" s="989" t="s">
        <v>0</v>
      </c>
      <c r="D658" s="989"/>
      <c r="E658" s="989"/>
      <c r="F658" s="989" t="s">
        <v>1</v>
      </c>
      <c r="G658" s="989"/>
      <c r="H658" s="989"/>
      <c r="I658" s="989"/>
      <c r="J658" s="989"/>
      <c r="M658" s="114" t="s">
        <v>346</v>
      </c>
      <c r="N658" s="114">
        <f>P3</f>
        <v>7</v>
      </c>
      <c r="O658" s="114" t="str">
        <f>O3</f>
        <v>g</v>
      </c>
      <c r="P658" s="114">
        <v>4</v>
      </c>
      <c r="Q658" s="114">
        <f t="shared" si="145"/>
        <v>28</v>
      </c>
      <c r="R658" s="114">
        <f>AJ2</f>
        <v>0.23</v>
      </c>
      <c r="S658" s="114">
        <f t="shared" si="146"/>
        <v>0.92</v>
      </c>
      <c r="T658" s="114">
        <f t="shared" si="147"/>
        <v>3.08</v>
      </c>
      <c r="U658" s="114">
        <f t="shared" si="148"/>
        <v>34.44</v>
      </c>
      <c r="V658" s="30"/>
      <c r="W658" s="30"/>
      <c r="X658" s="30"/>
    </row>
    <row r="659" spans="3:24" s="29" customFormat="1" x14ac:dyDescent="0.25">
      <c r="C659" s="990" t="s">
        <v>3</v>
      </c>
      <c r="D659" s="990"/>
      <c r="E659" s="990"/>
      <c r="F659" s="992" t="s">
        <v>69</v>
      </c>
      <c r="G659" s="991"/>
      <c r="H659" s="991"/>
      <c r="I659" s="991"/>
      <c r="J659" s="991"/>
      <c r="M659" s="114" t="s">
        <v>347</v>
      </c>
      <c r="N659" s="114">
        <f>V6</f>
        <v>28.76</v>
      </c>
      <c r="O659" s="114" t="str">
        <f>U6</f>
        <v>g</v>
      </c>
      <c r="P659" s="114">
        <v>30</v>
      </c>
      <c r="Q659" s="114">
        <f t="shared" si="145"/>
        <v>862.80000000000007</v>
      </c>
      <c r="R659" s="114">
        <v>0</v>
      </c>
      <c r="S659" s="114">
        <f t="shared" si="146"/>
        <v>0</v>
      </c>
      <c r="T659" s="114">
        <f t="shared" si="147"/>
        <v>30</v>
      </c>
      <c r="U659" s="114">
        <f t="shared" si="148"/>
        <v>862.80000000000007</v>
      </c>
      <c r="V659" s="30"/>
      <c r="W659" s="30"/>
      <c r="X659" s="30"/>
    </row>
    <row r="660" spans="3:24" s="29" customFormat="1" x14ac:dyDescent="0.25">
      <c r="C660" s="990"/>
      <c r="D660" s="990"/>
      <c r="E660" s="990"/>
      <c r="F660" s="991"/>
      <c r="G660" s="991"/>
      <c r="H660" s="991"/>
      <c r="I660" s="991"/>
      <c r="J660" s="991"/>
      <c r="M660" s="114" t="s">
        <v>459</v>
      </c>
      <c r="N660" s="114">
        <f>S6</f>
        <v>30</v>
      </c>
      <c r="O660" s="114" t="str">
        <f>R6</f>
        <v>g</v>
      </c>
      <c r="P660" s="114">
        <v>110</v>
      </c>
      <c r="Q660" s="114">
        <f t="shared" si="145"/>
        <v>3300</v>
      </c>
      <c r="R660" s="114">
        <f>AN6</f>
        <v>0</v>
      </c>
      <c r="S660" s="114">
        <f t="shared" si="146"/>
        <v>0</v>
      </c>
      <c r="T660" s="114">
        <f t="shared" si="147"/>
        <v>110</v>
      </c>
      <c r="U660" s="114">
        <f t="shared" si="148"/>
        <v>3300</v>
      </c>
      <c r="V660" s="30"/>
      <c r="W660" s="30"/>
      <c r="X660" s="30"/>
    </row>
    <row r="661" spans="3:24" s="29" customFormat="1" x14ac:dyDescent="0.25">
      <c r="C661" s="990"/>
      <c r="D661" s="990"/>
      <c r="E661" s="990"/>
      <c r="F661" s="991"/>
      <c r="G661" s="991"/>
      <c r="H661" s="991"/>
      <c r="I661" s="991"/>
      <c r="J661" s="991"/>
      <c r="M661" s="114" t="s">
        <v>463</v>
      </c>
      <c r="N661" s="114">
        <f>Y18+Y16</f>
        <v>313.07</v>
      </c>
      <c r="O661" s="114" t="str">
        <f>X16</f>
        <v>g</v>
      </c>
      <c r="P661" s="114">
        <v>30</v>
      </c>
      <c r="Q661" s="114">
        <f t="shared" si="145"/>
        <v>9392.1</v>
      </c>
      <c r="R661" s="114">
        <v>0</v>
      </c>
      <c r="S661" s="114">
        <f t="shared" si="146"/>
        <v>0</v>
      </c>
      <c r="T661" s="114">
        <f t="shared" si="147"/>
        <v>30</v>
      </c>
      <c r="U661" s="114">
        <f t="shared" si="148"/>
        <v>9392.1</v>
      </c>
      <c r="V661" s="30"/>
      <c r="W661" s="30"/>
      <c r="X661" s="30"/>
    </row>
    <row r="662" spans="3:24" s="29" customFormat="1" x14ac:dyDescent="0.25">
      <c r="C662" s="990" t="s">
        <v>4</v>
      </c>
      <c r="D662" s="990"/>
      <c r="E662" s="990"/>
      <c r="F662" s="991" t="s">
        <v>15</v>
      </c>
      <c r="G662" s="991"/>
      <c r="H662" s="991"/>
      <c r="I662" s="991"/>
      <c r="J662" s="991"/>
      <c r="M662" s="114" t="s">
        <v>473</v>
      </c>
      <c r="N662" s="114">
        <f>V2</f>
        <v>13.11</v>
      </c>
      <c r="O662" s="114" t="str">
        <f>U2</f>
        <v>g</v>
      </c>
      <c r="P662" s="114">
        <v>100</v>
      </c>
      <c r="Q662" s="114">
        <f t="shared" si="145"/>
        <v>1311</v>
      </c>
      <c r="R662" s="114">
        <v>0</v>
      </c>
      <c r="S662" s="114">
        <f t="shared" si="146"/>
        <v>0</v>
      </c>
      <c r="T662" s="114">
        <f t="shared" si="147"/>
        <v>100</v>
      </c>
      <c r="U662" s="114">
        <f t="shared" si="148"/>
        <v>1311</v>
      </c>
      <c r="V662" s="30"/>
      <c r="W662" s="30"/>
      <c r="X662" s="30"/>
    </row>
    <row r="663" spans="3:24" s="29" customFormat="1" x14ac:dyDescent="0.25">
      <c r="C663" s="990"/>
      <c r="D663" s="990"/>
      <c r="E663" s="990"/>
      <c r="F663" s="991"/>
      <c r="G663" s="991"/>
      <c r="H663" s="991"/>
      <c r="I663" s="991"/>
      <c r="J663" s="991"/>
      <c r="M663" s="114" t="s">
        <v>345</v>
      </c>
      <c r="N663" s="114">
        <f>P23</f>
        <v>1.6</v>
      </c>
      <c r="O663" s="114" t="str">
        <f>O23</f>
        <v>g</v>
      </c>
      <c r="P663" s="114">
        <v>15</v>
      </c>
      <c r="Q663" s="114">
        <f t="shared" si="145"/>
        <v>24</v>
      </c>
      <c r="R663" s="114">
        <v>0</v>
      </c>
      <c r="S663" s="114">
        <f t="shared" si="146"/>
        <v>0</v>
      </c>
      <c r="T663" s="114">
        <f t="shared" si="147"/>
        <v>15</v>
      </c>
      <c r="U663" s="114">
        <f t="shared" si="148"/>
        <v>24</v>
      </c>
      <c r="V663" s="30"/>
      <c r="W663" s="30"/>
      <c r="X663" s="30"/>
    </row>
    <row r="664" spans="3:24" s="29" customFormat="1" x14ac:dyDescent="0.25">
      <c r="C664" s="990"/>
      <c r="D664" s="990"/>
      <c r="E664" s="990"/>
      <c r="F664" s="991"/>
      <c r="G664" s="991"/>
      <c r="H664" s="991"/>
      <c r="I664" s="991"/>
      <c r="J664" s="991"/>
      <c r="M664" s="114"/>
      <c r="N664" s="114"/>
      <c r="O664" s="114" t="s">
        <v>1388</v>
      </c>
      <c r="P664" s="114"/>
      <c r="Q664" s="114"/>
      <c r="R664" s="114"/>
      <c r="S664" s="114"/>
      <c r="T664" s="114"/>
      <c r="U664" s="114"/>
      <c r="V664" s="30"/>
      <c r="W664" s="30"/>
      <c r="X664" s="30"/>
    </row>
    <row r="665" spans="3:24" s="29" customFormat="1" x14ac:dyDescent="0.25">
      <c r="C665" s="990" t="s">
        <v>5</v>
      </c>
      <c r="D665" s="990"/>
      <c r="E665" s="990"/>
      <c r="F665" s="991" t="s">
        <v>70</v>
      </c>
      <c r="G665" s="991"/>
      <c r="H665" s="991"/>
      <c r="I665" s="991"/>
      <c r="J665" s="991"/>
      <c r="M665" s="114" t="s">
        <v>337</v>
      </c>
      <c r="N665" s="114">
        <f>SUM(N656:N664)</f>
        <v>2493.252398487552</v>
      </c>
      <c r="O665" s="114"/>
      <c r="P665" s="114">
        <f>SUM(P656:P664)</f>
        <v>391</v>
      </c>
      <c r="Q665" s="114">
        <f>SUM(Q656:Q664)</f>
        <v>17018.252398487552</v>
      </c>
      <c r="R665" s="114"/>
      <c r="S665" s="114"/>
      <c r="T665" s="114"/>
      <c r="U665" s="114">
        <f>SUM(U656:U664)</f>
        <v>17024.692398487554</v>
      </c>
      <c r="V665" s="30"/>
      <c r="W665" s="30"/>
      <c r="X665" s="30"/>
    </row>
    <row r="666" spans="3:24" s="29" customFormat="1" x14ac:dyDescent="0.25">
      <c r="C666" s="990"/>
      <c r="D666" s="990"/>
      <c r="E666" s="990"/>
      <c r="F666" s="991"/>
      <c r="G666" s="991"/>
      <c r="H666" s="991"/>
      <c r="I666" s="991"/>
      <c r="J666" s="991"/>
    </row>
    <row r="667" spans="3:24" s="29" customFormat="1" x14ac:dyDescent="0.25">
      <c r="C667" s="990"/>
      <c r="D667" s="990"/>
      <c r="E667" s="990"/>
      <c r="F667" s="991"/>
      <c r="G667" s="991"/>
      <c r="H667" s="991"/>
      <c r="I667" s="991"/>
      <c r="J667" s="991"/>
      <c r="Q667" s="114" t="s">
        <v>1681</v>
      </c>
      <c r="R667" s="114">
        <f>U665</f>
        <v>17024.692398487554</v>
      </c>
      <c r="S667" s="608" t="s">
        <v>2142</v>
      </c>
      <c r="T667" s="608">
        <f>(R667*100)/R674</f>
        <v>51.931717838606737</v>
      </c>
    </row>
    <row r="668" spans="3:24" s="29" customFormat="1" x14ac:dyDescent="0.25">
      <c r="C668" s="990" t="s">
        <v>6</v>
      </c>
      <c r="D668" s="990"/>
      <c r="E668" s="990"/>
      <c r="F668" s="991" t="s">
        <v>311</v>
      </c>
      <c r="G668" s="991"/>
      <c r="H668" s="991"/>
      <c r="I668" s="991"/>
      <c r="J668" s="991"/>
      <c r="Q668" s="114" t="s">
        <v>2326</v>
      </c>
      <c r="R668" s="114">
        <f>$AL$26</f>
        <v>1801.715474357886</v>
      </c>
    </row>
    <row r="669" spans="3:24" s="29" customFormat="1" x14ac:dyDescent="0.25">
      <c r="C669" s="990"/>
      <c r="D669" s="990"/>
      <c r="E669" s="990"/>
      <c r="F669" s="991"/>
      <c r="G669" s="991"/>
      <c r="H669" s="991"/>
      <c r="I669" s="991"/>
      <c r="J669" s="991"/>
      <c r="Q669" s="114" t="s">
        <v>2325</v>
      </c>
      <c r="R669" s="114">
        <f>$AL$27</f>
        <v>75.599999999999994</v>
      </c>
    </row>
    <row r="670" spans="3:24" s="29" customFormat="1" x14ac:dyDescent="0.25">
      <c r="C670" s="990"/>
      <c r="D670" s="990"/>
      <c r="E670" s="990"/>
      <c r="F670" s="991"/>
      <c r="G670" s="991"/>
      <c r="H670" s="991"/>
      <c r="I670" s="991"/>
      <c r="J670" s="991"/>
      <c r="Q670" s="114" t="s">
        <v>1684</v>
      </c>
      <c r="R670" s="114">
        <f>$AL$29</f>
        <v>69.543532482306858</v>
      </c>
    </row>
    <row r="671" spans="3:24" s="29" customFormat="1" x14ac:dyDescent="0.25">
      <c r="C671" s="990" t="s">
        <v>7</v>
      </c>
      <c r="D671" s="990"/>
      <c r="E671" s="990"/>
      <c r="F671" s="991" t="s">
        <v>71</v>
      </c>
      <c r="G671" s="991"/>
      <c r="H671" s="991"/>
      <c r="I671" s="991"/>
      <c r="J671" s="991"/>
      <c r="Q671" s="114" t="s">
        <v>1685</v>
      </c>
      <c r="R671" s="114">
        <v>0.6</v>
      </c>
    </row>
    <row r="672" spans="3:24" s="29" customFormat="1" x14ac:dyDescent="0.25">
      <c r="C672" s="990"/>
      <c r="D672" s="990"/>
      <c r="E672" s="990"/>
      <c r="F672" s="991"/>
      <c r="G672" s="991"/>
      <c r="H672" s="991"/>
      <c r="I672" s="991"/>
      <c r="J672" s="991"/>
      <c r="Q672" s="114" t="s">
        <v>1708</v>
      </c>
      <c r="R672" s="114">
        <f>(SUM(R667:R670)*R671)+SUM(R667:R670)</f>
        <v>30354.482248524393</v>
      </c>
    </row>
    <row r="673" spans="3:31" s="29" customFormat="1" x14ac:dyDescent="0.25">
      <c r="C673" s="990"/>
      <c r="D673" s="990"/>
      <c r="E673" s="990"/>
      <c r="F673" s="991"/>
      <c r="G673" s="991"/>
      <c r="H673" s="991"/>
      <c r="I673" s="991"/>
      <c r="J673" s="991"/>
      <c r="Q673" s="114" t="s">
        <v>2130</v>
      </c>
      <c r="R673" s="114">
        <f>R672*0.08</f>
        <v>2428.3585798819513</v>
      </c>
    </row>
    <row r="674" spans="3:31" s="29" customFormat="1" x14ac:dyDescent="0.25">
      <c r="Q674" s="114" t="s">
        <v>1686</v>
      </c>
      <c r="R674" s="114">
        <f>SUM(R672+R673)</f>
        <v>32782.840828406348</v>
      </c>
    </row>
    <row r="675" spans="3:31" s="29" customFormat="1" x14ac:dyDescent="0.25"/>
    <row r="676" spans="3:31" s="29" customFormat="1" x14ac:dyDescent="0.25">
      <c r="C676" s="993" t="s">
        <v>8</v>
      </c>
      <c r="D676" s="993"/>
      <c r="E676" s="993"/>
      <c r="F676" s="993"/>
      <c r="G676" s="993"/>
      <c r="H676" s="993"/>
      <c r="I676" s="993"/>
      <c r="J676" s="993"/>
    </row>
    <row r="677" spans="3:31" s="29" customFormat="1" x14ac:dyDescent="0.25">
      <c r="C677" s="989" t="s">
        <v>0</v>
      </c>
      <c r="D677" s="989"/>
      <c r="E677" s="989"/>
      <c r="F677" s="989" t="s">
        <v>1</v>
      </c>
      <c r="G677" s="989"/>
      <c r="H677" s="989"/>
      <c r="I677" s="989"/>
      <c r="J677" s="989"/>
    </row>
    <row r="678" spans="3:31" s="29" customFormat="1" x14ac:dyDescent="0.25">
      <c r="C678" s="990" t="s">
        <v>2</v>
      </c>
      <c r="D678" s="990"/>
      <c r="E678" s="990"/>
      <c r="F678" s="991" t="s">
        <v>72</v>
      </c>
      <c r="G678" s="991"/>
      <c r="H678" s="991"/>
      <c r="I678" s="991"/>
      <c r="J678" s="991"/>
      <c r="M678" s="113" t="s">
        <v>336</v>
      </c>
      <c r="N678" s="113" t="s">
        <v>174</v>
      </c>
      <c r="O678" s="113" t="s">
        <v>248</v>
      </c>
      <c r="P678" s="113" t="s">
        <v>176</v>
      </c>
      <c r="Q678" s="113" t="s">
        <v>337</v>
      </c>
      <c r="R678" s="113" t="s">
        <v>1641</v>
      </c>
      <c r="S678" s="113" t="s">
        <v>1642</v>
      </c>
      <c r="T678" s="113" t="s">
        <v>1643</v>
      </c>
      <c r="U678" s="113" t="s">
        <v>1644</v>
      </c>
      <c r="W678" s="988" t="s">
        <v>1462</v>
      </c>
      <c r="X678" s="988"/>
      <c r="Y678" s="988"/>
      <c r="Z678" s="988"/>
      <c r="AA678" s="988"/>
      <c r="AB678" s="988"/>
      <c r="AC678" s="988"/>
      <c r="AD678" s="988"/>
      <c r="AE678" s="988"/>
    </row>
    <row r="679" spans="3:31" s="29" customFormat="1" x14ac:dyDescent="0.25">
      <c r="C679" s="990"/>
      <c r="D679" s="990"/>
      <c r="E679" s="990"/>
      <c r="F679" s="991"/>
      <c r="G679" s="991"/>
      <c r="H679" s="991"/>
      <c r="I679" s="991"/>
      <c r="J679" s="991"/>
      <c r="M679" s="114" t="s">
        <v>344</v>
      </c>
      <c r="N679" s="114">
        <f>E13</f>
        <v>2099.0723984875517</v>
      </c>
      <c r="O679" s="114" t="str">
        <f>D13</f>
        <v>g</v>
      </c>
      <c r="P679" s="114">
        <v>100</v>
      </c>
      <c r="Q679" s="114">
        <f>N679</f>
        <v>2099.0723984875517</v>
      </c>
      <c r="R679" s="114">
        <v>0</v>
      </c>
      <c r="S679" s="114">
        <f>P679*R679</f>
        <v>0</v>
      </c>
      <c r="T679" s="114">
        <f>P679-S679</f>
        <v>100</v>
      </c>
      <c r="U679" s="114">
        <f>Q679+((S679*Q679)/P679)</f>
        <v>2099.0723984875517</v>
      </c>
      <c r="W679" s="113" t="s">
        <v>336</v>
      </c>
      <c r="X679" s="113" t="s">
        <v>174</v>
      </c>
      <c r="Y679" s="113" t="s">
        <v>248</v>
      </c>
      <c r="Z679" s="113" t="s">
        <v>176</v>
      </c>
      <c r="AA679" s="113" t="s">
        <v>337</v>
      </c>
      <c r="AB679" s="113" t="s">
        <v>1641</v>
      </c>
      <c r="AC679" s="113" t="s">
        <v>1642</v>
      </c>
      <c r="AD679" s="113" t="s">
        <v>1643</v>
      </c>
      <c r="AE679" s="113" t="s">
        <v>1644</v>
      </c>
    </row>
    <row r="680" spans="3:31" s="29" customFormat="1" x14ac:dyDescent="0.25">
      <c r="C680" s="990"/>
      <c r="D680" s="990"/>
      <c r="E680" s="990"/>
      <c r="F680" s="991"/>
      <c r="G680" s="991"/>
      <c r="H680" s="991"/>
      <c r="I680" s="991"/>
      <c r="J680" s="991"/>
      <c r="M680" s="114" t="s">
        <v>340</v>
      </c>
      <c r="N680" s="114">
        <f>Y20</f>
        <v>0.64</v>
      </c>
      <c r="O680" s="114" t="str">
        <f>X20</f>
        <v>g</v>
      </c>
      <c r="P680" s="114">
        <v>2</v>
      </c>
      <c r="Q680" s="114">
        <f>N680*P680</f>
        <v>1.28</v>
      </c>
      <c r="R680" s="114">
        <v>0</v>
      </c>
      <c r="S680" s="114">
        <f t="shared" ref="S680:S684" si="149">P680*R680</f>
        <v>0</v>
      </c>
      <c r="T680" s="114">
        <f t="shared" ref="T680:T684" si="150">P680-S680</f>
        <v>2</v>
      </c>
      <c r="U680" s="114">
        <f t="shared" ref="U680:U684" si="151">Q680+((S680*Q680)/P680)</f>
        <v>1.28</v>
      </c>
      <c r="W680" s="114" t="s">
        <v>447</v>
      </c>
      <c r="X680" s="114">
        <f>S3</f>
        <v>207.8</v>
      </c>
      <c r="Y680" s="114" t="str">
        <f>R3</f>
        <v>g</v>
      </c>
      <c r="Z680" s="114">
        <v>6</v>
      </c>
      <c r="AA680" s="114">
        <f>X680*Z680</f>
        <v>1246.8000000000002</v>
      </c>
      <c r="AB680" s="114">
        <v>0</v>
      </c>
      <c r="AC680" s="114">
        <f>Z680*AB680</f>
        <v>0</v>
      </c>
      <c r="AD680" s="114">
        <f>Z680-AC680</f>
        <v>6</v>
      </c>
      <c r="AE680" s="114">
        <f>AA680+((AC680*AA680)/Z680)</f>
        <v>1246.8000000000002</v>
      </c>
    </row>
    <row r="681" spans="3:31" s="29" customFormat="1" x14ac:dyDescent="0.25">
      <c r="C681" s="989" t="s">
        <v>0</v>
      </c>
      <c r="D681" s="989"/>
      <c r="E681" s="989"/>
      <c r="F681" s="989" t="s">
        <v>1</v>
      </c>
      <c r="G681" s="989"/>
      <c r="H681" s="989"/>
      <c r="I681" s="989"/>
      <c r="J681" s="989"/>
      <c r="M681" s="114" t="s">
        <v>346</v>
      </c>
      <c r="N681" s="114">
        <f>P3</f>
        <v>7</v>
      </c>
      <c r="O681" s="114" t="str">
        <f>O3</f>
        <v>g</v>
      </c>
      <c r="P681" s="114">
        <v>6</v>
      </c>
      <c r="Q681" s="114">
        <f>N681*P681</f>
        <v>42</v>
      </c>
      <c r="R681" s="114">
        <f>AJ2</f>
        <v>0.23</v>
      </c>
      <c r="S681" s="114">
        <f t="shared" si="149"/>
        <v>1.3800000000000001</v>
      </c>
      <c r="T681" s="114">
        <f t="shared" si="150"/>
        <v>4.62</v>
      </c>
      <c r="U681" s="114">
        <f t="shared" si="151"/>
        <v>51.660000000000004</v>
      </c>
      <c r="W681" s="114" t="s">
        <v>448</v>
      </c>
      <c r="X681" s="114">
        <f>P19</f>
        <v>10.28</v>
      </c>
      <c r="Y681" s="114" t="str">
        <f>O19</f>
        <v>g</v>
      </c>
      <c r="Z681" s="114">
        <v>1</v>
      </c>
      <c r="AA681" s="114">
        <f>X681*Z681</f>
        <v>10.28</v>
      </c>
      <c r="AB681" s="114">
        <f>AJ15</f>
        <v>0.26</v>
      </c>
      <c r="AC681" s="114">
        <f t="shared" ref="AC681:AC691" si="152">Z681*AB681</f>
        <v>0.26</v>
      </c>
      <c r="AD681" s="114">
        <f t="shared" ref="AD681:AD691" si="153">Z681-AC681</f>
        <v>0.74</v>
      </c>
      <c r="AE681" s="114">
        <f t="shared" ref="AE681:AE691" si="154">AA681+((AC681*AA681)/Z681)</f>
        <v>12.9528</v>
      </c>
    </row>
    <row r="682" spans="3:31" s="29" customFormat="1" x14ac:dyDescent="0.25">
      <c r="C682" s="990" t="s">
        <v>3</v>
      </c>
      <c r="D682" s="990"/>
      <c r="E682" s="990"/>
      <c r="F682" s="992" t="s">
        <v>73</v>
      </c>
      <c r="G682" s="991"/>
      <c r="H682" s="991"/>
      <c r="I682" s="991"/>
      <c r="J682" s="991"/>
      <c r="M682" s="114" t="s">
        <v>433</v>
      </c>
      <c r="N682" s="114">
        <f>Y18</f>
        <v>223.57</v>
      </c>
      <c r="O682" s="114" t="str">
        <f>X18</f>
        <v>g</v>
      </c>
      <c r="P682" s="114">
        <v>6</v>
      </c>
      <c r="Q682" s="114">
        <f>N682*P682</f>
        <v>1341.42</v>
      </c>
      <c r="R682" s="114">
        <v>0</v>
      </c>
      <c r="S682" s="114">
        <f t="shared" si="149"/>
        <v>0</v>
      </c>
      <c r="T682" s="114">
        <f t="shared" si="150"/>
        <v>6</v>
      </c>
      <c r="U682" s="114">
        <f t="shared" si="151"/>
        <v>1341.42</v>
      </c>
      <c r="W682" s="114" t="s">
        <v>449</v>
      </c>
      <c r="X682" s="114">
        <f>P4</f>
        <v>42.07</v>
      </c>
      <c r="Y682" s="114" t="str">
        <f>O4</f>
        <v>g</v>
      </c>
      <c r="Z682" s="114">
        <v>6</v>
      </c>
      <c r="AA682" s="114">
        <f>X682*Z682</f>
        <v>252.42000000000002</v>
      </c>
      <c r="AB682" s="114">
        <v>0</v>
      </c>
      <c r="AC682" s="114">
        <f t="shared" si="152"/>
        <v>0</v>
      </c>
      <c r="AD682" s="114">
        <f t="shared" si="153"/>
        <v>6</v>
      </c>
      <c r="AE682" s="114">
        <f t="shared" si="154"/>
        <v>252.42000000000002</v>
      </c>
    </row>
    <row r="683" spans="3:31" s="29" customFormat="1" x14ac:dyDescent="0.25">
      <c r="C683" s="990"/>
      <c r="D683" s="990"/>
      <c r="E683" s="990"/>
      <c r="F683" s="991"/>
      <c r="G683" s="991"/>
      <c r="H683" s="991"/>
      <c r="I683" s="991"/>
      <c r="J683" s="991"/>
      <c r="M683" s="114" t="s">
        <v>446</v>
      </c>
      <c r="N683" s="114">
        <f>AE692</f>
        <v>6190.3927999999996</v>
      </c>
      <c r="O683" s="114" t="s">
        <v>1388</v>
      </c>
      <c r="P683" s="114">
        <v>120</v>
      </c>
      <c r="Q683" s="114">
        <f>N683</f>
        <v>6190.3927999999996</v>
      </c>
      <c r="R683" s="114">
        <v>0</v>
      </c>
      <c r="S683" s="114">
        <f t="shared" si="149"/>
        <v>0</v>
      </c>
      <c r="T683" s="114">
        <f t="shared" si="150"/>
        <v>120</v>
      </c>
      <c r="U683" s="114">
        <f t="shared" si="151"/>
        <v>6190.3927999999996</v>
      </c>
      <c r="W683" s="114" t="s">
        <v>537</v>
      </c>
      <c r="X683" s="114">
        <f>P2</f>
        <v>30.06</v>
      </c>
      <c r="Y683" s="114" t="str">
        <f>O2</f>
        <v>g</v>
      </c>
      <c r="Z683" s="114">
        <v>6</v>
      </c>
      <c r="AA683" s="114">
        <f>X683*Z683</f>
        <v>180.35999999999999</v>
      </c>
      <c r="AB683" s="114">
        <v>0</v>
      </c>
      <c r="AC683" s="114">
        <f t="shared" si="152"/>
        <v>0</v>
      </c>
      <c r="AD683" s="114">
        <f t="shared" si="153"/>
        <v>6</v>
      </c>
      <c r="AE683" s="114">
        <f t="shared" si="154"/>
        <v>180.35999999999999</v>
      </c>
    </row>
    <row r="684" spans="3:31" s="29" customFormat="1" x14ac:dyDescent="0.25">
      <c r="C684" s="990"/>
      <c r="D684" s="990"/>
      <c r="E684" s="990"/>
      <c r="F684" s="991"/>
      <c r="G684" s="991"/>
      <c r="H684" s="991"/>
      <c r="I684" s="991"/>
      <c r="J684" s="991"/>
      <c r="M684" s="114" t="s">
        <v>427</v>
      </c>
      <c r="N684" s="114">
        <f>S8</f>
        <v>59</v>
      </c>
      <c r="O684" s="114" t="str">
        <f>R8</f>
        <v>g</v>
      </c>
      <c r="P684" s="114">
        <v>80</v>
      </c>
      <c r="Q684" s="114">
        <f>N684*P684</f>
        <v>4720</v>
      </c>
      <c r="R684" s="114">
        <f>AN4</f>
        <v>0.41</v>
      </c>
      <c r="S684" s="114">
        <f t="shared" si="149"/>
        <v>32.799999999999997</v>
      </c>
      <c r="T684" s="114">
        <f t="shared" si="150"/>
        <v>47.2</v>
      </c>
      <c r="U684" s="114">
        <f t="shared" si="151"/>
        <v>6655.2</v>
      </c>
      <c r="W684" s="114" t="s">
        <v>429</v>
      </c>
      <c r="X684" s="114">
        <f>P29</f>
        <v>1.8</v>
      </c>
      <c r="Y684" s="114" t="str">
        <f>O29</f>
        <v>g</v>
      </c>
      <c r="Z684" s="114">
        <v>40</v>
      </c>
      <c r="AA684" s="114">
        <f t="shared" ref="AA684:AA691" si="155">X684*Z684</f>
        <v>72</v>
      </c>
      <c r="AB684" s="114">
        <f>AJ18</f>
        <v>0.05</v>
      </c>
      <c r="AC684" s="114">
        <f t="shared" si="152"/>
        <v>2</v>
      </c>
      <c r="AD684" s="114">
        <f t="shared" si="153"/>
        <v>38</v>
      </c>
      <c r="AE684" s="114">
        <f t="shared" si="154"/>
        <v>75.599999999999994</v>
      </c>
    </row>
    <row r="685" spans="3:31" s="29" customFormat="1" x14ac:dyDescent="0.25">
      <c r="C685" s="990" t="s">
        <v>4</v>
      </c>
      <c r="D685" s="990"/>
      <c r="E685" s="990"/>
      <c r="F685" s="991" t="s">
        <v>15</v>
      </c>
      <c r="G685" s="991"/>
      <c r="H685" s="991"/>
      <c r="I685" s="991"/>
      <c r="J685" s="991"/>
      <c r="M685" s="114"/>
      <c r="N685" s="114"/>
      <c r="O685" s="114"/>
      <c r="P685" s="114"/>
      <c r="Q685" s="114"/>
      <c r="R685" s="114"/>
      <c r="S685" s="114"/>
      <c r="T685" s="114"/>
      <c r="U685" s="114"/>
      <c r="W685" s="114" t="s">
        <v>444</v>
      </c>
      <c r="X685" s="114">
        <f>AE3</f>
        <v>49.18</v>
      </c>
      <c r="Y685" s="114" t="str">
        <f>AD3</f>
        <v>mL</v>
      </c>
      <c r="Z685" s="114">
        <v>15</v>
      </c>
      <c r="AA685" s="114">
        <f t="shared" si="155"/>
        <v>737.7</v>
      </c>
      <c r="AB685" s="114">
        <v>0</v>
      </c>
      <c r="AC685" s="114">
        <f t="shared" si="152"/>
        <v>0</v>
      </c>
      <c r="AD685" s="114">
        <f t="shared" si="153"/>
        <v>15</v>
      </c>
      <c r="AE685" s="114">
        <f t="shared" si="154"/>
        <v>737.7</v>
      </c>
    </row>
    <row r="686" spans="3:31" s="29" customFormat="1" x14ac:dyDescent="0.25">
      <c r="C686" s="990"/>
      <c r="D686" s="990"/>
      <c r="E686" s="990"/>
      <c r="F686" s="991"/>
      <c r="G686" s="991"/>
      <c r="H686" s="991"/>
      <c r="I686" s="991"/>
      <c r="J686" s="991"/>
      <c r="M686" s="114"/>
      <c r="N686" s="114"/>
      <c r="O686" s="114"/>
      <c r="P686" s="114"/>
      <c r="Q686" s="114"/>
      <c r="R686" s="114"/>
      <c r="S686" s="114"/>
      <c r="T686" s="114"/>
      <c r="U686" s="114"/>
      <c r="W686" s="114" t="s">
        <v>433</v>
      </c>
      <c r="X686" s="114">
        <f>Y18</f>
        <v>223.57</v>
      </c>
      <c r="Y686" s="114" t="str">
        <f>X18</f>
        <v>g</v>
      </c>
      <c r="Z686" s="114">
        <v>4</v>
      </c>
      <c r="AA686" s="114">
        <f t="shared" si="155"/>
        <v>894.28</v>
      </c>
      <c r="AB686" s="114">
        <v>0</v>
      </c>
      <c r="AC686" s="114">
        <f t="shared" si="152"/>
        <v>0</v>
      </c>
      <c r="AD686" s="114">
        <f t="shared" si="153"/>
        <v>4</v>
      </c>
      <c r="AE686" s="114">
        <f t="shared" si="154"/>
        <v>894.28</v>
      </c>
    </row>
    <row r="687" spans="3:31" s="29" customFormat="1" x14ac:dyDescent="0.25">
      <c r="C687" s="990"/>
      <c r="D687" s="990"/>
      <c r="E687" s="990"/>
      <c r="F687" s="991"/>
      <c r="G687" s="991"/>
      <c r="H687" s="991"/>
      <c r="I687" s="991"/>
      <c r="J687" s="991"/>
      <c r="M687" s="114" t="s">
        <v>337</v>
      </c>
      <c r="N687" s="114">
        <f>SUM(N679:N686)</f>
        <v>8579.6751984875518</v>
      </c>
      <c r="O687" s="114"/>
      <c r="P687" s="114">
        <f>SUM(P679:P686)</f>
        <v>314</v>
      </c>
      <c r="Q687" s="114">
        <f>SUM(Q679:Q686)</f>
        <v>14394.165198487552</v>
      </c>
      <c r="R687" s="114"/>
      <c r="S687" s="114"/>
      <c r="T687" s="114"/>
      <c r="U687" s="114">
        <f>SUM(U679:U686)</f>
        <v>16339.02519848755</v>
      </c>
      <c r="W687" s="114" t="s">
        <v>450</v>
      </c>
      <c r="X687" s="114">
        <f>AE11</f>
        <v>22.95</v>
      </c>
      <c r="Y687" s="114" t="str">
        <f>AD11</f>
        <v>g</v>
      </c>
      <c r="Z687" s="114">
        <v>30</v>
      </c>
      <c r="AA687" s="114">
        <f t="shared" si="155"/>
        <v>688.5</v>
      </c>
      <c r="AB687" s="114">
        <v>0</v>
      </c>
      <c r="AC687" s="114">
        <f t="shared" si="152"/>
        <v>0</v>
      </c>
      <c r="AD687" s="114">
        <f t="shared" si="153"/>
        <v>30</v>
      </c>
      <c r="AE687" s="114">
        <f t="shared" si="154"/>
        <v>688.5</v>
      </c>
    </row>
    <row r="688" spans="3:31" s="29" customFormat="1" x14ac:dyDescent="0.25">
      <c r="C688" s="990" t="s">
        <v>5</v>
      </c>
      <c r="D688" s="990"/>
      <c r="E688" s="990"/>
      <c r="F688" s="991" t="s">
        <v>74</v>
      </c>
      <c r="G688" s="991"/>
      <c r="H688" s="991"/>
      <c r="I688" s="991"/>
      <c r="J688" s="991"/>
      <c r="W688" s="114" t="s">
        <v>345</v>
      </c>
      <c r="X688" s="114">
        <f>P23</f>
        <v>1.6</v>
      </c>
      <c r="Y688" s="114" t="str">
        <f>O23</f>
        <v>g</v>
      </c>
      <c r="Z688" s="114">
        <v>12</v>
      </c>
      <c r="AA688" s="114">
        <f t="shared" si="155"/>
        <v>19.200000000000003</v>
      </c>
      <c r="AB688" s="114">
        <v>0</v>
      </c>
      <c r="AC688" s="114">
        <f t="shared" si="152"/>
        <v>0</v>
      </c>
      <c r="AD688" s="114">
        <f t="shared" si="153"/>
        <v>12</v>
      </c>
      <c r="AE688" s="114">
        <f t="shared" si="154"/>
        <v>19.200000000000003</v>
      </c>
    </row>
    <row r="689" spans="3:31" s="29" customFormat="1" x14ac:dyDescent="0.25">
      <c r="C689" s="990"/>
      <c r="D689" s="990"/>
      <c r="E689" s="990"/>
      <c r="F689" s="991"/>
      <c r="G689" s="991"/>
      <c r="H689" s="991"/>
      <c r="I689" s="991"/>
      <c r="J689" s="991"/>
      <c r="Q689" s="114" t="s">
        <v>1681</v>
      </c>
      <c r="R689" s="114">
        <f>U687</f>
        <v>16339.02519848755</v>
      </c>
      <c r="S689" s="608" t="s">
        <v>2142</v>
      </c>
      <c r="T689" s="608">
        <f>(R689*100)/R696</f>
        <v>51.709035729964668</v>
      </c>
      <c r="W689" s="114" t="s">
        <v>547</v>
      </c>
      <c r="X689" s="114">
        <f>V13</f>
        <v>81.900000000000006</v>
      </c>
      <c r="Y689" s="114" t="str">
        <f>U13</f>
        <v>g</v>
      </c>
      <c r="Z689" s="114">
        <v>25</v>
      </c>
      <c r="AA689" s="114">
        <f t="shared" si="155"/>
        <v>2047.5000000000002</v>
      </c>
      <c r="AB689" s="114">
        <v>0</v>
      </c>
      <c r="AC689" s="114">
        <f t="shared" si="152"/>
        <v>0</v>
      </c>
      <c r="AD689" s="114">
        <f t="shared" si="153"/>
        <v>25</v>
      </c>
      <c r="AE689" s="114">
        <f t="shared" si="154"/>
        <v>2047.5000000000002</v>
      </c>
    </row>
    <row r="690" spans="3:31" s="29" customFormat="1" x14ac:dyDescent="0.25">
      <c r="C690" s="990"/>
      <c r="D690" s="990"/>
      <c r="E690" s="990"/>
      <c r="F690" s="991"/>
      <c r="G690" s="991"/>
      <c r="H690" s="991"/>
      <c r="I690" s="991"/>
      <c r="J690" s="991"/>
      <c r="Q690" s="114" t="s">
        <v>2326</v>
      </c>
      <c r="R690" s="114">
        <f>$AL$26</f>
        <v>1801.715474357886</v>
      </c>
      <c r="W690" s="114" t="s">
        <v>340</v>
      </c>
      <c r="X690" s="114">
        <f>Y20</f>
        <v>0.64</v>
      </c>
      <c r="Y690" s="114" t="str">
        <f>X20</f>
        <v>g</v>
      </c>
      <c r="Z690" s="114">
        <v>1</v>
      </c>
      <c r="AA690" s="114">
        <f t="shared" si="155"/>
        <v>0.64</v>
      </c>
      <c r="AB690" s="114">
        <v>0</v>
      </c>
      <c r="AC690" s="114">
        <f t="shared" si="152"/>
        <v>0</v>
      </c>
      <c r="AD690" s="114">
        <f t="shared" si="153"/>
        <v>1</v>
      </c>
      <c r="AE690" s="114">
        <f t="shared" si="154"/>
        <v>0.64</v>
      </c>
    </row>
    <row r="691" spans="3:31" s="29" customFormat="1" x14ac:dyDescent="0.25">
      <c r="C691" s="990" t="s">
        <v>6</v>
      </c>
      <c r="D691" s="990"/>
      <c r="E691" s="990"/>
      <c r="F691" s="991" t="s">
        <v>9</v>
      </c>
      <c r="G691" s="991"/>
      <c r="H691" s="991"/>
      <c r="I691" s="991"/>
      <c r="J691" s="991"/>
      <c r="Q691" s="114" t="s">
        <v>2325</v>
      </c>
      <c r="R691" s="114">
        <f>$AL$27</f>
        <v>75.599999999999994</v>
      </c>
      <c r="W691" s="114" t="s">
        <v>346</v>
      </c>
      <c r="X691" s="114">
        <f>P3</f>
        <v>7</v>
      </c>
      <c r="Y691" s="114" t="str">
        <f>O3</f>
        <v>g</v>
      </c>
      <c r="Z691" s="114">
        <v>4</v>
      </c>
      <c r="AA691" s="114">
        <f t="shared" si="155"/>
        <v>28</v>
      </c>
      <c r="AB691" s="114">
        <f>AJ2</f>
        <v>0.23</v>
      </c>
      <c r="AC691" s="114">
        <f t="shared" si="152"/>
        <v>0.92</v>
      </c>
      <c r="AD691" s="114">
        <f t="shared" si="153"/>
        <v>3.08</v>
      </c>
      <c r="AE691" s="114">
        <f t="shared" si="154"/>
        <v>34.44</v>
      </c>
    </row>
    <row r="692" spans="3:31" s="29" customFormat="1" x14ac:dyDescent="0.25">
      <c r="C692" s="990"/>
      <c r="D692" s="990"/>
      <c r="E692" s="990"/>
      <c r="F692" s="991"/>
      <c r="G692" s="991"/>
      <c r="H692" s="991"/>
      <c r="I692" s="991"/>
      <c r="J692" s="991"/>
      <c r="Q692" s="114" t="s">
        <v>1684</v>
      </c>
      <c r="R692" s="114">
        <f>$AL$29</f>
        <v>69.543532482306858</v>
      </c>
      <c r="W692" s="114" t="s">
        <v>337</v>
      </c>
      <c r="X692" s="114">
        <f>SUM(X680:X691)</f>
        <v>678.85</v>
      </c>
      <c r="Y692" s="114"/>
      <c r="Z692" s="114">
        <f>SUM(Z680:Z691)</f>
        <v>150</v>
      </c>
      <c r="AA692" s="114">
        <f>SUM(AA680:AA691)</f>
        <v>6177.68</v>
      </c>
      <c r="AB692" s="114"/>
      <c r="AC692" s="114"/>
      <c r="AD692" s="114"/>
      <c r="AE692" s="114">
        <f>SUM(AE680:AE691)</f>
        <v>6190.3927999999996</v>
      </c>
    </row>
    <row r="693" spans="3:31" s="29" customFormat="1" x14ac:dyDescent="0.25">
      <c r="C693" s="990"/>
      <c r="D693" s="990"/>
      <c r="E693" s="990"/>
      <c r="F693" s="991"/>
      <c r="G693" s="991"/>
      <c r="H693" s="991"/>
      <c r="I693" s="991"/>
      <c r="J693" s="991"/>
      <c r="Q693" s="114" t="s">
        <v>1685</v>
      </c>
      <c r="R693" s="114">
        <v>0.6</v>
      </c>
    </row>
    <row r="694" spans="3:31" s="29" customFormat="1" x14ac:dyDescent="0.25">
      <c r="C694" s="990" t="s">
        <v>7</v>
      </c>
      <c r="D694" s="990"/>
      <c r="E694" s="990"/>
      <c r="F694" s="991" t="s">
        <v>590</v>
      </c>
      <c r="G694" s="991"/>
      <c r="H694" s="991"/>
      <c r="I694" s="991"/>
      <c r="J694" s="991"/>
      <c r="Q694" s="114" t="s">
        <v>1708</v>
      </c>
      <c r="R694" s="114">
        <f>(SUM(R689:R692)*R693)+SUM(R689:R692)</f>
        <v>29257.414728524389</v>
      </c>
      <c r="AA694" s="114" t="s">
        <v>1681</v>
      </c>
      <c r="AB694" s="114">
        <f>AE692</f>
        <v>6190.3927999999996</v>
      </c>
      <c r="AC694" s="608" t="s">
        <v>2142</v>
      </c>
      <c r="AD694" s="608">
        <f>(AB694*100)/AB701</f>
        <v>43.510034027443687</v>
      </c>
    </row>
    <row r="695" spans="3:31" s="29" customFormat="1" x14ac:dyDescent="0.25">
      <c r="C695" s="990"/>
      <c r="D695" s="990"/>
      <c r="E695" s="990"/>
      <c r="F695" s="991"/>
      <c r="G695" s="991"/>
      <c r="H695" s="991"/>
      <c r="I695" s="991"/>
      <c r="J695" s="991"/>
      <c r="Q695" s="114" t="s">
        <v>2130</v>
      </c>
      <c r="R695" s="114">
        <f>R694*0.08</f>
        <v>2340.5931782819512</v>
      </c>
      <c r="AA695" s="114" t="s">
        <v>2326</v>
      </c>
      <c r="AB695" s="114">
        <f>$AO$26/2</f>
        <v>476.87414947063905</v>
      </c>
    </row>
    <row r="696" spans="3:31" s="29" customFormat="1" x14ac:dyDescent="0.25">
      <c r="C696" s="990"/>
      <c r="D696" s="990"/>
      <c r="E696" s="990"/>
      <c r="F696" s="991"/>
      <c r="G696" s="991"/>
      <c r="H696" s="991"/>
      <c r="I696" s="991"/>
      <c r="J696" s="991"/>
      <c r="Q696" s="114" t="s">
        <v>1686</v>
      </c>
      <c r="R696" s="114">
        <f>SUM(R694+R695)</f>
        <v>31598.007906806339</v>
      </c>
      <c r="AA696" s="114" t="s">
        <v>2325</v>
      </c>
      <c r="AB696" s="114">
        <f>$AO$27/4</f>
        <v>18.899999999999999</v>
      </c>
    </row>
    <row r="697" spans="3:31" s="29" customFormat="1" x14ac:dyDescent="0.25">
      <c r="AA697" s="114" t="s">
        <v>1684</v>
      </c>
      <c r="AB697" s="114">
        <f>$AO$29</f>
        <v>1547.3435977313275</v>
      </c>
    </row>
    <row r="698" spans="3:31" s="29" customFormat="1" x14ac:dyDescent="0.25">
      <c r="AA698" s="114" t="s">
        <v>1685</v>
      </c>
      <c r="AB698" s="114">
        <v>0.6</v>
      </c>
    </row>
    <row r="699" spans="3:31" s="29" customFormat="1" x14ac:dyDescent="0.25">
      <c r="AA699" s="114" t="s">
        <v>1708</v>
      </c>
      <c r="AB699" s="114">
        <f>(SUM(AB694:AB697)*AB698)+SUM(AB694:AB697)</f>
        <v>13173.616875523145</v>
      </c>
    </row>
    <row r="700" spans="3:31" s="29" customFormat="1" x14ac:dyDescent="0.25">
      <c r="AA700" s="114" t="s">
        <v>2130</v>
      </c>
      <c r="AB700" s="114">
        <f>AB699*0.08</f>
        <v>1053.8893500418517</v>
      </c>
    </row>
    <row r="701" spans="3:31" s="29" customFormat="1" x14ac:dyDescent="0.25">
      <c r="AA701" s="114" t="s">
        <v>1686</v>
      </c>
      <c r="AB701" s="114">
        <f>SUM(AB699+AB700)</f>
        <v>14227.506225564997</v>
      </c>
    </row>
    <row r="702" spans="3:31" s="29" customFormat="1" x14ac:dyDescent="0.25"/>
    <row r="703" spans="3:31" s="29" customFormat="1" x14ac:dyDescent="0.25">
      <c r="C703" s="993" t="s">
        <v>8</v>
      </c>
      <c r="D703" s="993"/>
      <c r="E703" s="993"/>
      <c r="F703" s="993"/>
      <c r="G703" s="993"/>
      <c r="H703" s="993"/>
      <c r="I703" s="993"/>
      <c r="J703" s="993"/>
    </row>
    <row r="704" spans="3:31" s="29" customFormat="1" x14ac:dyDescent="0.25">
      <c r="C704" s="989" t="s">
        <v>0</v>
      </c>
      <c r="D704" s="989"/>
      <c r="E704" s="989"/>
      <c r="F704" s="989" t="s">
        <v>1</v>
      </c>
      <c r="G704" s="989"/>
      <c r="H704" s="989"/>
      <c r="I704" s="989"/>
      <c r="J704" s="989"/>
    </row>
    <row r="705" spans="3:31" s="29" customFormat="1" x14ac:dyDescent="0.25">
      <c r="C705" s="990" t="s">
        <v>2</v>
      </c>
      <c r="D705" s="990"/>
      <c r="E705" s="990"/>
      <c r="F705" s="991" t="s">
        <v>75</v>
      </c>
      <c r="G705" s="991"/>
      <c r="H705" s="991"/>
      <c r="I705" s="991"/>
      <c r="J705" s="991"/>
      <c r="M705" s="113" t="s">
        <v>336</v>
      </c>
      <c r="N705" s="113" t="s">
        <v>174</v>
      </c>
      <c r="O705" s="113" t="s">
        <v>248</v>
      </c>
      <c r="P705" s="113" t="s">
        <v>176</v>
      </c>
      <c r="Q705" s="113" t="s">
        <v>337</v>
      </c>
      <c r="R705" s="113" t="s">
        <v>1641</v>
      </c>
      <c r="S705" s="113" t="s">
        <v>1642</v>
      </c>
      <c r="T705" s="113" t="s">
        <v>1643</v>
      </c>
      <c r="U705" s="113" t="s">
        <v>1644</v>
      </c>
      <c r="W705" s="988" t="s">
        <v>1467</v>
      </c>
      <c r="X705" s="988"/>
      <c r="Y705" s="988"/>
      <c r="Z705" s="988"/>
      <c r="AA705" s="988"/>
      <c r="AB705" s="988"/>
      <c r="AC705" s="988"/>
      <c r="AD705" s="988"/>
      <c r="AE705" s="988"/>
    </row>
    <row r="706" spans="3:31" s="29" customFormat="1" x14ac:dyDescent="0.25">
      <c r="C706" s="990"/>
      <c r="D706" s="990"/>
      <c r="E706" s="990"/>
      <c r="F706" s="991"/>
      <c r="G706" s="991"/>
      <c r="H706" s="991"/>
      <c r="I706" s="991"/>
      <c r="J706" s="991"/>
      <c r="M706" s="114" t="s">
        <v>344</v>
      </c>
      <c r="N706" s="114">
        <f>E13</f>
        <v>2099.0723984875517</v>
      </c>
      <c r="O706" s="114" t="str">
        <f>D13</f>
        <v>g</v>
      </c>
      <c r="P706" s="114">
        <v>120</v>
      </c>
      <c r="Q706" s="114">
        <f>N706</f>
        <v>2099.0723984875517</v>
      </c>
      <c r="R706" s="114">
        <v>0</v>
      </c>
      <c r="S706" s="114">
        <f>P706*R706</f>
        <v>0</v>
      </c>
      <c r="T706" s="114">
        <f>P706-S706</f>
        <v>120</v>
      </c>
      <c r="U706" s="114">
        <f>Q706+((S706*Q706)/P706)</f>
        <v>2099.0723984875517</v>
      </c>
      <c r="W706" s="113" t="s">
        <v>336</v>
      </c>
      <c r="X706" s="113" t="s">
        <v>174</v>
      </c>
      <c r="Y706" s="113" t="s">
        <v>248</v>
      </c>
      <c r="Z706" s="113" t="s">
        <v>176</v>
      </c>
      <c r="AA706" s="113" t="s">
        <v>337</v>
      </c>
      <c r="AB706" s="113" t="s">
        <v>1641</v>
      </c>
      <c r="AC706" s="113" t="s">
        <v>1642</v>
      </c>
      <c r="AD706" s="113" t="s">
        <v>1643</v>
      </c>
      <c r="AE706" s="113" t="s">
        <v>1644</v>
      </c>
    </row>
    <row r="707" spans="3:31" s="29" customFormat="1" x14ac:dyDescent="0.25">
      <c r="C707" s="990"/>
      <c r="D707" s="990"/>
      <c r="E707" s="990"/>
      <c r="F707" s="991"/>
      <c r="G707" s="991"/>
      <c r="H707" s="991"/>
      <c r="I707" s="991"/>
      <c r="J707" s="991"/>
      <c r="M707" s="114" t="s">
        <v>340</v>
      </c>
      <c r="N707" s="114">
        <f>Y20</f>
        <v>0.64</v>
      </c>
      <c r="O707" s="114" t="str">
        <f>X20</f>
        <v>g</v>
      </c>
      <c r="P707" s="114">
        <v>2</v>
      </c>
      <c r="Q707" s="114">
        <f>N707*P707</f>
        <v>1.28</v>
      </c>
      <c r="R707" s="114">
        <v>0</v>
      </c>
      <c r="S707" s="114">
        <f>P707*R707</f>
        <v>0</v>
      </c>
      <c r="T707" s="114">
        <f>P707-S707</f>
        <v>2</v>
      </c>
      <c r="U707" s="114">
        <f t="shared" ref="U707:U710" si="156">Q707+((S707*Q707)/P707)</f>
        <v>1.28</v>
      </c>
      <c r="W707" s="114" t="s">
        <v>442</v>
      </c>
      <c r="X707" s="114">
        <f>Y3</f>
        <v>30</v>
      </c>
      <c r="Y707" s="114" t="str">
        <f>X3</f>
        <v>g</v>
      </c>
      <c r="Z707" s="114">
        <v>15</v>
      </c>
      <c r="AA707" s="114">
        <f>X707*Z707</f>
        <v>450</v>
      </c>
      <c r="AB707" s="114">
        <v>0</v>
      </c>
      <c r="AC707" s="114">
        <f>Z707*AB707</f>
        <v>0</v>
      </c>
      <c r="AD707" s="114">
        <f>Z707-AC707</f>
        <v>15</v>
      </c>
      <c r="AE707" s="114">
        <f>AA707+((AC707*AA707)/Z707)</f>
        <v>450</v>
      </c>
    </row>
    <row r="708" spans="3:31" s="29" customFormat="1" x14ac:dyDescent="0.25">
      <c r="C708" s="989" t="s">
        <v>0</v>
      </c>
      <c r="D708" s="989"/>
      <c r="E708" s="989"/>
      <c r="F708" s="989" t="s">
        <v>1</v>
      </c>
      <c r="G708" s="989"/>
      <c r="H708" s="989"/>
      <c r="I708" s="989"/>
      <c r="J708" s="989"/>
      <c r="M708" s="114" t="s">
        <v>483</v>
      </c>
      <c r="N708" s="114">
        <f>AE714</f>
        <v>5620.16</v>
      </c>
      <c r="O708" s="114" t="s">
        <v>1388</v>
      </c>
      <c r="P708" s="114">
        <v>120</v>
      </c>
      <c r="Q708" s="114">
        <f>N708</f>
        <v>5620.16</v>
      </c>
      <c r="R708" s="114">
        <v>0</v>
      </c>
      <c r="S708" s="114">
        <f>P708*R708</f>
        <v>0</v>
      </c>
      <c r="T708" s="114">
        <f>P708-S708</f>
        <v>120</v>
      </c>
      <c r="U708" s="114">
        <f t="shared" si="156"/>
        <v>5620.16</v>
      </c>
      <c r="W708" s="114" t="s">
        <v>482</v>
      </c>
      <c r="X708" s="114">
        <f>P18</f>
        <v>5</v>
      </c>
      <c r="Y708" s="114" t="str">
        <f>O18</f>
        <v>g</v>
      </c>
      <c r="Z708" s="114">
        <v>10</v>
      </c>
      <c r="AA708" s="114">
        <f t="shared" ref="AA708:AA713" si="157">X708*Z708</f>
        <v>50</v>
      </c>
      <c r="AB708" s="114">
        <f>AJ11</f>
        <v>0.23</v>
      </c>
      <c r="AC708" s="114">
        <f>Z708*AB708</f>
        <v>2.3000000000000003</v>
      </c>
      <c r="AD708" s="114">
        <f>Z708-AC708</f>
        <v>7.6999999999999993</v>
      </c>
      <c r="AE708" s="114">
        <f t="shared" ref="AE708:AE713" si="158">AA708+((AC708*AA708)/Z708)</f>
        <v>61.5</v>
      </c>
    </row>
    <row r="709" spans="3:31" s="29" customFormat="1" x14ac:dyDescent="0.25">
      <c r="C709" s="990" t="s">
        <v>3</v>
      </c>
      <c r="D709" s="990"/>
      <c r="E709" s="990"/>
      <c r="F709" s="992" t="s">
        <v>75</v>
      </c>
      <c r="G709" s="991"/>
      <c r="H709" s="991"/>
      <c r="I709" s="991"/>
      <c r="J709" s="991"/>
      <c r="M709" s="114" t="s">
        <v>433</v>
      </c>
      <c r="N709" s="114">
        <f>Y18</f>
        <v>223.57</v>
      </c>
      <c r="O709" s="114" t="str">
        <f>X18</f>
        <v>g</v>
      </c>
      <c r="P709" s="114">
        <v>6</v>
      </c>
      <c r="Q709" s="114">
        <f>N709*P709</f>
        <v>1341.42</v>
      </c>
      <c r="R709" s="114">
        <v>0</v>
      </c>
      <c r="S709" s="114">
        <f>P709*R709</f>
        <v>0</v>
      </c>
      <c r="T709" s="114">
        <f>P709-S709</f>
        <v>6</v>
      </c>
      <c r="U709" s="114">
        <f t="shared" si="156"/>
        <v>1341.42</v>
      </c>
      <c r="W709" s="114" t="s">
        <v>547</v>
      </c>
      <c r="X709" s="114">
        <f>V13</f>
        <v>81.900000000000006</v>
      </c>
      <c r="Y709" s="114" t="str">
        <f>U13</f>
        <v>g</v>
      </c>
      <c r="Z709" s="114">
        <v>15</v>
      </c>
      <c r="AA709" s="114">
        <f t="shared" si="157"/>
        <v>1228.5</v>
      </c>
      <c r="AB709" s="114">
        <v>0</v>
      </c>
      <c r="AC709" s="114">
        <f>Z709*AB709</f>
        <v>0</v>
      </c>
      <c r="AD709" s="114">
        <f>Z709-AC709</f>
        <v>15</v>
      </c>
      <c r="AE709" s="114">
        <f t="shared" si="158"/>
        <v>1228.5</v>
      </c>
    </row>
    <row r="710" spans="3:31" s="29" customFormat="1" x14ac:dyDescent="0.25">
      <c r="C710" s="990"/>
      <c r="D710" s="990"/>
      <c r="E710" s="990"/>
      <c r="F710" s="991"/>
      <c r="G710" s="991"/>
      <c r="H710" s="991"/>
      <c r="I710" s="991"/>
      <c r="J710" s="991"/>
      <c r="M710" s="114" t="s">
        <v>547</v>
      </c>
      <c r="N710" s="114">
        <f>V13</f>
        <v>81.900000000000006</v>
      </c>
      <c r="O710" s="114" t="str">
        <f>U13</f>
        <v>g</v>
      </c>
      <c r="P710" s="114">
        <v>65</v>
      </c>
      <c r="Q710" s="114">
        <f>N710*P710</f>
        <v>5323.5</v>
      </c>
      <c r="R710" s="114">
        <v>0</v>
      </c>
      <c r="S710" s="114">
        <f>P710*R710</f>
        <v>0</v>
      </c>
      <c r="T710" s="114">
        <f>P710-S710</f>
        <v>65</v>
      </c>
      <c r="U710" s="114">
        <f t="shared" si="156"/>
        <v>5323.5</v>
      </c>
      <c r="W710" s="114" t="s">
        <v>340</v>
      </c>
      <c r="X710" s="114">
        <f>Y20</f>
        <v>0.64</v>
      </c>
      <c r="Y710" s="114" t="str">
        <f>X20</f>
        <v>g</v>
      </c>
      <c r="Z710" s="114">
        <v>1</v>
      </c>
      <c r="AA710" s="114">
        <f t="shared" si="157"/>
        <v>0.64</v>
      </c>
      <c r="AB710" s="114">
        <v>0</v>
      </c>
      <c r="AC710" s="114">
        <f>Z710*AB710</f>
        <v>0</v>
      </c>
      <c r="AD710" s="114">
        <f>Z710-AC710</f>
        <v>1</v>
      </c>
      <c r="AE710" s="114">
        <f t="shared" si="158"/>
        <v>0.64</v>
      </c>
    </row>
    <row r="711" spans="3:31" s="29" customFormat="1" x14ac:dyDescent="0.25">
      <c r="C711" s="990"/>
      <c r="D711" s="990"/>
      <c r="E711" s="990"/>
      <c r="F711" s="991"/>
      <c r="G711" s="991"/>
      <c r="H711" s="991"/>
      <c r="I711" s="991"/>
      <c r="J711" s="991"/>
      <c r="M711" s="114"/>
      <c r="N711" s="114"/>
      <c r="O711" s="114"/>
      <c r="P711" s="114"/>
      <c r="Q711" s="114"/>
      <c r="R711" s="114"/>
      <c r="S711" s="114"/>
      <c r="T711" s="114"/>
      <c r="U711" s="114"/>
      <c r="W711" s="114" t="s">
        <v>346</v>
      </c>
      <c r="X711" s="114">
        <f>P3</f>
        <v>7</v>
      </c>
      <c r="Y711" s="114" t="str">
        <f>O3</f>
        <v>g</v>
      </c>
      <c r="Z711" s="114">
        <v>4</v>
      </c>
      <c r="AA711" s="114">
        <f t="shared" si="157"/>
        <v>28</v>
      </c>
      <c r="AB711" s="114">
        <f>AJ2</f>
        <v>0.23</v>
      </c>
      <c r="AC711" s="114">
        <f>Z711*AB711</f>
        <v>0.92</v>
      </c>
      <c r="AD711" s="114">
        <f>Z711-AC711</f>
        <v>3.08</v>
      </c>
      <c r="AE711" s="114">
        <f t="shared" si="158"/>
        <v>34.44</v>
      </c>
    </row>
    <row r="712" spans="3:31" s="29" customFormat="1" x14ac:dyDescent="0.25">
      <c r="C712" s="990" t="s">
        <v>4</v>
      </c>
      <c r="D712" s="990"/>
      <c r="E712" s="990"/>
      <c r="F712" s="991" t="s">
        <v>15</v>
      </c>
      <c r="G712" s="991"/>
      <c r="H712" s="991"/>
      <c r="I712" s="991"/>
      <c r="J712" s="991"/>
      <c r="M712" s="114"/>
      <c r="N712" s="114"/>
      <c r="O712" s="114"/>
      <c r="P712" s="114"/>
      <c r="Q712" s="114"/>
      <c r="R712" s="114"/>
      <c r="S712" s="114"/>
      <c r="T712" s="114"/>
      <c r="U712" s="114"/>
      <c r="W712" s="114" t="s">
        <v>433</v>
      </c>
      <c r="X712" s="114">
        <f>Y18</f>
        <v>223.57</v>
      </c>
      <c r="Y712" s="114" t="str">
        <f>X18</f>
        <v>g</v>
      </c>
      <c r="Z712" s="114">
        <v>4</v>
      </c>
      <c r="AA712" s="114">
        <f t="shared" si="157"/>
        <v>894.28</v>
      </c>
      <c r="AB712" s="114">
        <v>0</v>
      </c>
      <c r="AC712" s="114">
        <f t="shared" ref="AC712:AC713" si="159">Z712*AB712</f>
        <v>0</v>
      </c>
      <c r="AD712" s="114">
        <f t="shared" ref="AD712:AD713" si="160">Z712-AC712</f>
        <v>4</v>
      </c>
      <c r="AE712" s="114">
        <f t="shared" si="158"/>
        <v>894.28</v>
      </c>
    </row>
    <row r="713" spans="3:31" s="29" customFormat="1" x14ac:dyDescent="0.25">
      <c r="C713" s="990"/>
      <c r="D713" s="990"/>
      <c r="E713" s="990"/>
      <c r="F713" s="991"/>
      <c r="G713" s="991"/>
      <c r="H713" s="991"/>
      <c r="I713" s="991"/>
      <c r="J713" s="991"/>
      <c r="M713" s="114"/>
      <c r="N713" s="114"/>
      <c r="O713" s="114"/>
      <c r="P713" s="114"/>
      <c r="Q713" s="114"/>
      <c r="R713" s="114"/>
      <c r="S713" s="114"/>
      <c r="T713" s="114"/>
      <c r="U713" s="114"/>
      <c r="W713" s="114" t="s">
        <v>546</v>
      </c>
      <c r="X713" s="114">
        <f>AE3</f>
        <v>49.18</v>
      </c>
      <c r="Y713" s="114" t="str">
        <f>AD3</f>
        <v>mL</v>
      </c>
      <c r="Z713" s="114">
        <v>60</v>
      </c>
      <c r="AA713" s="114">
        <f t="shared" si="157"/>
        <v>2950.8</v>
      </c>
      <c r="AB713" s="114">
        <v>0</v>
      </c>
      <c r="AC713" s="114">
        <f t="shared" si="159"/>
        <v>0</v>
      </c>
      <c r="AD713" s="114">
        <f t="shared" si="160"/>
        <v>60</v>
      </c>
      <c r="AE713" s="114">
        <f t="shared" si="158"/>
        <v>2950.8</v>
      </c>
    </row>
    <row r="714" spans="3:31" s="29" customFormat="1" x14ac:dyDescent="0.25">
      <c r="C714" s="990"/>
      <c r="D714" s="990"/>
      <c r="E714" s="990"/>
      <c r="F714" s="991"/>
      <c r="G714" s="991"/>
      <c r="H714" s="991"/>
      <c r="I714" s="991"/>
      <c r="J714" s="991"/>
      <c r="M714" s="114" t="s">
        <v>337</v>
      </c>
      <c r="N714" s="114">
        <f>SUM(N706:N713)</f>
        <v>8025.3423984875508</v>
      </c>
      <c r="O714" s="114"/>
      <c r="P714" s="114">
        <f>SUM(P706:P713)</f>
        <v>313</v>
      </c>
      <c r="Q714" s="114">
        <f>SUM(Q706:Q713)</f>
        <v>14385.432398487552</v>
      </c>
      <c r="R714" s="114"/>
      <c r="S714" s="114"/>
      <c r="T714" s="114"/>
      <c r="U714" s="114">
        <f>SUM(U706:U713)</f>
        <v>14385.432398487552</v>
      </c>
      <c r="W714" s="114" t="s">
        <v>337</v>
      </c>
      <c r="X714" s="114">
        <f>SUM(X707:X713)</f>
        <v>397.29</v>
      </c>
      <c r="Y714" s="114"/>
      <c r="Z714" s="114">
        <f>SUM(Z707:Z713)</f>
        <v>109</v>
      </c>
      <c r="AA714" s="114">
        <f>SUM(AA707:AA713)</f>
        <v>5602.22</v>
      </c>
      <c r="AB714" s="114"/>
      <c r="AC714" s="114"/>
      <c r="AD714" s="114"/>
      <c r="AE714" s="114">
        <f>SUM(AE707:AE713)</f>
        <v>5620.16</v>
      </c>
    </row>
    <row r="715" spans="3:31" s="29" customFormat="1" x14ac:dyDescent="0.25">
      <c r="C715" s="990" t="s">
        <v>5</v>
      </c>
      <c r="D715" s="990"/>
      <c r="E715" s="990"/>
      <c r="F715" s="991" t="s">
        <v>76</v>
      </c>
      <c r="G715" s="991"/>
      <c r="H715" s="991"/>
      <c r="I715" s="991"/>
      <c r="J715" s="991"/>
    </row>
    <row r="716" spans="3:31" s="29" customFormat="1" x14ac:dyDescent="0.25">
      <c r="C716" s="990"/>
      <c r="D716" s="990"/>
      <c r="E716" s="990"/>
      <c r="F716" s="991"/>
      <c r="G716" s="991"/>
      <c r="H716" s="991"/>
      <c r="I716" s="991"/>
      <c r="J716" s="991"/>
      <c r="Q716" s="114" t="s">
        <v>1681</v>
      </c>
      <c r="R716" s="114">
        <f>U714</f>
        <v>14385.432398487552</v>
      </c>
      <c r="S716" s="608" t="s">
        <v>2142</v>
      </c>
      <c r="T716" s="608">
        <f>(R716*100)/R723</f>
        <v>50.972045512660515</v>
      </c>
      <c r="AA716" s="114" t="s">
        <v>1681</v>
      </c>
      <c r="AB716" s="114">
        <f>AE714</f>
        <v>5620.16</v>
      </c>
      <c r="AC716" s="608" t="s">
        <v>2142</v>
      </c>
      <c r="AD716" s="608">
        <f>(AB716*100)/AB723</f>
        <v>42.441465841361861</v>
      </c>
    </row>
    <row r="717" spans="3:31" s="29" customFormat="1" x14ac:dyDescent="0.25">
      <c r="C717" s="990"/>
      <c r="D717" s="990"/>
      <c r="E717" s="990"/>
      <c r="F717" s="991"/>
      <c r="G717" s="991"/>
      <c r="H717" s="991"/>
      <c r="I717" s="991"/>
      <c r="J717" s="991"/>
      <c r="Q717" s="114" t="s">
        <v>2326</v>
      </c>
      <c r="R717" s="114">
        <f>$AL$26</f>
        <v>1801.715474357886</v>
      </c>
      <c r="AA717" s="114" t="s">
        <v>2326</v>
      </c>
      <c r="AB717" s="114">
        <f>$AO$26/2</f>
        <v>476.87414947063905</v>
      </c>
    </row>
    <row r="718" spans="3:31" s="29" customFormat="1" x14ac:dyDescent="0.25">
      <c r="C718" s="990" t="s">
        <v>6</v>
      </c>
      <c r="D718" s="990"/>
      <c r="E718" s="990"/>
      <c r="F718" s="991" t="s">
        <v>9</v>
      </c>
      <c r="G718" s="991"/>
      <c r="H718" s="991"/>
      <c r="I718" s="991"/>
      <c r="J718" s="991"/>
      <c r="Q718" s="114" t="s">
        <v>2325</v>
      </c>
      <c r="R718" s="114">
        <f>$AL$27</f>
        <v>75.599999999999994</v>
      </c>
      <c r="AA718" s="114" t="s">
        <v>2325</v>
      </c>
      <c r="AB718" s="114">
        <f>$AO$27/4</f>
        <v>18.899999999999999</v>
      </c>
    </row>
    <row r="719" spans="3:31" s="29" customFormat="1" x14ac:dyDescent="0.25">
      <c r="C719" s="990"/>
      <c r="D719" s="990"/>
      <c r="E719" s="990"/>
      <c r="F719" s="991"/>
      <c r="G719" s="991"/>
      <c r="H719" s="991"/>
      <c r="I719" s="991"/>
      <c r="J719" s="991"/>
      <c r="Q719" s="114" t="s">
        <v>1684</v>
      </c>
      <c r="R719" s="114">
        <f>$AL$29</f>
        <v>69.543532482306858</v>
      </c>
      <c r="AA719" s="114" t="s">
        <v>1684</v>
      </c>
      <c r="AB719" s="114">
        <f>$AO$29</f>
        <v>1547.3435977313275</v>
      </c>
    </row>
    <row r="720" spans="3:31" s="29" customFormat="1" x14ac:dyDescent="0.25">
      <c r="C720" s="990"/>
      <c r="D720" s="990"/>
      <c r="E720" s="990"/>
      <c r="F720" s="991"/>
      <c r="G720" s="991"/>
      <c r="H720" s="991"/>
      <c r="I720" s="991"/>
      <c r="J720" s="991"/>
      <c r="Q720" s="114" t="s">
        <v>1685</v>
      </c>
      <c r="R720" s="114">
        <v>0.6</v>
      </c>
      <c r="AA720" s="114" t="s">
        <v>1685</v>
      </c>
      <c r="AB720" s="114">
        <v>0.6</v>
      </c>
    </row>
    <row r="721" spans="3:28" s="29" customFormat="1" x14ac:dyDescent="0.25">
      <c r="C721" s="990" t="s">
        <v>7</v>
      </c>
      <c r="D721" s="990"/>
      <c r="E721" s="990"/>
      <c r="F721" s="991" t="s">
        <v>591</v>
      </c>
      <c r="G721" s="991"/>
      <c r="H721" s="991"/>
      <c r="I721" s="991"/>
      <c r="J721" s="991"/>
      <c r="Q721" s="114" t="s">
        <v>1708</v>
      </c>
      <c r="R721" s="114">
        <f>(SUM(R716:R719)*R720)+SUM(R716:R719)</f>
        <v>26131.666248524394</v>
      </c>
      <c r="AA721" s="114" t="s">
        <v>1708</v>
      </c>
      <c r="AB721" s="114">
        <f>(SUM(AB716:AB719)*AB720)+SUM(AB716:AB719)</f>
        <v>12261.244395523147</v>
      </c>
    </row>
    <row r="722" spans="3:28" s="29" customFormat="1" x14ac:dyDescent="0.25">
      <c r="C722" s="990"/>
      <c r="D722" s="990"/>
      <c r="E722" s="990"/>
      <c r="F722" s="991"/>
      <c r="G722" s="991"/>
      <c r="H722" s="991"/>
      <c r="I722" s="991"/>
      <c r="J722" s="991"/>
      <c r="Q722" s="114" t="s">
        <v>2130</v>
      </c>
      <c r="R722" s="114">
        <f>R721*0.08</f>
        <v>2090.5332998819517</v>
      </c>
      <c r="AA722" s="114" t="s">
        <v>2130</v>
      </c>
      <c r="AB722" s="114">
        <f>AB721*0.08</f>
        <v>980.89955164185176</v>
      </c>
    </row>
    <row r="723" spans="3:28" s="29" customFormat="1" x14ac:dyDescent="0.25">
      <c r="C723" s="990"/>
      <c r="D723" s="990"/>
      <c r="E723" s="990"/>
      <c r="F723" s="991"/>
      <c r="G723" s="991"/>
      <c r="H723" s="991"/>
      <c r="I723" s="991"/>
      <c r="J723" s="991"/>
      <c r="Q723" s="114" t="s">
        <v>1686</v>
      </c>
      <c r="R723" s="114">
        <f>SUM(R721+R722)</f>
        <v>28222.199548406345</v>
      </c>
      <c r="AA723" s="114" t="s">
        <v>1686</v>
      </c>
      <c r="AB723" s="114">
        <f>SUM(AB721+AB722)</f>
        <v>13242.143947164997</v>
      </c>
    </row>
    <row r="724" spans="3:28" s="29" customFormat="1" x14ac:dyDescent="0.25"/>
    <row r="725" spans="3:28" s="29" customFormat="1" x14ac:dyDescent="0.25"/>
    <row r="726" spans="3:28" s="29" customFormat="1" x14ac:dyDescent="0.25">
      <c r="C726" s="993" t="s">
        <v>8</v>
      </c>
      <c r="D726" s="993"/>
      <c r="E726" s="993"/>
      <c r="F726" s="993"/>
      <c r="G726" s="993"/>
      <c r="H726" s="993"/>
      <c r="I726" s="993"/>
      <c r="J726" s="993"/>
      <c r="T726" s="30"/>
      <c r="U726" s="30"/>
      <c r="V726" s="30"/>
      <c r="W726" s="30"/>
      <c r="X726" s="30"/>
    </row>
    <row r="727" spans="3:28" s="29" customFormat="1" x14ac:dyDescent="0.25">
      <c r="C727" s="989" t="s">
        <v>0</v>
      </c>
      <c r="D727" s="989"/>
      <c r="E727" s="989"/>
      <c r="F727" s="989" t="s">
        <v>1</v>
      </c>
      <c r="G727" s="989"/>
      <c r="H727" s="989"/>
      <c r="I727" s="989"/>
      <c r="J727" s="989"/>
      <c r="T727" s="30"/>
      <c r="U727" s="30"/>
      <c r="V727" s="30"/>
      <c r="W727" s="30"/>
      <c r="X727" s="30"/>
    </row>
    <row r="728" spans="3:28" s="29" customFormat="1" x14ac:dyDescent="0.25">
      <c r="C728" s="990" t="s">
        <v>2</v>
      </c>
      <c r="D728" s="990"/>
      <c r="E728" s="990"/>
      <c r="F728" s="991" t="s">
        <v>135</v>
      </c>
      <c r="G728" s="991"/>
      <c r="H728" s="991"/>
      <c r="I728" s="991"/>
      <c r="J728" s="991"/>
      <c r="M728" s="113" t="s">
        <v>336</v>
      </c>
      <c r="N728" s="113" t="s">
        <v>174</v>
      </c>
      <c r="O728" s="113" t="s">
        <v>248</v>
      </c>
      <c r="P728" s="113" t="s">
        <v>176</v>
      </c>
      <c r="Q728" s="113" t="s">
        <v>337</v>
      </c>
      <c r="R728" s="113" t="s">
        <v>1641</v>
      </c>
      <c r="S728" s="113" t="s">
        <v>1642</v>
      </c>
      <c r="T728" s="113" t="s">
        <v>1643</v>
      </c>
      <c r="U728" s="113" t="s">
        <v>1644</v>
      </c>
      <c r="V728" s="103"/>
      <c r="W728" s="103"/>
      <c r="X728" s="103"/>
    </row>
    <row r="729" spans="3:28" s="29" customFormat="1" x14ac:dyDescent="0.25">
      <c r="C729" s="990"/>
      <c r="D729" s="990"/>
      <c r="E729" s="990"/>
      <c r="F729" s="991"/>
      <c r="G729" s="991"/>
      <c r="H729" s="991"/>
      <c r="I729" s="991"/>
      <c r="J729" s="991"/>
      <c r="M729" s="114" t="s">
        <v>344</v>
      </c>
      <c r="N729" s="114">
        <f>E20</f>
        <v>2099.0723984875517</v>
      </c>
      <c r="O729" s="114" t="str">
        <f>D20</f>
        <v>g</v>
      </c>
      <c r="P729" s="114">
        <v>100</v>
      </c>
      <c r="Q729" s="114">
        <f>N729</f>
        <v>2099.0723984875517</v>
      </c>
      <c r="R729" s="114">
        <v>0</v>
      </c>
      <c r="S729" s="114">
        <f>P729*R729</f>
        <v>0</v>
      </c>
      <c r="T729" s="114">
        <f>P729-S729</f>
        <v>100</v>
      </c>
      <c r="U729" s="114">
        <f>Q729+((S729*Q729)/P729)</f>
        <v>2099.0723984875517</v>
      </c>
      <c r="V729" s="104"/>
      <c r="W729" s="104"/>
      <c r="X729" s="104"/>
    </row>
    <row r="730" spans="3:28" s="29" customFormat="1" x14ac:dyDescent="0.25">
      <c r="C730" s="990"/>
      <c r="D730" s="990"/>
      <c r="E730" s="990"/>
      <c r="F730" s="991"/>
      <c r="G730" s="991"/>
      <c r="H730" s="991"/>
      <c r="I730" s="991"/>
      <c r="J730" s="991"/>
      <c r="M730" s="114" t="s">
        <v>340</v>
      </c>
      <c r="N730" s="114">
        <f>Y20</f>
        <v>0.64</v>
      </c>
      <c r="O730" s="114" t="str">
        <f>X20</f>
        <v>g</v>
      </c>
      <c r="P730" s="114">
        <v>2</v>
      </c>
      <c r="Q730" s="114">
        <f t="shared" ref="Q730:Q737" si="161">N730*P730</f>
        <v>1.28</v>
      </c>
      <c r="R730" s="114">
        <v>0</v>
      </c>
      <c r="S730" s="114">
        <f t="shared" ref="S730:S736" si="162">P730*R730</f>
        <v>0</v>
      </c>
      <c r="T730" s="114">
        <f t="shared" ref="T730:T736" si="163">P730-S730</f>
        <v>2</v>
      </c>
      <c r="U730" s="114">
        <f t="shared" ref="U730:U736" si="164">Q730+((S730*Q730)/P730)</f>
        <v>1.28</v>
      </c>
      <c r="V730" s="30"/>
      <c r="W730" s="30"/>
      <c r="X730" s="30"/>
    </row>
    <row r="731" spans="3:28" s="29" customFormat="1" x14ac:dyDescent="0.25">
      <c r="C731" s="989" t="s">
        <v>0</v>
      </c>
      <c r="D731" s="989"/>
      <c r="E731" s="989"/>
      <c r="F731" s="989" t="s">
        <v>1</v>
      </c>
      <c r="G731" s="989"/>
      <c r="H731" s="989"/>
      <c r="I731" s="989"/>
      <c r="J731" s="989"/>
      <c r="M731" s="114" t="s">
        <v>429</v>
      </c>
      <c r="N731" s="114">
        <f>P29</f>
        <v>1.8</v>
      </c>
      <c r="O731" s="114" t="str">
        <f>O29</f>
        <v>g</v>
      </c>
      <c r="P731" s="114">
        <v>60</v>
      </c>
      <c r="Q731" s="114">
        <f t="shared" si="161"/>
        <v>108</v>
      </c>
      <c r="R731" s="114">
        <f>AJ18</f>
        <v>0.05</v>
      </c>
      <c r="S731" s="114">
        <f t="shared" si="162"/>
        <v>3</v>
      </c>
      <c r="T731" s="114">
        <f t="shared" si="163"/>
        <v>57</v>
      </c>
      <c r="U731" s="114">
        <f t="shared" si="164"/>
        <v>113.4</v>
      </c>
      <c r="V731" s="30"/>
      <c r="W731" s="30"/>
      <c r="X731" s="30"/>
    </row>
    <row r="732" spans="3:28" s="29" customFormat="1" x14ac:dyDescent="0.25">
      <c r="C732" s="990" t="s">
        <v>3</v>
      </c>
      <c r="D732" s="990"/>
      <c r="E732" s="990"/>
      <c r="F732" s="992" t="s">
        <v>136</v>
      </c>
      <c r="G732" s="991"/>
      <c r="H732" s="991"/>
      <c r="I732" s="991"/>
      <c r="J732" s="991"/>
      <c r="M732" s="114" t="s">
        <v>346</v>
      </c>
      <c r="N732" s="114">
        <f>P3</f>
        <v>7</v>
      </c>
      <c r="O732" s="114" t="str">
        <f>O3</f>
        <v>g</v>
      </c>
      <c r="P732" s="114">
        <v>6</v>
      </c>
      <c r="Q732" s="114">
        <f t="shared" si="161"/>
        <v>42</v>
      </c>
      <c r="R732" s="114">
        <f>AJ2</f>
        <v>0.23</v>
      </c>
      <c r="S732" s="114">
        <f t="shared" si="162"/>
        <v>1.3800000000000001</v>
      </c>
      <c r="T732" s="114">
        <f t="shared" si="163"/>
        <v>4.62</v>
      </c>
      <c r="U732" s="114">
        <f t="shared" si="164"/>
        <v>51.660000000000004</v>
      </c>
      <c r="V732" s="30"/>
      <c r="W732" s="30"/>
      <c r="X732" s="30"/>
    </row>
    <row r="733" spans="3:28" s="29" customFormat="1" x14ac:dyDescent="0.25">
      <c r="C733" s="990"/>
      <c r="D733" s="990"/>
      <c r="E733" s="990"/>
      <c r="F733" s="991"/>
      <c r="G733" s="991"/>
      <c r="H733" s="991"/>
      <c r="I733" s="991"/>
      <c r="J733" s="991"/>
      <c r="M733" s="114" t="s">
        <v>445</v>
      </c>
      <c r="N733" s="114">
        <f>Y15</f>
        <v>159</v>
      </c>
      <c r="O733" s="114" t="str">
        <f>X15</f>
        <v>g</v>
      </c>
      <c r="P733" s="114">
        <v>20</v>
      </c>
      <c r="Q733" s="114">
        <f t="shared" si="161"/>
        <v>3180</v>
      </c>
      <c r="R733" s="114">
        <v>0</v>
      </c>
      <c r="S733" s="114">
        <f t="shared" si="162"/>
        <v>0</v>
      </c>
      <c r="T733" s="114">
        <f t="shared" si="163"/>
        <v>20</v>
      </c>
      <c r="U733" s="114">
        <f t="shared" si="164"/>
        <v>3180</v>
      </c>
      <c r="V733" s="30"/>
      <c r="W733" s="30"/>
      <c r="X733" s="30"/>
    </row>
    <row r="734" spans="3:28" s="29" customFormat="1" x14ac:dyDescent="0.25">
      <c r="C734" s="990"/>
      <c r="D734" s="990"/>
      <c r="E734" s="990"/>
      <c r="F734" s="991"/>
      <c r="G734" s="991"/>
      <c r="H734" s="991"/>
      <c r="I734" s="991"/>
      <c r="J734" s="991"/>
      <c r="M734" s="114" t="s">
        <v>433</v>
      </c>
      <c r="N734" s="114">
        <f>Y18</f>
        <v>223.57</v>
      </c>
      <c r="O734" s="114" t="str">
        <f>X18</f>
        <v>g</v>
      </c>
      <c r="P734" s="114">
        <v>8</v>
      </c>
      <c r="Q734" s="114">
        <f t="shared" si="161"/>
        <v>1788.56</v>
      </c>
      <c r="R734" s="114">
        <v>0</v>
      </c>
      <c r="S734" s="114">
        <f t="shared" si="162"/>
        <v>0</v>
      </c>
      <c r="T734" s="114">
        <f t="shared" si="163"/>
        <v>8</v>
      </c>
      <c r="U734" s="114">
        <f t="shared" si="164"/>
        <v>1788.56</v>
      </c>
      <c r="V734" s="30"/>
      <c r="W734" s="30"/>
      <c r="X734" s="30"/>
    </row>
    <row r="735" spans="3:28" s="29" customFormat="1" x14ac:dyDescent="0.25">
      <c r="C735" s="990" t="s">
        <v>4</v>
      </c>
      <c r="D735" s="990"/>
      <c r="E735" s="990"/>
      <c r="F735" s="991" t="s">
        <v>15</v>
      </c>
      <c r="G735" s="991"/>
      <c r="H735" s="991"/>
      <c r="I735" s="991"/>
      <c r="J735" s="991"/>
      <c r="M735" s="114" t="s">
        <v>442</v>
      </c>
      <c r="N735" s="114">
        <f>Y3</f>
        <v>30</v>
      </c>
      <c r="O735" s="114" t="str">
        <f>X3</f>
        <v>g</v>
      </c>
      <c r="P735" s="114">
        <v>15</v>
      </c>
      <c r="Q735" s="114">
        <f t="shared" si="161"/>
        <v>450</v>
      </c>
      <c r="R735" s="114">
        <v>0</v>
      </c>
      <c r="S735" s="114">
        <f t="shared" si="162"/>
        <v>0</v>
      </c>
      <c r="T735" s="114">
        <f t="shared" si="163"/>
        <v>15</v>
      </c>
      <c r="U735" s="114">
        <f t="shared" si="164"/>
        <v>450</v>
      </c>
      <c r="V735" s="30"/>
      <c r="W735" s="30"/>
      <c r="X735" s="30"/>
    </row>
    <row r="736" spans="3:28" s="29" customFormat="1" x14ac:dyDescent="0.25">
      <c r="C736" s="990"/>
      <c r="D736" s="990"/>
      <c r="E736" s="990"/>
      <c r="F736" s="991"/>
      <c r="G736" s="991"/>
      <c r="H736" s="991"/>
      <c r="I736" s="991"/>
      <c r="J736" s="991"/>
      <c r="M736" s="114" t="s">
        <v>488</v>
      </c>
      <c r="N736" s="114">
        <f>S17</f>
        <v>153.78</v>
      </c>
      <c r="O736" s="114" t="str">
        <f>R17</f>
        <v>g</v>
      </c>
      <c r="P736" s="114">
        <v>110</v>
      </c>
      <c r="Q736" s="114">
        <f t="shared" si="161"/>
        <v>16915.8</v>
      </c>
      <c r="R736" s="114">
        <f>AN8</f>
        <v>0.35</v>
      </c>
      <c r="S736" s="114">
        <f t="shared" si="162"/>
        <v>38.5</v>
      </c>
      <c r="T736" s="114">
        <f t="shared" si="163"/>
        <v>71.5</v>
      </c>
      <c r="U736" s="114">
        <f t="shared" si="164"/>
        <v>22836.329999999998</v>
      </c>
      <c r="V736" s="30"/>
      <c r="W736" s="30"/>
      <c r="X736" s="30"/>
    </row>
    <row r="737" spans="3:24" s="29" customFormat="1" x14ac:dyDescent="0.25">
      <c r="C737" s="990"/>
      <c r="D737" s="990"/>
      <c r="E737" s="990"/>
      <c r="F737" s="991"/>
      <c r="G737" s="991"/>
      <c r="H737" s="991"/>
      <c r="I737" s="991"/>
      <c r="J737" s="991"/>
      <c r="M737" s="114"/>
      <c r="N737" s="114"/>
      <c r="O737" s="114" t="s">
        <v>1388</v>
      </c>
      <c r="P737" s="114"/>
      <c r="Q737" s="114">
        <f t="shared" si="161"/>
        <v>0</v>
      </c>
      <c r="R737" s="114"/>
      <c r="S737" s="114"/>
      <c r="T737" s="114"/>
      <c r="U737" s="114"/>
      <c r="V737" s="30"/>
      <c r="W737" s="30"/>
      <c r="X737" s="30"/>
    </row>
    <row r="738" spans="3:24" s="29" customFormat="1" x14ac:dyDescent="0.25">
      <c r="C738" s="990" t="s">
        <v>5</v>
      </c>
      <c r="D738" s="990"/>
      <c r="E738" s="990"/>
      <c r="F738" s="991" t="s">
        <v>137</v>
      </c>
      <c r="G738" s="991"/>
      <c r="H738" s="991"/>
      <c r="I738" s="991"/>
      <c r="J738" s="991"/>
      <c r="M738" s="114" t="s">
        <v>337</v>
      </c>
      <c r="N738" s="114">
        <f>SUM(N729:N737)</f>
        <v>2674.8623984875521</v>
      </c>
      <c r="O738" s="114"/>
      <c r="P738" s="114">
        <f>SUM(P729:P737)</f>
        <v>321</v>
      </c>
      <c r="Q738" s="114">
        <f>SUM(Q729:Q737)</f>
        <v>24584.712398487551</v>
      </c>
      <c r="R738" s="114"/>
      <c r="S738" s="114"/>
      <c r="T738" s="114"/>
      <c r="U738" s="114">
        <f>SUM(U729:U737)</f>
        <v>30520.302398487547</v>
      </c>
    </row>
    <row r="739" spans="3:24" s="29" customFormat="1" x14ac:dyDescent="0.25">
      <c r="C739" s="990"/>
      <c r="D739" s="990"/>
      <c r="E739" s="990"/>
      <c r="F739" s="991"/>
      <c r="G739" s="991"/>
      <c r="H739" s="991"/>
      <c r="I739" s="991"/>
      <c r="J739" s="991"/>
    </row>
    <row r="740" spans="3:24" s="29" customFormat="1" x14ac:dyDescent="0.25">
      <c r="C740" s="990"/>
      <c r="D740" s="990"/>
      <c r="E740" s="990"/>
      <c r="F740" s="991"/>
      <c r="G740" s="991"/>
      <c r="H740" s="991"/>
      <c r="I740" s="991"/>
      <c r="J740" s="991"/>
      <c r="Q740" s="114" t="s">
        <v>1681</v>
      </c>
      <c r="R740" s="114">
        <f>U738</f>
        <v>30520.302398487547</v>
      </c>
      <c r="S740" s="608" t="s">
        <v>2142</v>
      </c>
      <c r="T740" s="608">
        <f>(R740*100)/R747</f>
        <v>54.400234796206952</v>
      </c>
    </row>
    <row r="741" spans="3:24" s="29" customFormat="1" x14ac:dyDescent="0.25">
      <c r="C741" s="990" t="s">
        <v>6</v>
      </c>
      <c r="D741" s="990"/>
      <c r="E741" s="990"/>
      <c r="F741" s="991" t="s">
        <v>9</v>
      </c>
      <c r="G741" s="991"/>
      <c r="H741" s="991"/>
      <c r="I741" s="991"/>
      <c r="J741" s="991"/>
      <c r="Q741" s="114" t="s">
        <v>2326</v>
      </c>
      <c r="R741" s="114">
        <f>$AL$26</f>
        <v>1801.715474357886</v>
      </c>
    </row>
    <row r="742" spans="3:24" s="29" customFormat="1" x14ac:dyDescent="0.25">
      <c r="C742" s="990"/>
      <c r="D742" s="990"/>
      <c r="E742" s="990"/>
      <c r="F742" s="991"/>
      <c r="G742" s="991"/>
      <c r="H742" s="991"/>
      <c r="I742" s="991"/>
      <c r="J742" s="991"/>
      <c r="Q742" s="114" t="s">
        <v>2325</v>
      </c>
      <c r="R742" s="114">
        <f>$AL$27</f>
        <v>75.599999999999994</v>
      </c>
    </row>
    <row r="743" spans="3:24" s="29" customFormat="1" x14ac:dyDescent="0.25">
      <c r="C743" s="990"/>
      <c r="D743" s="990"/>
      <c r="E743" s="990"/>
      <c r="F743" s="991"/>
      <c r="G743" s="991"/>
      <c r="H743" s="991"/>
      <c r="I743" s="991"/>
      <c r="J743" s="991"/>
      <c r="Q743" s="114" t="s">
        <v>1684</v>
      </c>
      <c r="R743" s="114">
        <f>$AL$29</f>
        <v>69.543532482306858</v>
      </c>
    </row>
    <row r="744" spans="3:24" s="29" customFormat="1" x14ac:dyDescent="0.25">
      <c r="C744" s="990" t="s">
        <v>7</v>
      </c>
      <c r="D744" s="990"/>
      <c r="E744" s="990"/>
      <c r="F744" s="991" t="s">
        <v>592</v>
      </c>
      <c r="G744" s="991"/>
      <c r="H744" s="991"/>
      <c r="I744" s="991"/>
      <c r="J744" s="991"/>
      <c r="Q744" s="114" t="s">
        <v>1685</v>
      </c>
      <c r="R744" s="114">
        <v>0.6</v>
      </c>
    </row>
    <row r="745" spans="3:24" s="29" customFormat="1" x14ac:dyDescent="0.25">
      <c r="C745" s="990"/>
      <c r="D745" s="990"/>
      <c r="E745" s="990"/>
      <c r="F745" s="991"/>
      <c r="G745" s="991"/>
      <c r="H745" s="991"/>
      <c r="I745" s="991"/>
      <c r="J745" s="991"/>
      <c r="Q745" s="114" t="s">
        <v>1708</v>
      </c>
      <c r="R745" s="114">
        <f>(SUM(R740:R743)*R744)+SUM(R740:R743)</f>
        <v>51947.458248524388</v>
      </c>
    </row>
    <row r="746" spans="3:24" s="29" customFormat="1" x14ac:dyDescent="0.25">
      <c r="C746" s="990"/>
      <c r="D746" s="990"/>
      <c r="E746" s="990"/>
      <c r="F746" s="991"/>
      <c r="G746" s="991"/>
      <c r="H746" s="991"/>
      <c r="I746" s="991"/>
      <c r="J746" s="991"/>
      <c r="Q746" s="114" t="s">
        <v>2130</v>
      </c>
      <c r="R746" s="114">
        <f>R745*0.08</f>
        <v>4155.7966598819512</v>
      </c>
    </row>
    <row r="747" spans="3:24" s="29" customFormat="1" x14ac:dyDescent="0.25">
      <c r="Q747" s="114" t="s">
        <v>1686</v>
      </c>
      <c r="R747" s="114">
        <f>SUM(R745+R746)</f>
        <v>56103.254908406336</v>
      </c>
      <c r="S747" s="30"/>
      <c r="T747" s="30"/>
      <c r="U747" s="30"/>
      <c r="V747" s="30"/>
      <c r="W747" s="30"/>
      <c r="X747" s="30"/>
    </row>
    <row r="748" spans="3:24" s="29" customFormat="1" x14ac:dyDescent="0.25">
      <c r="S748" s="30"/>
      <c r="T748" s="30"/>
      <c r="U748" s="30"/>
      <c r="V748" s="30"/>
      <c r="W748" s="30"/>
      <c r="X748" s="30"/>
    </row>
    <row r="749" spans="3:24" s="29" customFormat="1" x14ac:dyDescent="0.25">
      <c r="C749" s="993" t="s">
        <v>8</v>
      </c>
      <c r="D749" s="993"/>
      <c r="E749" s="993"/>
      <c r="F749" s="993"/>
      <c r="G749" s="993"/>
      <c r="H749" s="993"/>
      <c r="I749" s="993"/>
      <c r="J749" s="993"/>
      <c r="S749" s="30"/>
      <c r="T749" s="30"/>
      <c r="U749" s="30"/>
      <c r="V749" s="30"/>
      <c r="W749" s="30"/>
      <c r="X749" s="30"/>
    </row>
    <row r="750" spans="3:24" s="29" customFormat="1" x14ac:dyDescent="0.25">
      <c r="C750" s="989" t="s">
        <v>0</v>
      </c>
      <c r="D750" s="989"/>
      <c r="E750" s="989"/>
      <c r="F750" s="989" t="s">
        <v>1</v>
      </c>
      <c r="G750" s="989"/>
      <c r="H750" s="989"/>
      <c r="I750" s="989"/>
      <c r="J750" s="989"/>
      <c r="S750" s="30"/>
      <c r="T750" s="30"/>
      <c r="U750" s="30"/>
      <c r="V750" s="30"/>
      <c r="W750" s="30"/>
      <c r="X750" s="30"/>
    </row>
    <row r="751" spans="3:24" s="29" customFormat="1" x14ac:dyDescent="0.25">
      <c r="C751" s="990" t="s">
        <v>2</v>
      </c>
      <c r="D751" s="990"/>
      <c r="E751" s="990"/>
      <c r="F751" s="991" t="s">
        <v>77</v>
      </c>
      <c r="G751" s="991"/>
      <c r="H751" s="991"/>
      <c r="I751" s="991"/>
      <c r="J751" s="991"/>
      <c r="M751" s="113" t="s">
        <v>336</v>
      </c>
      <c r="N751" s="113" t="s">
        <v>174</v>
      </c>
      <c r="O751" s="113" t="s">
        <v>248</v>
      </c>
      <c r="P751" s="113" t="s">
        <v>176</v>
      </c>
      <c r="Q751" s="113" t="s">
        <v>337</v>
      </c>
      <c r="R751" s="113" t="s">
        <v>1641</v>
      </c>
      <c r="S751" s="113" t="s">
        <v>1642</v>
      </c>
      <c r="T751" s="113" t="s">
        <v>1643</v>
      </c>
      <c r="U751" s="113" t="s">
        <v>1644</v>
      </c>
      <c r="V751" s="103"/>
      <c r="W751" s="103"/>
      <c r="X751" s="103"/>
    </row>
    <row r="752" spans="3:24" s="29" customFormat="1" x14ac:dyDescent="0.25">
      <c r="C752" s="990"/>
      <c r="D752" s="990"/>
      <c r="E752" s="990"/>
      <c r="F752" s="991"/>
      <c r="G752" s="991"/>
      <c r="H752" s="991"/>
      <c r="I752" s="991"/>
      <c r="J752" s="991"/>
      <c r="M752" s="114" t="s">
        <v>344</v>
      </c>
      <c r="N752" s="114">
        <f>E9</f>
        <v>2099.0723984875517</v>
      </c>
      <c r="O752" s="114" t="str">
        <f>D9</f>
        <v>g</v>
      </c>
      <c r="P752" s="114">
        <v>100</v>
      </c>
      <c r="Q752" s="114">
        <f>N752</f>
        <v>2099.0723984875517</v>
      </c>
      <c r="R752" s="114">
        <v>0</v>
      </c>
      <c r="S752" s="114">
        <f>P752*R752</f>
        <v>0</v>
      </c>
      <c r="T752" s="114">
        <f>P752-S752</f>
        <v>100</v>
      </c>
      <c r="U752" s="114">
        <f>Q752+((S752*Q752)/P752)</f>
        <v>2099.0723984875517</v>
      </c>
      <c r="V752" s="104"/>
      <c r="W752" s="104"/>
      <c r="X752" s="104"/>
    </row>
    <row r="753" spans="3:24" s="29" customFormat="1" x14ac:dyDescent="0.25">
      <c r="C753" s="990"/>
      <c r="D753" s="990"/>
      <c r="E753" s="990"/>
      <c r="F753" s="991"/>
      <c r="G753" s="991"/>
      <c r="H753" s="991"/>
      <c r="I753" s="991"/>
      <c r="J753" s="991"/>
      <c r="M753" s="114" t="s">
        <v>340</v>
      </c>
      <c r="N753" s="114">
        <f>Y20</f>
        <v>0.64</v>
      </c>
      <c r="O753" s="114" t="str">
        <f>X20</f>
        <v>g</v>
      </c>
      <c r="P753" s="114">
        <v>2</v>
      </c>
      <c r="Q753" s="114">
        <f t="shared" ref="Q753:Q762" si="165">N753*P753</f>
        <v>1.28</v>
      </c>
      <c r="R753" s="114">
        <v>0</v>
      </c>
      <c r="S753" s="114">
        <f t="shared" ref="S753:S761" si="166">P753*R753</f>
        <v>0</v>
      </c>
      <c r="T753" s="114">
        <f t="shared" ref="T753:T761" si="167">P753-S753</f>
        <v>2</v>
      </c>
      <c r="U753" s="114">
        <f t="shared" ref="U753:U761" si="168">Q753+((S753*Q753)/P753)</f>
        <v>1.28</v>
      </c>
      <c r="V753" s="30"/>
      <c r="W753" s="30"/>
      <c r="X753" s="30"/>
    </row>
    <row r="754" spans="3:24" s="29" customFormat="1" x14ac:dyDescent="0.25">
      <c r="C754" s="989" t="s">
        <v>0</v>
      </c>
      <c r="D754" s="989"/>
      <c r="E754" s="989"/>
      <c r="F754" s="989" t="s">
        <v>1</v>
      </c>
      <c r="G754" s="989"/>
      <c r="H754" s="989"/>
      <c r="I754" s="989"/>
      <c r="J754" s="989"/>
      <c r="M754" s="114" t="s">
        <v>429</v>
      </c>
      <c r="N754" s="114">
        <f>P29</f>
        <v>1.8</v>
      </c>
      <c r="O754" s="114" t="str">
        <f>O29</f>
        <v>g</v>
      </c>
      <c r="P754" s="114">
        <v>40</v>
      </c>
      <c r="Q754" s="114">
        <f t="shared" si="165"/>
        <v>72</v>
      </c>
      <c r="R754" s="114">
        <f>AJ18</f>
        <v>0.05</v>
      </c>
      <c r="S754" s="114">
        <f t="shared" si="166"/>
        <v>2</v>
      </c>
      <c r="T754" s="114">
        <f t="shared" si="167"/>
        <v>38</v>
      </c>
      <c r="U754" s="114">
        <f t="shared" si="168"/>
        <v>75.599999999999994</v>
      </c>
      <c r="V754" s="30"/>
      <c r="W754" s="30"/>
      <c r="X754" s="30"/>
    </row>
    <row r="755" spans="3:24" s="29" customFormat="1" x14ac:dyDescent="0.25">
      <c r="C755" s="990" t="s">
        <v>3</v>
      </c>
      <c r="D755" s="990"/>
      <c r="E755" s="990"/>
      <c r="F755" s="992" t="s">
        <v>78</v>
      </c>
      <c r="G755" s="991"/>
      <c r="H755" s="991"/>
      <c r="I755" s="991"/>
      <c r="J755" s="991"/>
      <c r="M755" s="114" t="s">
        <v>346</v>
      </c>
      <c r="N755" s="114">
        <f>P3</f>
        <v>7</v>
      </c>
      <c r="O755" s="114" t="str">
        <f>O3</f>
        <v>g</v>
      </c>
      <c r="P755" s="114">
        <v>8</v>
      </c>
      <c r="Q755" s="114">
        <f t="shared" si="165"/>
        <v>56</v>
      </c>
      <c r="R755" s="114">
        <f>AJ2</f>
        <v>0.23</v>
      </c>
      <c r="S755" s="114">
        <f t="shared" si="166"/>
        <v>1.84</v>
      </c>
      <c r="T755" s="114">
        <f t="shared" si="167"/>
        <v>6.16</v>
      </c>
      <c r="U755" s="114">
        <f t="shared" si="168"/>
        <v>68.88</v>
      </c>
      <c r="V755" s="30"/>
      <c r="W755" s="30"/>
      <c r="X755" s="30"/>
    </row>
    <row r="756" spans="3:24" s="29" customFormat="1" x14ac:dyDescent="0.25">
      <c r="C756" s="990"/>
      <c r="D756" s="990"/>
      <c r="E756" s="990"/>
      <c r="F756" s="991"/>
      <c r="G756" s="991"/>
      <c r="H756" s="991"/>
      <c r="I756" s="991"/>
      <c r="J756" s="991"/>
      <c r="M756" s="114" t="s">
        <v>492</v>
      </c>
      <c r="N756" s="114">
        <f>AE13</f>
        <v>18.48</v>
      </c>
      <c r="O756" s="114" t="str">
        <f>AD13</f>
        <v>g</v>
      </c>
      <c r="P756" s="114">
        <v>70</v>
      </c>
      <c r="Q756" s="114">
        <f t="shared" si="165"/>
        <v>1293.6000000000001</v>
      </c>
      <c r="R756" s="114">
        <v>0</v>
      </c>
      <c r="S756" s="114">
        <f t="shared" si="166"/>
        <v>0</v>
      </c>
      <c r="T756" s="114">
        <f t="shared" si="167"/>
        <v>70</v>
      </c>
      <c r="U756" s="114">
        <f t="shared" si="168"/>
        <v>1293.6000000000001</v>
      </c>
      <c r="V756" s="30"/>
      <c r="W756" s="30"/>
      <c r="X756" s="30"/>
    </row>
    <row r="757" spans="3:24" s="29" customFormat="1" x14ac:dyDescent="0.25">
      <c r="C757" s="990"/>
      <c r="D757" s="990"/>
      <c r="E757" s="990"/>
      <c r="F757" s="991"/>
      <c r="G757" s="991"/>
      <c r="H757" s="991"/>
      <c r="I757" s="991"/>
      <c r="J757" s="991"/>
      <c r="M757" s="114" t="s">
        <v>493</v>
      </c>
      <c r="N757" s="114">
        <f>P10</f>
        <v>0.7</v>
      </c>
      <c r="O757" s="114" t="str">
        <f>O10</f>
        <v>g</v>
      </c>
      <c r="P757" s="114">
        <v>30</v>
      </c>
      <c r="Q757" s="114">
        <f>AJ7</f>
        <v>0.15</v>
      </c>
      <c r="R757" s="114">
        <v>0</v>
      </c>
      <c r="S757" s="114">
        <f t="shared" si="166"/>
        <v>0</v>
      </c>
      <c r="T757" s="114">
        <f t="shared" si="167"/>
        <v>30</v>
      </c>
      <c r="U757" s="114">
        <f t="shared" si="168"/>
        <v>0.15</v>
      </c>
      <c r="V757" s="30"/>
      <c r="W757" s="30"/>
      <c r="X757" s="30"/>
    </row>
    <row r="758" spans="3:24" s="29" customFormat="1" x14ac:dyDescent="0.25">
      <c r="C758" s="990" t="s">
        <v>4</v>
      </c>
      <c r="D758" s="990"/>
      <c r="E758" s="990"/>
      <c r="F758" s="991" t="s">
        <v>15</v>
      </c>
      <c r="G758" s="991"/>
      <c r="H758" s="991"/>
      <c r="I758" s="991"/>
      <c r="J758" s="991"/>
      <c r="M758" s="114" t="s">
        <v>546</v>
      </c>
      <c r="N758" s="114">
        <f>AE3</f>
        <v>49.18</v>
      </c>
      <c r="O758" s="114" t="str">
        <f>AD3</f>
        <v>mL</v>
      </c>
      <c r="P758" s="114">
        <v>15</v>
      </c>
      <c r="Q758" s="114">
        <f t="shared" si="165"/>
        <v>737.7</v>
      </c>
      <c r="R758" s="114">
        <v>0</v>
      </c>
      <c r="S758" s="114">
        <f t="shared" si="166"/>
        <v>0</v>
      </c>
      <c r="T758" s="114">
        <f t="shared" si="167"/>
        <v>15</v>
      </c>
      <c r="U758" s="114">
        <f t="shared" si="168"/>
        <v>737.7</v>
      </c>
      <c r="V758" s="103"/>
      <c r="W758" s="103"/>
      <c r="X758" s="103"/>
    </row>
    <row r="759" spans="3:24" s="29" customFormat="1" x14ac:dyDescent="0.25">
      <c r="C759" s="990"/>
      <c r="D759" s="990"/>
      <c r="E759" s="990"/>
      <c r="F759" s="991"/>
      <c r="G759" s="991"/>
      <c r="H759" s="991"/>
      <c r="I759" s="991"/>
      <c r="J759" s="991"/>
      <c r="M759" s="114" t="s">
        <v>433</v>
      </c>
      <c r="N759" s="114">
        <f>Y18</f>
        <v>223.57</v>
      </c>
      <c r="O759" s="114" t="str">
        <f>X18</f>
        <v>g</v>
      </c>
      <c r="P759" s="114">
        <v>8</v>
      </c>
      <c r="Q759" s="114">
        <f t="shared" si="165"/>
        <v>1788.56</v>
      </c>
      <c r="R759" s="114">
        <v>0</v>
      </c>
      <c r="S759" s="114">
        <f t="shared" si="166"/>
        <v>0</v>
      </c>
      <c r="T759" s="114">
        <f t="shared" si="167"/>
        <v>8</v>
      </c>
      <c r="U759" s="114">
        <f t="shared" si="168"/>
        <v>1788.56</v>
      </c>
      <c r="V759" s="30"/>
      <c r="W759" s="30"/>
      <c r="X759" s="30"/>
    </row>
    <row r="760" spans="3:24" s="29" customFormat="1" x14ac:dyDescent="0.25">
      <c r="C760" s="990"/>
      <c r="D760" s="990"/>
      <c r="E760" s="990"/>
      <c r="F760" s="991"/>
      <c r="G760" s="991"/>
      <c r="H760" s="991"/>
      <c r="I760" s="991"/>
      <c r="J760" s="991"/>
      <c r="M760" s="114" t="s">
        <v>349</v>
      </c>
      <c r="N760" s="114">
        <f>S15</f>
        <v>41</v>
      </c>
      <c r="O760" s="114" t="str">
        <f>R15</f>
        <v>g</v>
      </c>
      <c r="P760" s="114">
        <v>80</v>
      </c>
      <c r="Q760" s="114">
        <f>AN3</f>
        <v>0.47</v>
      </c>
      <c r="R760" s="114">
        <v>0</v>
      </c>
      <c r="S760" s="114">
        <f t="shared" si="166"/>
        <v>0</v>
      </c>
      <c r="T760" s="114">
        <f t="shared" si="167"/>
        <v>80</v>
      </c>
      <c r="U760" s="114">
        <f t="shared" si="168"/>
        <v>0.47</v>
      </c>
      <c r="V760" s="30"/>
      <c r="W760" s="30"/>
      <c r="X760" s="30"/>
    </row>
    <row r="761" spans="3:24" s="29" customFormat="1" x14ac:dyDescent="0.25">
      <c r="C761" s="990" t="s">
        <v>5</v>
      </c>
      <c r="D761" s="990"/>
      <c r="E761" s="990"/>
      <c r="F761" s="991" t="s">
        <v>594</v>
      </c>
      <c r="G761" s="991"/>
      <c r="H761" s="991"/>
      <c r="I761" s="991"/>
      <c r="J761" s="991"/>
      <c r="M761" s="114" t="s">
        <v>463</v>
      </c>
      <c r="N761" s="114">
        <f>Y12+Y16</f>
        <v>175.82999999999998</v>
      </c>
      <c r="O761" s="114" t="str">
        <f>X16</f>
        <v>g</v>
      </c>
      <c r="P761" s="114">
        <v>20</v>
      </c>
      <c r="Q761" s="114">
        <f t="shared" si="165"/>
        <v>3516.5999999999995</v>
      </c>
      <c r="R761" s="114">
        <v>0</v>
      </c>
      <c r="S761" s="114">
        <f t="shared" si="166"/>
        <v>0</v>
      </c>
      <c r="T761" s="114">
        <f t="shared" si="167"/>
        <v>20</v>
      </c>
      <c r="U761" s="114">
        <f t="shared" si="168"/>
        <v>3516.5999999999995</v>
      </c>
      <c r="V761" s="30"/>
      <c r="W761" s="30"/>
      <c r="X761" s="30"/>
    </row>
    <row r="762" spans="3:24" s="29" customFormat="1" x14ac:dyDescent="0.25">
      <c r="C762" s="990"/>
      <c r="D762" s="990"/>
      <c r="E762" s="990"/>
      <c r="F762" s="991"/>
      <c r="G762" s="991"/>
      <c r="H762" s="991"/>
      <c r="I762" s="991"/>
      <c r="J762" s="991"/>
      <c r="M762" s="114"/>
      <c r="N762" s="114"/>
      <c r="O762" s="114" t="s">
        <v>1388</v>
      </c>
      <c r="P762" s="114"/>
      <c r="Q762" s="114">
        <f t="shared" si="165"/>
        <v>0</v>
      </c>
      <c r="R762" s="114"/>
      <c r="S762" s="114"/>
      <c r="T762" s="114"/>
      <c r="U762" s="114"/>
      <c r="V762" s="30"/>
      <c r="W762" s="30"/>
      <c r="X762" s="30"/>
    </row>
    <row r="763" spans="3:24" s="29" customFormat="1" x14ac:dyDescent="0.25">
      <c r="C763" s="990"/>
      <c r="D763" s="990"/>
      <c r="E763" s="990"/>
      <c r="F763" s="991"/>
      <c r="G763" s="991"/>
      <c r="H763" s="991"/>
      <c r="I763" s="991"/>
      <c r="J763" s="991"/>
      <c r="M763" s="114" t="s">
        <v>337</v>
      </c>
      <c r="N763" s="114">
        <f>SUM(N752:N762)</f>
        <v>2617.2723984875515</v>
      </c>
      <c r="O763" s="114"/>
      <c r="P763" s="114">
        <f>SUM(P752:P762)</f>
        <v>373</v>
      </c>
      <c r="Q763" s="114">
        <f>SUM(Q752:Q762)</f>
        <v>9565.4323984875518</v>
      </c>
      <c r="R763" s="114"/>
      <c r="S763" s="114"/>
      <c r="T763" s="114"/>
      <c r="U763" s="114">
        <f>SUM(U752:U762)</f>
        <v>9581.9123984875514</v>
      </c>
      <c r="V763" s="30"/>
      <c r="W763" s="30"/>
      <c r="X763" s="30"/>
    </row>
    <row r="764" spans="3:24" s="29" customFormat="1" x14ac:dyDescent="0.25">
      <c r="C764" s="990" t="s">
        <v>6</v>
      </c>
      <c r="D764" s="990"/>
      <c r="E764" s="990"/>
      <c r="F764" s="991" t="s">
        <v>9</v>
      </c>
      <c r="G764" s="991"/>
      <c r="H764" s="991"/>
      <c r="I764" s="991"/>
      <c r="J764" s="991"/>
      <c r="S764" s="30"/>
      <c r="T764" s="30"/>
      <c r="U764" s="30"/>
      <c r="V764" s="30"/>
      <c r="W764" s="30"/>
      <c r="X764" s="30"/>
    </row>
    <row r="765" spans="3:24" s="29" customFormat="1" x14ac:dyDescent="0.25">
      <c r="C765" s="990"/>
      <c r="D765" s="990"/>
      <c r="E765" s="990"/>
      <c r="F765" s="991"/>
      <c r="G765" s="991"/>
      <c r="H765" s="991"/>
      <c r="I765" s="991"/>
      <c r="J765" s="991"/>
      <c r="Q765" s="114" t="s">
        <v>1681</v>
      </c>
      <c r="R765" s="114">
        <f>U763</f>
        <v>9581.9123984875514</v>
      </c>
      <c r="S765" s="608" t="s">
        <v>2142</v>
      </c>
      <c r="T765" s="608">
        <f>(R765*100)/R772</f>
        <v>48.097824118593032</v>
      </c>
    </row>
    <row r="766" spans="3:24" s="29" customFormat="1" x14ac:dyDescent="0.25">
      <c r="C766" s="990"/>
      <c r="D766" s="990"/>
      <c r="E766" s="990"/>
      <c r="F766" s="991"/>
      <c r="G766" s="991"/>
      <c r="H766" s="991"/>
      <c r="I766" s="991"/>
      <c r="J766" s="991"/>
      <c r="Q766" s="114" t="s">
        <v>2326</v>
      </c>
      <c r="R766" s="114">
        <f>$AL$26</f>
        <v>1801.715474357886</v>
      </c>
    </row>
    <row r="767" spans="3:24" s="29" customFormat="1" x14ac:dyDescent="0.25">
      <c r="C767" s="990" t="s">
        <v>7</v>
      </c>
      <c r="D767" s="990"/>
      <c r="E767" s="990"/>
      <c r="F767" s="991" t="s">
        <v>595</v>
      </c>
      <c r="G767" s="991"/>
      <c r="H767" s="991"/>
      <c r="I767" s="991"/>
      <c r="J767" s="991"/>
      <c r="Q767" s="114" t="s">
        <v>2325</v>
      </c>
      <c r="R767" s="114">
        <f>$AL$27</f>
        <v>75.599999999999994</v>
      </c>
    </row>
    <row r="768" spans="3:24" s="29" customFormat="1" x14ac:dyDescent="0.25">
      <c r="C768" s="990"/>
      <c r="D768" s="990"/>
      <c r="E768" s="990"/>
      <c r="F768" s="991"/>
      <c r="G768" s="991"/>
      <c r="H768" s="991"/>
      <c r="I768" s="991"/>
      <c r="J768" s="991"/>
      <c r="Q768" s="114" t="s">
        <v>1684</v>
      </c>
      <c r="R768" s="114">
        <f>$AL$29</f>
        <v>69.543532482306858</v>
      </c>
    </row>
    <row r="769" spans="3:24" s="29" customFormat="1" x14ac:dyDescent="0.25">
      <c r="C769" s="990"/>
      <c r="D769" s="990"/>
      <c r="E769" s="990"/>
      <c r="F769" s="991"/>
      <c r="G769" s="991"/>
      <c r="H769" s="991"/>
      <c r="I769" s="991"/>
      <c r="J769" s="991"/>
      <c r="Q769" s="114" t="s">
        <v>1685</v>
      </c>
      <c r="R769" s="114">
        <v>0.6</v>
      </c>
    </row>
    <row r="770" spans="3:24" s="29" customFormat="1" x14ac:dyDescent="0.25">
      <c r="Q770" s="114" t="s">
        <v>1708</v>
      </c>
      <c r="R770" s="114">
        <f>(SUM(R765:R768)*R769)+SUM(R765:R768)</f>
        <v>18446.034248524393</v>
      </c>
    </row>
    <row r="771" spans="3:24" s="29" customFormat="1" x14ac:dyDescent="0.25">
      <c r="Q771" s="114" t="s">
        <v>2130</v>
      </c>
      <c r="R771" s="114">
        <f>R770*0.08</f>
        <v>1475.6827398819514</v>
      </c>
    </row>
    <row r="772" spans="3:24" s="29" customFormat="1" x14ac:dyDescent="0.25">
      <c r="Q772" s="114" t="s">
        <v>1686</v>
      </c>
      <c r="R772" s="114">
        <f>SUM(R770+R771)</f>
        <v>19921.716988406344</v>
      </c>
    </row>
    <row r="773" spans="3:24" s="29" customFormat="1" x14ac:dyDescent="0.25"/>
    <row r="774" spans="3:24" s="29" customFormat="1" x14ac:dyDescent="0.25">
      <c r="C774" s="993" t="s">
        <v>8</v>
      </c>
      <c r="D774" s="993"/>
      <c r="E774" s="993"/>
      <c r="F774" s="993"/>
      <c r="G774" s="993"/>
      <c r="H774" s="993"/>
      <c r="I774" s="993"/>
      <c r="J774" s="993"/>
    </row>
    <row r="775" spans="3:24" s="29" customFormat="1" x14ac:dyDescent="0.25">
      <c r="C775" s="989" t="s">
        <v>0</v>
      </c>
      <c r="D775" s="989"/>
      <c r="E775" s="989"/>
      <c r="F775" s="989" t="s">
        <v>1</v>
      </c>
      <c r="G775" s="989"/>
      <c r="H775" s="989"/>
      <c r="I775" s="989"/>
      <c r="J775" s="989"/>
    </row>
    <row r="776" spans="3:24" s="29" customFormat="1" x14ac:dyDescent="0.25">
      <c r="C776" s="990" t="s">
        <v>2</v>
      </c>
      <c r="D776" s="990"/>
      <c r="E776" s="990"/>
      <c r="F776" s="991" t="s">
        <v>79</v>
      </c>
      <c r="G776" s="991"/>
      <c r="H776" s="991"/>
      <c r="I776" s="991"/>
      <c r="J776" s="991"/>
      <c r="M776" s="113" t="s">
        <v>336</v>
      </c>
      <c r="N776" s="113" t="s">
        <v>174</v>
      </c>
      <c r="O776" s="113" t="s">
        <v>248</v>
      </c>
      <c r="P776" s="113" t="s">
        <v>176</v>
      </c>
      <c r="Q776" s="113" t="s">
        <v>337</v>
      </c>
      <c r="R776" s="113" t="s">
        <v>1641</v>
      </c>
      <c r="S776" s="113" t="s">
        <v>1642</v>
      </c>
      <c r="T776" s="113" t="s">
        <v>1643</v>
      </c>
      <c r="U776" s="113" t="s">
        <v>1644</v>
      </c>
      <c r="V776" s="103"/>
      <c r="W776" s="103"/>
      <c r="X776" s="103"/>
    </row>
    <row r="777" spans="3:24" s="29" customFormat="1" x14ac:dyDescent="0.25">
      <c r="C777" s="990"/>
      <c r="D777" s="990"/>
      <c r="E777" s="990"/>
      <c r="F777" s="991"/>
      <c r="G777" s="991"/>
      <c r="H777" s="991"/>
      <c r="I777" s="991"/>
      <c r="J777" s="991"/>
      <c r="M777" s="114" t="s">
        <v>344</v>
      </c>
      <c r="N777" s="114">
        <f>E22</f>
        <v>2099.0723984875517</v>
      </c>
      <c r="O777" s="114" t="str">
        <f>D22</f>
        <v>g</v>
      </c>
      <c r="P777" s="114">
        <v>100</v>
      </c>
      <c r="Q777" s="114">
        <f>N777</f>
        <v>2099.0723984875517</v>
      </c>
      <c r="R777" s="114">
        <v>0</v>
      </c>
      <c r="S777" s="114">
        <f>P777*R777</f>
        <v>0</v>
      </c>
      <c r="T777" s="114">
        <f>P777-S777</f>
        <v>100</v>
      </c>
      <c r="U777" s="114">
        <f>Q777+((S777*Q777)/P777)</f>
        <v>2099.0723984875517</v>
      </c>
      <c r="V777" s="104"/>
      <c r="W777" s="104"/>
      <c r="X777" s="104"/>
    </row>
    <row r="778" spans="3:24" s="29" customFormat="1" x14ac:dyDescent="0.25">
      <c r="C778" s="990"/>
      <c r="D778" s="990"/>
      <c r="E778" s="990"/>
      <c r="F778" s="991"/>
      <c r="G778" s="991"/>
      <c r="H778" s="991"/>
      <c r="I778" s="991"/>
      <c r="J778" s="991"/>
      <c r="M778" s="114" t="s">
        <v>340</v>
      </c>
      <c r="N778" s="114">
        <f>Y20</f>
        <v>0.64</v>
      </c>
      <c r="O778" s="114" t="str">
        <f>X20</f>
        <v>g</v>
      </c>
      <c r="P778" s="114">
        <v>2</v>
      </c>
      <c r="Q778" s="114">
        <f t="shared" ref="Q778:Q784" si="169">N778*P778</f>
        <v>1.28</v>
      </c>
      <c r="R778" s="114">
        <v>0</v>
      </c>
      <c r="S778" s="114">
        <f t="shared" ref="S778:S784" si="170">P778*R778</f>
        <v>0</v>
      </c>
      <c r="T778" s="114">
        <f t="shared" ref="T778:T784" si="171">P778-S778</f>
        <v>2</v>
      </c>
      <c r="U778" s="114">
        <f t="shared" ref="U778:U784" si="172">Q778+((S778*Q778)/P778)</f>
        <v>1.28</v>
      </c>
      <c r="V778" s="30"/>
      <c r="W778" s="30"/>
      <c r="X778" s="30"/>
    </row>
    <row r="779" spans="3:24" s="29" customFormat="1" x14ac:dyDescent="0.25">
      <c r="C779" s="989" t="s">
        <v>0</v>
      </c>
      <c r="D779" s="989"/>
      <c r="E779" s="989"/>
      <c r="F779" s="989" t="s">
        <v>1</v>
      </c>
      <c r="G779" s="989"/>
      <c r="H779" s="989"/>
      <c r="I779" s="989"/>
      <c r="J779" s="989"/>
      <c r="M779" s="114" t="s">
        <v>473</v>
      </c>
      <c r="N779" s="114">
        <f>V2</f>
        <v>13.11</v>
      </c>
      <c r="O779" s="114" t="str">
        <f>U2</f>
        <v>g</v>
      </c>
      <c r="P779" s="114">
        <v>60</v>
      </c>
      <c r="Q779" s="114">
        <f t="shared" si="169"/>
        <v>786.59999999999991</v>
      </c>
      <c r="R779" s="114">
        <v>0</v>
      </c>
      <c r="S779" s="114">
        <f t="shared" si="170"/>
        <v>0</v>
      </c>
      <c r="T779" s="114">
        <f t="shared" si="171"/>
        <v>60</v>
      </c>
      <c r="U779" s="114">
        <f t="shared" si="172"/>
        <v>786.59999999999991</v>
      </c>
      <c r="V779" s="30"/>
      <c r="W779" s="30"/>
      <c r="X779" s="30"/>
    </row>
    <row r="780" spans="3:24" s="29" customFormat="1" x14ac:dyDescent="0.25">
      <c r="C780" s="990" t="s">
        <v>3</v>
      </c>
      <c r="D780" s="990"/>
      <c r="E780" s="990"/>
      <c r="F780" s="992" t="s">
        <v>80</v>
      </c>
      <c r="G780" s="991"/>
      <c r="H780" s="991"/>
      <c r="I780" s="991"/>
      <c r="J780" s="991"/>
      <c r="M780" s="114" t="s">
        <v>345</v>
      </c>
      <c r="N780" s="114">
        <f>P23</f>
        <v>1.6</v>
      </c>
      <c r="O780" s="114" t="str">
        <f>O23</f>
        <v>g</v>
      </c>
      <c r="P780" s="114">
        <v>15</v>
      </c>
      <c r="Q780" s="114">
        <f t="shared" si="169"/>
        <v>24</v>
      </c>
      <c r="R780" s="114">
        <v>0</v>
      </c>
      <c r="S780" s="114">
        <f t="shared" si="170"/>
        <v>0</v>
      </c>
      <c r="T780" s="114">
        <f t="shared" si="171"/>
        <v>15</v>
      </c>
      <c r="U780" s="114">
        <f t="shared" si="172"/>
        <v>24</v>
      </c>
      <c r="V780" s="30"/>
      <c r="W780" s="30"/>
      <c r="X780" s="30"/>
    </row>
    <row r="781" spans="3:24" s="29" customFormat="1" x14ac:dyDescent="0.25">
      <c r="C781" s="990"/>
      <c r="D781" s="990"/>
      <c r="E781" s="990"/>
      <c r="F781" s="991"/>
      <c r="G781" s="991"/>
      <c r="H781" s="991"/>
      <c r="I781" s="991"/>
      <c r="J781" s="991"/>
      <c r="M781" s="114" t="s">
        <v>572</v>
      </c>
      <c r="N781" s="114">
        <f>P30</f>
        <v>3</v>
      </c>
      <c r="O781" s="114" t="str">
        <f>O30</f>
        <v>g</v>
      </c>
      <c r="P781" s="114">
        <v>60</v>
      </c>
      <c r="Q781" s="114">
        <f t="shared" si="169"/>
        <v>180</v>
      </c>
      <c r="R781" s="114">
        <v>0</v>
      </c>
      <c r="S781" s="114">
        <f t="shared" si="170"/>
        <v>0</v>
      </c>
      <c r="T781" s="114">
        <f t="shared" si="171"/>
        <v>60</v>
      </c>
      <c r="U781" s="114">
        <f t="shared" si="172"/>
        <v>180</v>
      </c>
      <c r="V781" s="30"/>
      <c r="W781" s="30"/>
      <c r="X781" s="30"/>
    </row>
    <row r="782" spans="3:24" s="29" customFormat="1" x14ac:dyDescent="0.25">
      <c r="C782" s="990"/>
      <c r="D782" s="990"/>
      <c r="E782" s="990"/>
      <c r="F782" s="991"/>
      <c r="G782" s="991"/>
      <c r="H782" s="991"/>
      <c r="I782" s="991"/>
      <c r="J782" s="991"/>
      <c r="M782" s="114" t="s">
        <v>462</v>
      </c>
      <c r="N782" s="114">
        <f>V12</f>
        <v>25.98</v>
      </c>
      <c r="O782" s="114" t="str">
        <f>U12</f>
        <v>g</v>
      </c>
      <c r="P782" s="114">
        <v>60</v>
      </c>
      <c r="Q782" s="114">
        <f t="shared" si="169"/>
        <v>1558.8</v>
      </c>
      <c r="R782" s="114">
        <v>0</v>
      </c>
      <c r="S782" s="114">
        <f t="shared" si="170"/>
        <v>0</v>
      </c>
      <c r="T782" s="114">
        <f t="shared" si="171"/>
        <v>60</v>
      </c>
      <c r="U782" s="114">
        <f t="shared" si="172"/>
        <v>1558.8</v>
      </c>
      <c r="V782" s="30"/>
      <c r="W782" s="30"/>
      <c r="X782" s="30"/>
    </row>
    <row r="783" spans="3:24" s="29" customFormat="1" x14ac:dyDescent="0.25">
      <c r="C783" s="990" t="s">
        <v>4</v>
      </c>
      <c r="D783" s="990"/>
      <c r="E783" s="990"/>
      <c r="F783" s="991" t="s">
        <v>15</v>
      </c>
      <c r="G783" s="991"/>
      <c r="H783" s="991"/>
      <c r="I783" s="991"/>
      <c r="J783" s="991"/>
      <c r="M783" s="114" t="s">
        <v>430</v>
      </c>
      <c r="N783" s="114">
        <f>P10</f>
        <v>0.7</v>
      </c>
      <c r="O783" s="114" t="str">
        <f>O10</f>
        <v>g</v>
      </c>
      <c r="P783" s="114">
        <v>20</v>
      </c>
      <c r="Q783" s="114">
        <f t="shared" si="169"/>
        <v>14</v>
      </c>
      <c r="R783" s="114">
        <f>AJ7</f>
        <v>0.15</v>
      </c>
      <c r="S783" s="114">
        <f t="shared" si="170"/>
        <v>3</v>
      </c>
      <c r="T783" s="114">
        <f t="shared" si="171"/>
        <v>17</v>
      </c>
      <c r="U783" s="114">
        <f t="shared" si="172"/>
        <v>16.100000000000001</v>
      </c>
      <c r="V783" s="30"/>
      <c r="W783" s="30"/>
      <c r="X783" s="30"/>
    </row>
    <row r="784" spans="3:24" s="29" customFormat="1" x14ac:dyDescent="0.25">
      <c r="C784" s="990"/>
      <c r="D784" s="990"/>
      <c r="E784" s="990"/>
      <c r="F784" s="991"/>
      <c r="G784" s="991"/>
      <c r="H784" s="991"/>
      <c r="I784" s="991"/>
      <c r="J784" s="991"/>
      <c r="M784" s="114" t="s">
        <v>346</v>
      </c>
      <c r="N784" s="114">
        <f>P3</f>
        <v>7</v>
      </c>
      <c r="O784" s="114" t="str">
        <f>O3</f>
        <v>g</v>
      </c>
      <c r="P784" s="114">
        <v>15</v>
      </c>
      <c r="Q784" s="114">
        <f t="shared" si="169"/>
        <v>105</v>
      </c>
      <c r="R784" s="114">
        <f>AJ2</f>
        <v>0.23</v>
      </c>
      <c r="S784" s="114">
        <f t="shared" si="170"/>
        <v>3.45</v>
      </c>
      <c r="T784" s="114">
        <f t="shared" si="171"/>
        <v>11.55</v>
      </c>
      <c r="U784" s="114">
        <f t="shared" si="172"/>
        <v>129.15</v>
      </c>
      <c r="V784" s="30"/>
      <c r="W784" s="30"/>
      <c r="X784" s="30"/>
    </row>
    <row r="785" spans="3:24" s="29" customFormat="1" x14ac:dyDescent="0.25">
      <c r="C785" s="990"/>
      <c r="D785" s="990"/>
      <c r="E785" s="990"/>
      <c r="F785" s="991"/>
      <c r="G785" s="991"/>
      <c r="H785" s="991"/>
      <c r="I785" s="991"/>
      <c r="J785" s="991"/>
      <c r="M785" s="114"/>
      <c r="N785" s="114"/>
      <c r="O785" s="114"/>
      <c r="P785" s="114"/>
      <c r="Q785" s="114"/>
      <c r="R785" s="114"/>
      <c r="S785" s="114"/>
      <c r="T785" s="114"/>
      <c r="U785" s="114"/>
    </row>
    <row r="786" spans="3:24" s="29" customFormat="1" x14ac:dyDescent="0.25">
      <c r="C786" s="990" t="s">
        <v>5</v>
      </c>
      <c r="D786" s="990"/>
      <c r="E786" s="990"/>
      <c r="F786" s="991" t="s">
        <v>81</v>
      </c>
      <c r="G786" s="991"/>
      <c r="H786" s="991"/>
      <c r="I786" s="991"/>
      <c r="J786" s="991"/>
      <c r="M786" s="114"/>
      <c r="N786" s="114"/>
      <c r="O786" s="114"/>
      <c r="P786" s="114"/>
      <c r="Q786" s="114"/>
      <c r="R786" s="114"/>
      <c r="S786" s="114"/>
      <c r="T786" s="114"/>
      <c r="U786" s="114"/>
    </row>
    <row r="787" spans="3:24" s="29" customFormat="1" x14ac:dyDescent="0.25">
      <c r="C787" s="990"/>
      <c r="D787" s="990"/>
      <c r="E787" s="990"/>
      <c r="F787" s="991"/>
      <c r="G787" s="991"/>
      <c r="H787" s="991"/>
      <c r="I787" s="991"/>
      <c r="J787" s="991"/>
      <c r="M787" s="114" t="s">
        <v>337</v>
      </c>
      <c r="N787" s="114">
        <f>SUM(N777:N786)</f>
        <v>2151.1023984875515</v>
      </c>
      <c r="O787" s="114"/>
      <c r="P787" s="114">
        <f>SUM(P777:P786)</f>
        <v>332</v>
      </c>
      <c r="Q787" s="114">
        <f>SUM(Q777:Q786)</f>
        <v>4768.7523984875515</v>
      </c>
      <c r="R787" s="114"/>
      <c r="S787" s="114"/>
      <c r="T787" s="114"/>
      <c r="U787" s="114">
        <f>SUM(U777:U786)</f>
        <v>4795.0023984875515</v>
      </c>
    </row>
    <row r="788" spans="3:24" s="29" customFormat="1" x14ac:dyDescent="0.25">
      <c r="C788" s="990"/>
      <c r="D788" s="990"/>
      <c r="E788" s="990"/>
      <c r="F788" s="991"/>
      <c r="G788" s="991"/>
      <c r="H788" s="991"/>
      <c r="I788" s="991"/>
      <c r="J788" s="991"/>
    </row>
    <row r="789" spans="3:24" s="29" customFormat="1" x14ac:dyDescent="0.25">
      <c r="C789" s="990" t="s">
        <v>6</v>
      </c>
      <c r="D789" s="990"/>
      <c r="E789" s="990"/>
      <c r="F789" s="991" t="s">
        <v>9</v>
      </c>
      <c r="G789" s="991"/>
      <c r="H789" s="991"/>
      <c r="I789" s="991"/>
      <c r="J789" s="991"/>
      <c r="Q789" s="114" t="s">
        <v>1681</v>
      </c>
      <c r="R789" s="114">
        <f>U787</f>
        <v>4795.0023984875515</v>
      </c>
      <c r="S789" s="608" t="s">
        <v>2142</v>
      </c>
      <c r="T789" s="608">
        <f>(R789*100)/R796</f>
        <v>41.159043184721071</v>
      </c>
    </row>
    <row r="790" spans="3:24" s="29" customFormat="1" x14ac:dyDescent="0.25">
      <c r="C790" s="990"/>
      <c r="D790" s="990"/>
      <c r="E790" s="990"/>
      <c r="F790" s="991"/>
      <c r="G790" s="991"/>
      <c r="H790" s="991"/>
      <c r="I790" s="991"/>
      <c r="J790" s="991"/>
      <c r="Q790" s="114" t="s">
        <v>2326</v>
      </c>
      <c r="R790" s="114">
        <f>$AL$26</f>
        <v>1801.715474357886</v>
      </c>
    </row>
    <row r="791" spans="3:24" s="29" customFormat="1" x14ac:dyDescent="0.25">
      <c r="C791" s="990"/>
      <c r="D791" s="990"/>
      <c r="E791" s="990"/>
      <c r="F791" s="991"/>
      <c r="G791" s="991"/>
      <c r="H791" s="991"/>
      <c r="I791" s="991"/>
      <c r="J791" s="991"/>
      <c r="Q791" s="114" t="s">
        <v>2325</v>
      </c>
      <c r="R791" s="114">
        <f>$AL$27</f>
        <v>75.599999999999994</v>
      </c>
    </row>
    <row r="792" spans="3:24" s="29" customFormat="1" x14ac:dyDescent="0.25">
      <c r="C792" s="990" t="s">
        <v>7</v>
      </c>
      <c r="D792" s="990"/>
      <c r="E792" s="990"/>
      <c r="F792" s="991" t="s">
        <v>494</v>
      </c>
      <c r="G792" s="991"/>
      <c r="H792" s="991"/>
      <c r="I792" s="991"/>
      <c r="J792" s="991"/>
      <c r="Q792" s="114" t="s">
        <v>1684</v>
      </c>
      <c r="R792" s="114">
        <f>$AL$29</f>
        <v>69.543532482306858</v>
      </c>
    </row>
    <row r="793" spans="3:24" s="29" customFormat="1" x14ac:dyDescent="0.25">
      <c r="C793" s="990"/>
      <c r="D793" s="990"/>
      <c r="E793" s="990"/>
      <c r="F793" s="991"/>
      <c r="G793" s="991"/>
      <c r="H793" s="991"/>
      <c r="I793" s="991"/>
      <c r="J793" s="991"/>
      <c r="Q793" s="114" t="s">
        <v>1685</v>
      </c>
      <c r="R793" s="114">
        <v>0.6</v>
      </c>
    </row>
    <row r="794" spans="3:24" s="29" customFormat="1" x14ac:dyDescent="0.25">
      <c r="C794" s="990"/>
      <c r="D794" s="990"/>
      <c r="E794" s="990"/>
      <c r="F794" s="991"/>
      <c r="G794" s="991"/>
      <c r="H794" s="991"/>
      <c r="I794" s="991"/>
      <c r="J794" s="991"/>
      <c r="Q794" s="114" t="s">
        <v>1708</v>
      </c>
      <c r="R794" s="114">
        <f>(SUM(R789:R792)*R793)+SUM(R789:R792)</f>
        <v>10786.97824852439</v>
      </c>
    </row>
    <row r="795" spans="3:24" s="29" customFormat="1" x14ac:dyDescent="0.25">
      <c r="Q795" s="114" t="s">
        <v>2130</v>
      </c>
      <c r="R795" s="114">
        <f>R794*0.08</f>
        <v>862.95825988195122</v>
      </c>
    </row>
    <row r="796" spans="3:24" s="29" customFormat="1" x14ac:dyDescent="0.25">
      <c r="Q796" s="114" t="s">
        <v>1686</v>
      </c>
      <c r="R796" s="114">
        <f>SUM(R794+R795)</f>
        <v>11649.936508406341</v>
      </c>
    </row>
    <row r="797" spans="3:24" s="29" customFormat="1" x14ac:dyDescent="0.25"/>
    <row r="798" spans="3:24" s="29" customFormat="1" x14ac:dyDescent="0.25"/>
    <row r="799" spans="3:24" s="29" customFormat="1" x14ac:dyDescent="0.25">
      <c r="C799" s="993" t="s">
        <v>8</v>
      </c>
      <c r="D799" s="993"/>
      <c r="E799" s="993"/>
      <c r="F799" s="993"/>
      <c r="G799" s="993"/>
      <c r="H799" s="993"/>
      <c r="I799" s="993"/>
      <c r="J799" s="993"/>
      <c r="T799" s="30"/>
      <c r="U799" s="30"/>
      <c r="V799" s="30"/>
      <c r="W799" s="30"/>
      <c r="X799" s="30"/>
    </row>
    <row r="800" spans="3:24" s="29" customFormat="1" x14ac:dyDescent="0.25">
      <c r="C800" s="989" t="s">
        <v>0</v>
      </c>
      <c r="D800" s="989"/>
      <c r="E800" s="989"/>
      <c r="F800" s="989" t="s">
        <v>1</v>
      </c>
      <c r="G800" s="989"/>
      <c r="H800" s="989"/>
      <c r="I800" s="989"/>
      <c r="J800" s="989"/>
      <c r="T800" s="30"/>
      <c r="U800" s="30"/>
      <c r="V800" s="30"/>
      <c r="W800" s="30"/>
      <c r="X800" s="30"/>
    </row>
    <row r="801" spans="3:24" s="29" customFormat="1" x14ac:dyDescent="0.25">
      <c r="C801" s="990" t="s">
        <v>2</v>
      </c>
      <c r="D801" s="990"/>
      <c r="E801" s="990"/>
      <c r="F801" s="991" t="s">
        <v>82</v>
      </c>
      <c r="G801" s="991"/>
      <c r="H801" s="991"/>
      <c r="I801" s="991"/>
      <c r="J801" s="991"/>
      <c r="M801" s="113" t="s">
        <v>336</v>
      </c>
      <c r="N801" s="113" t="s">
        <v>174</v>
      </c>
      <c r="O801" s="113" t="s">
        <v>248</v>
      </c>
      <c r="P801" s="113" t="s">
        <v>176</v>
      </c>
      <c r="Q801" s="113" t="s">
        <v>337</v>
      </c>
      <c r="R801" s="113" t="s">
        <v>1641</v>
      </c>
      <c r="S801" s="113" t="s">
        <v>1642</v>
      </c>
      <c r="T801" s="113" t="s">
        <v>1643</v>
      </c>
      <c r="U801" s="113" t="s">
        <v>1644</v>
      </c>
      <c r="V801" s="103"/>
      <c r="W801" s="103"/>
      <c r="X801" s="103"/>
    </row>
    <row r="802" spans="3:24" s="29" customFormat="1" x14ac:dyDescent="0.25">
      <c r="C802" s="990"/>
      <c r="D802" s="990"/>
      <c r="E802" s="990"/>
      <c r="F802" s="991"/>
      <c r="G802" s="991"/>
      <c r="H802" s="991"/>
      <c r="I802" s="991"/>
      <c r="J802" s="991"/>
      <c r="M802" s="114" t="s">
        <v>344</v>
      </c>
      <c r="N802" s="114">
        <f>E7</f>
        <v>2099.0723984875517</v>
      </c>
      <c r="O802" s="114" t="str">
        <f>D7</f>
        <v>g</v>
      </c>
      <c r="P802" s="114">
        <v>120</v>
      </c>
      <c r="Q802" s="114">
        <f>N802</f>
        <v>2099.0723984875517</v>
      </c>
      <c r="R802" s="114">
        <v>0</v>
      </c>
      <c r="S802" s="114">
        <f>P802*R802</f>
        <v>0</v>
      </c>
      <c r="T802" s="114">
        <f>P802-S802</f>
        <v>120</v>
      </c>
      <c r="U802" s="114">
        <f>Q802+((S802*Q802)/P802)</f>
        <v>2099.0723984875517</v>
      </c>
      <c r="V802" s="104"/>
      <c r="W802" s="104"/>
      <c r="X802" s="104"/>
    </row>
    <row r="803" spans="3:24" s="29" customFormat="1" x14ac:dyDescent="0.25">
      <c r="C803" s="990"/>
      <c r="D803" s="990"/>
      <c r="E803" s="990"/>
      <c r="F803" s="991"/>
      <c r="G803" s="991"/>
      <c r="H803" s="991"/>
      <c r="I803" s="991"/>
      <c r="J803" s="991"/>
      <c r="M803" s="114" t="s">
        <v>340</v>
      </c>
      <c r="N803" s="114">
        <f>Y20</f>
        <v>0.64</v>
      </c>
      <c r="O803" s="114" t="str">
        <f>X20</f>
        <v>g</v>
      </c>
      <c r="P803" s="114">
        <v>2</v>
      </c>
      <c r="Q803" s="114">
        <f t="shared" ref="Q803:Q810" si="173">N803*P803</f>
        <v>1.28</v>
      </c>
      <c r="R803" s="114">
        <v>0</v>
      </c>
      <c r="S803" s="114">
        <f t="shared" ref="S803:S810" si="174">P803*R803</f>
        <v>0</v>
      </c>
      <c r="T803" s="114">
        <f t="shared" ref="T803:T810" si="175">P803-S803</f>
        <v>2</v>
      </c>
      <c r="U803" s="114">
        <f t="shared" ref="U803:U810" si="176">Q803+((S803*Q803)/P803)</f>
        <v>1.28</v>
      </c>
      <c r="V803" s="30"/>
      <c r="W803" s="30"/>
      <c r="X803" s="30"/>
    </row>
    <row r="804" spans="3:24" s="29" customFormat="1" x14ac:dyDescent="0.25">
      <c r="C804" s="989" t="s">
        <v>0</v>
      </c>
      <c r="D804" s="989"/>
      <c r="E804" s="989"/>
      <c r="F804" s="989" t="s">
        <v>1</v>
      </c>
      <c r="G804" s="989"/>
      <c r="H804" s="989"/>
      <c r="I804" s="989"/>
      <c r="J804" s="989"/>
      <c r="M804" s="114" t="s">
        <v>491</v>
      </c>
      <c r="N804" s="114">
        <f>AE8</f>
        <v>27.25</v>
      </c>
      <c r="O804" s="114" t="str">
        <f>AD8</f>
        <v>g</v>
      </c>
      <c r="P804" s="114">
        <v>30</v>
      </c>
      <c r="Q804" s="114">
        <f t="shared" si="173"/>
        <v>817.5</v>
      </c>
      <c r="R804" s="114">
        <v>0</v>
      </c>
      <c r="S804" s="114">
        <f t="shared" si="174"/>
        <v>0</v>
      </c>
      <c r="T804" s="114">
        <f t="shared" si="175"/>
        <v>30</v>
      </c>
      <c r="U804" s="114">
        <f t="shared" si="176"/>
        <v>817.5</v>
      </c>
      <c r="V804" s="30"/>
      <c r="W804" s="30"/>
      <c r="X804" s="30"/>
    </row>
    <row r="805" spans="3:24" s="29" customFormat="1" x14ac:dyDescent="0.25">
      <c r="C805" s="990" t="s">
        <v>3</v>
      </c>
      <c r="D805" s="990"/>
      <c r="E805" s="990"/>
      <c r="F805" s="992" t="s">
        <v>83</v>
      </c>
      <c r="G805" s="991"/>
      <c r="H805" s="991"/>
      <c r="I805" s="991"/>
      <c r="J805" s="991"/>
      <c r="M805" s="114" t="s">
        <v>429</v>
      </c>
      <c r="N805" s="114">
        <f>P29</f>
        <v>1.8</v>
      </c>
      <c r="O805" s="114" t="str">
        <f>O29</f>
        <v>g</v>
      </c>
      <c r="P805" s="114">
        <v>40</v>
      </c>
      <c r="Q805" s="114">
        <f t="shared" si="173"/>
        <v>72</v>
      </c>
      <c r="R805" s="114">
        <f>AJ18</f>
        <v>0.05</v>
      </c>
      <c r="S805" s="114">
        <f t="shared" si="174"/>
        <v>2</v>
      </c>
      <c r="T805" s="114">
        <f t="shared" si="175"/>
        <v>38</v>
      </c>
      <c r="U805" s="114">
        <f t="shared" si="176"/>
        <v>75.599999999999994</v>
      </c>
      <c r="V805" s="30"/>
      <c r="W805" s="30"/>
      <c r="X805" s="30"/>
    </row>
    <row r="806" spans="3:24" s="29" customFormat="1" x14ac:dyDescent="0.25">
      <c r="C806" s="990"/>
      <c r="D806" s="990"/>
      <c r="E806" s="990"/>
      <c r="F806" s="991"/>
      <c r="G806" s="991"/>
      <c r="H806" s="991"/>
      <c r="I806" s="991"/>
      <c r="J806" s="991"/>
      <c r="M806" s="114" t="s">
        <v>430</v>
      </c>
      <c r="N806" s="114">
        <f>P10</f>
        <v>0.7</v>
      </c>
      <c r="O806" s="114" t="str">
        <f>O10</f>
        <v>g</v>
      </c>
      <c r="P806" s="114">
        <v>30</v>
      </c>
      <c r="Q806" s="114">
        <f t="shared" si="173"/>
        <v>21</v>
      </c>
      <c r="R806" s="114">
        <f>AJ7</f>
        <v>0.15</v>
      </c>
      <c r="S806" s="114">
        <f t="shared" si="174"/>
        <v>4.5</v>
      </c>
      <c r="T806" s="114">
        <f t="shared" si="175"/>
        <v>25.5</v>
      </c>
      <c r="U806" s="114">
        <f t="shared" si="176"/>
        <v>24.15</v>
      </c>
      <c r="V806" s="30"/>
      <c r="W806" s="30"/>
      <c r="X806" s="30"/>
    </row>
    <row r="807" spans="3:24" s="29" customFormat="1" x14ac:dyDescent="0.25">
      <c r="C807" s="990"/>
      <c r="D807" s="990"/>
      <c r="E807" s="990"/>
      <c r="F807" s="991"/>
      <c r="G807" s="991"/>
      <c r="H807" s="991"/>
      <c r="I807" s="991"/>
      <c r="J807" s="991"/>
      <c r="M807" s="114" t="s">
        <v>489</v>
      </c>
      <c r="N807" s="114">
        <f>S4</f>
        <v>56.71</v>
      </c>
      <c r="O807" s="114" t="str">
        <f>R4</f>
        <v>g</v>
      </c>
      <c r="P807" s="114">
        <v>80</v>
      </c>
      <c r="Q807" s="114">
        <f t="shared" si="173"/>
        <v>4536.8</v>
      </c>
      <c r="R807" s="114">
        <v>0</v>
      </c>
      <c r="S807" s="114">
        <f t="shared" si="174"/>
        <v>0</v>
      </c>
      <c r="T807" s="114">
        <f t="shared" si="175"/>
        <v>80</v>
      </c>
      <c r="U807" s="114">
        <f t="shared" si="176"/>
        <v>4536.8</v>
      </c>
      <c r="V807" s="30"/>
      <c r="W807" s="30"/>
      <c r="X807" s="30"/>
    </row>
    <row r="808" spans="3:24" s="29" customFormat="1" x14ac:dyDescent="0.25">
      <c r="C808" s="990" t="s">
        <v>4</v>
      </c>
      <c r="D808" s="990"/>
      <c r="E808" s="990"/>
      <c r="F808" s="991" t="s">
        <v>15</v>
      </c>
      <c r="G808" s="991"/>
      <c r="H808" s="991"/>
      <c r="I808" s="991"/>
      <c r="J808" s="991"/>
      <c r="M808" s="114" t="s">
        <v>463</v>
      </c>
      <c r="N808" s="114">
        <f>Y21</f>
        <v>134.5</v>
      </c>
      <c r="O808" s="114" t="str">
        <f>X21</f>
        <v>g</v>
      </c>
      <c r="P808" s="114">
        <v>30</v>
      </c>
      <c r="Q808" s="114">
        <f t="shared" si="173"/>
        <v>4035</v>
      </c>
      <c r="R808" s="114">
        <v>0</v>
      </c>
      <c r="S808" s="114">
        <f t="shared" si="174"/>
        <v>0</v>
      </c>
      <c r="T808" s="114">
        <f t="shared" si="175"/>
        <v>30</v>
      </c>
      <c r="U808" s="114">
        <f t="shared" si="176"/>
        <v>4035</v>
      </c>
      <c r="V808" s="30"/>
      <c r="W808" s="30"/>
      <c r="X808" s="30"/>
    </row>
    <row r="809" spans="3:24" s="29" customFormat="1" x14ac:dyDescent="0.25">
      <c r="C809" s="990"/>
      <c r="D809" s="990"/>
      <c r="E809" s="990"/>
      <c r="F809" s="991"/>
      <c r="G809" s="991"/>
      <c r="H809" s="991"/>
      <c r="I809" s="991"/>
      <c r="J809" s="991"/>
      <c r="M809" s="114" t="s">
        <v>546</v>
      </c>
      <c r="N809" s="114">
        <f>AE3</f>
        <v>49.18</v>
      </c>
      <c r="O809" s="114" t="str">
        <f>AD3</f>
        <v>mL</v>
      </c>
      <c r="P809" s="114">
        <v>30</v>
      </c>
      <c r="Q809" s="114">
        <f t="shared" si="173"/>
        <v>1475.4</v>
      </c>
      <c r="R809" s="114">
        <v>0</v>
      </c>
      <c r="S809" s="114">
        <f t="shared" si="174"/>
        <v>0</v>
      </c>
      <c r="T809" s="114">
        <f t="shared" si="175"/>
        <v>30</v>
      </c>
      <c r="U809" s="114">
        <f t="shared" si="176"/>
        <v>1475.4</v>
      </c>
      <c r="V809" s="30"/>
      <c r="W809" s="30"/>
      <c r="X809" s="30"/>
    </row>
    <row r="810" spans="3:24" s="29" customFormat="1" x14ac:dyDescent="0.25">
      <c r="C810" s="990"/>
      <c r="D810" s="990"/>
      <c r="E810" s="990"/>
      <c r="F810" s="991"/>
      <c r="G810" s="991"/>
      <c r="H810" s="991"/>
      <c r="I810" s="991"/>
      <c r="J810" s="991"/>
      <c r="M810" s="114" t="s">
        <v>496</v>
      </c>
      <c r="N810" s="114">
        <f>Y18</f>
        <v>223.57</v>
      </c>
      <c r="O810" s="114" t="str">
        <f>X18</f>
        <v>g</v>
      </c>
      <c r="P810" s="114">
        <v>15</v>
      </c>
      <c r="Q810" s="114">
        <f t="shared" si="173"/>
        <v>3353.5499999999997</v>
      </c>
      <c r="R810" s="114">
        <v>0</v>
      </c>
      <c r="S810" s="114">
        <f t="shared" si="174"/>
        <v>0</v>
      </c>
      <c r="T810" s="114">
        <f t="shared" si="175"/>
        <v>15</v>
      </c>
      <c r="U810" s="114">
        <f t="shared" si="176"/>
        <v>3353.5499999999997</v>
      </c>
      <c r="V810" s="30"/>
      <c r="W810" s="30"/>
      <c r="X810" s="30"/>
    </row>
    <row r="811" spans="3:24" s="29" customFormat="1" x14ac:dyDescent="0.25">
      <c r="C811" s="990" t="s">
        <v>5</v>
      </c>
      <c r="D811" s="990"/>
      <c r="E811" s="990"/>
      <c r="F811" s="991" t="s">
        <v>86</v>
      </c>
      <c r="G811" s="991"/>
      <c r="H811" s="991"/>
      <c r="I811" s="991"/>
      <c r="J811" s="991"/>
      <c r="M811" s="114"/>
      <c r="N811" s="114"/>
      <c r="O811" s="114"/>
      <c r="P811" s="114"/>
      <c r="Q811" s="114"/>
      <c r="R811" s="114"/>
      <c r="S811" s="114"/>
      <c r="T811" s="114"/>
      <c r="U811" s="114"/>
    </row>
    <row r="812" spans="3:24" s="29" customFormat="1" x14ac:dyDescent="0.25">
      <c r="C812" s="990"/>
      <c r="D812" s="990"/>
      <c r="E812" s="990"/>
      <c r="F812" s="991"/>
      <c r="G812" s="991"/>
      <c r="H812" s="991"/>
      <c r="I812" s="991"/>
      <c r="J812" s="991"/>
      <c r="M812" s="114"/>
      <c r="N812" s="114"/>
      <c r="O812" s="114"/>
      <c r="P812" s="114"/>
      <c r="Q812" s="114"/>
      <c r="R812" s="114"/>
      <c r="S812" s="114"/>
      <c r="T812" s="114"/>
      <c r="U812" s="114"/>
    </row>
    <row r="813" spans="3:24" s="29" customFormat="1" x14ac:dyDescent="0.25">
      <c r="C813" s="990"/>
      <c r="D813" s="990"/>
      <c r="E813" s="990"/>
      <c r="F813" s="991"/>
      <c r="G813" s="991"/>
      <c r="H813" s="991"/>
      <c r="I813" s="991"/>
      <c r="J813" s="991"/>
      <c r="M813" s="114" t="s">
        <v>337</v>
      </c>
      <c r="N813" s="114">
        <f>SUM(N802:N812)</f>
        <v>2593.4223984875516</v>
      </c>
      <c r="O813" s="114"/>
      <c r="P813" s="114">
        <f>SUM(P802:P812)</f>
        <v>377</v>
      </c>
      <c r="Q813" s="114">
        <f>SUM(Q802:Q812)</f>
        <v>16411.602398487554</v>
      </c>
      <c r="R813" s="114"/>
      <c r="S813" s="114"/>
      <c r="T813" s="114"/>
      <c r="U813" s="114">
        <f>SUM(U802:U812)</f>
        <v>16418.352398487554</v>
      </c>
    </row>
    <row r="814" spans="3:24" s="29" customFormat="1" x14ac:dyDescent="0.25">
      <c r="C814" s="990" t="s">
        <v>6</v>
      </c>
      <c r="D814" s="990"/>
      <c r="E814" s="990"/>
      <c r="F814" s="991" t="s">
        <v>9</v>
      </c>
      <c r="G814" s="991"/>
      <c r="H814" s="991"/>
      <c r="I814" s="991"/>
      <c r="J814" s="991"/>
    </row>
    <row r="815" spans="3:24" s="29" customFormat="1" x14ac:dyDescent="0.25">
      <c r="C815" s="990"/>
      <c r="D815" s="990"/>
      <c r="E815" s="990"/>
      <c r="F815" s="991"/>
      <c r="G815" s="991"/>
      <c r="H815" s="991"/>
      <c r="I815" s="991"/>
      <c r="J815" s="991"/>
      <c r="Q815" s="114" t="s">
        <v>1681</v>
      </c>
      <c r="R815" s="114">
        <f>U813</f>
        <v>16418.352398487554</v>
      </c>
      <c r="S815" s="608" t="s">
        <v>2142</v>
      </c>
      <c r="T815" s="608">
        <f>(R815*100)/R822</f>
        <v>51.735649168519728</v>
      </c>
    </row>
    <row r="816" spans="3:24" s="29" customFormat="1" x14ac:dyDescent="0.25">
      <c r="C816" s="990"/>
      <c r="D816" s="990"/>
      <c r="E816" s="990"/>
      <c r="F816" s="991"/>
      <c r="G816" s="991"/>
      <c r="H816" s="991"/>
      <c r="I816" s="991"/>
      <c r="J816" s="991"/>
      <c r="Q816" s="114" t="s">
        <v>2326</v>
      </c>
      <c r="R816" s="114">
        <f>$AL$26</f>
        <v>1801.715474357886</v>
      </c>
    </row>
    <row r="817" spans="3:31" s="29" customFormat="1" x14ac:dyDescent="0.25">
      <c r="C817" s="990" t="s">
        <v>7</v>
      </c>
      <c r="D817" s="990"/>
      <c r="E817" s="990"/>
      <c r="F817" s="991" t="s">
        <v>495</v>
      </c>
      <c r="G817" s="991"/>
      <c r="H817" s="991"/>
      <c r="I817" s="991"/>
      <c r="J817" s="991"/>
      <c r="Q817" s="114" t="s">
        <v>2325</v>
      </c>
      <c r="R817" s="114">
        <f>$AL$27</f>
        <v>75.599999999999994</v>
      </c>
    </row>
    <row r="818" spans="3:31" s="29" customFormat="1" x14ac:dyDescent="0.25">
      <c r="C818" s="990"/>
      <c r="D818" s="990"/>
      <c r="E818" s="990"/>
      <c r="F818" s="991"/>
      <c r="G818" s="991"/>
      <c r="H818" s="991"/>
      <c r="I818" s="991"/>
      <c r="J818" s="991"/>
      <c r="Q818" s="114" t="s">
        <v>1684</v>
      </c>
      <c r="R818" s="114">
        <f>$AL$29</f>
        <v>69.543532482306858</v>
      </c>
    </row>
    <row r="819" spans="3:31" s="29" customFormat="1" x14ac:dyDescent="0.25">
      <c r="C819" s="990"/>
      <c r="D819" s="990"/>
      <c r="E819" s="990"/>
      <c r="F819" s="991"/>
      <c r="G819" s="991"/>
      <c r="H819" s="991"/>
      <c r="I819" s="991"/>
      <c r="J819" s="991"/>
      <c r="Q819" s="114" t="s">
        <v>1685</v>
      </c>
      <c r="R819" s="114">
        <v>0.6</v>
      </c>
    </row>
    <row r="820" spans="3:31" s="29" customFormat="1" x14ac:dyDescent="0.25">
      <c r="Q820" s="114" t="s">
        <v>1708</v>
      </c>
      <c r="R820" s="114">
        <f>(SUM(R815:R818)*R819)+SUM(R815:R818)</f>
        <v>29384.338248524393</v>
      </c>
    </row>
    <row r="821" spans="3:31" s="29" customFormat="1" x14ac:dyDescent="0.25">
      <c r="Q821" s="114" t="s">
        <v>2130</v>
      </c>
      <c r="R821" s="114">
        <f>R820*0.08</f>
        <v>2350.7470598819514</v>
      </c>
    </row>
    <row r="822" spans="3:31" s="29" customFormat="1" x14ac:dyDescent="0.25">
      <c r="Q822" s="114" t="s">
        <v>1686</v>
      </c>
      <c r="R822" s="114">
        <f>SUM(R820+R821)</f>
        <v>31735.085308406346</v>
      </c>
    </row>
    <row r="823" spans="3:31" s="29" customFormat="1" x14ac:dyDescent="0.25"/>
    <row r="824" spans="3:31" s="29" customFormat="1" x14ac:dyDescent="0.25">
      <c r="C824" s="993" t="s">
        <v>8</v>
      </c>
      <c r="D824" s="993"/>
      <c r="E824" s="993"/>
      <c r="F824" s="993"/>
      <c r="G824" s="993"/>
      <c r="H824" s="993"/>
      <c r="I824" s="993"/>
      <c r="J824" s="993"/>
    </row>
    <row r="825" spans="3:31" s="29" customFormat="1" x14ac:dyDescent="0.25">
      <c r="C825" s="989" t="s">
        <v>0</v>
      </c>
      <c r="D825" s="989"/>
      <c r="E825" s="989"/>
      <c r="F825" s="989" t="s">
        <v>1</v>
      </c>
      <c r="G825" s="989"/>
      <c r="H825" s="989"/>
      <c r="I825" s="989"/>
      <c r="J825" s="989"/>
    </row>
    <row r="826" spans="3:31" s="29" customFormat="1" x14ac:dyDescent="0.25">
      <c r="C826" s="990" t="s">
        <v>2</v>
      </c>
      <c r="D826" s="990"/>
      <c r="E826" s="990"/>
      <c r="F826" s="991" t="s">
        <v>84</v>
      </c>
      <c r="G826" s="991"/>
      <c r="H826" s="991"/>
      <c r="I826" s="991"/>
      <c r="J826" s="991"/>
      <c r="M826" s="113" t="s">
        <v>336</v>
      </c>
      <c r="N826" s="113" t="s">
        <v>174</v>
      </c>
      <c r="O826" s="113" t="s">
        <v>248</v>
      </c>
      <c r="P826" s="113" t="s">
        <v>176</v>
      </c>
      <c r="Q826" s="113" t="s">
        <v>337</v>
      </c>
      <c r="R826" s="113" t="s">
        <v>1641</v>
      </c>
      <c r="S826" s="113" t="s">
        <v>1642</v>
      </c>
      <c r="T826" s="113" t="s">
        <v>1643</v>
      </c>
      <c r="U826" s="113" t="s">
        <v>1644</v>
      </c>
      <c r="W826" s="994" t="s">
        <v>1457</v>
      </c>
      <c r="X826" s="994"/>
      <c r="Y826" s="994"/>
      <c r="Z826" s="994"/>
      <c r="AA826" s="994"/>
      <c r="AB826" s="994"/>
      <c r="AC826" s="994"/>
      <c r="AD826" s="994"/>
      <c r="AE826" s="994"/>
    </row>
    <row r="827" spans="3:31" s="29" customFormat="1" x14ac:dyDescent="0.25">
      <c r="C827" s="990"/>
      <c r="D827" s="990"/>
      <c r="E827" s="990"/>
      <c r="F827" s="991"/>
      <c r="G827" s="991"/>
      <c r="H827" s="991"/>
      <c r="I827" s="991"/>
      <c r="J827" s="991"/>
      <c r="M827" s="114" t="s">
        <v>344</v>
      </c>
      <c r="N827" s="114">
        <f>E7</f>
        <v>2099.0723984875517</v>
      </c>
      <c r="O827" s="114" t="str">
        <f>D7</f>
        <v>g</v>
      </c>
      <c r="P827" s="114">
        <v>100</v>
      </c>
      <c r="Q827" s="114">
        <f>N827</f>
        <v>2099.0723984875517</v>
      </c>
      <c r="R827" s="114">
        <v>0</v>
      </c>
      <c r="S827" s="114">
        <f>P827*R827</f>
        <v>0</v>
      </c>
      <c r="T827" s="114">
        <f>P827-S827</f>
        <v>100</v>
      </c>
      <c r="U827" s="114">
        <f>Q827+((S827*Q827)/P827)</f>
        <v>2099.0723984875517</v>
      </c>
      <c r="W827" s="113" t="s">
        <v>336</v>
      </c>
      <c r="X827" s="113" t="s">
        <v>174</v>
      </c>
      <c r="Y827" s="113" t="s">
        <v>248</v>
      </c>
      <c r="Z827" s="113" t="s">
        <v>176</v>
      </c>
      <c r="AA827" s="113" t="s">
        <v>337</v>
      </c>
      <c r="AB827" s="113" t="s">
        <v>1641</v>
      </c>
      <c r="AC827" s="113" t="s">
        <v>1642</v>
      </c>
      <c r="AD827" s="113" t="s">
        <v>1643</v>
      </c>
      <c r="AE827" s="113" t="s">
        <v>1644</v>
      </c>
    </row>
    <row r="828" spans="3:31" s="29" customFormat="1" x14ac:dyDescent="0.25">
      <c r="C828" s="990"/>
      <c r="D828" s="990"/>
      <c r="E828" s="990"/>
      <c r="F828" s="991"/>
      <c r="G828" s="991"/>
      <c r="H828" s="991"/>
      <c r="I828" s="991"/>
      <c r="J828" s="991"/>
      <c r="M828" s="114" t="s">
        <v>340</v>
      </c>
      <c r="N828" s="114">
        <f>Y20</f>
        <v>0.64</v>
      </c>
      <c r="O828" s="114" t="str">
        <f>X20</f>
        <v>g</v>
      </c>
      <c r="P828" s="114">
        <v>2</v>
      </c>
      <c r="Q828" s="114">
        <f>N828*P828</f>
        <v>1.28</v>
      </c>
      <c r="R828" s="114">
        <v>0</v>
      </c>
      <c r="S828" s="114">
        <f t="shared" ref="S828:S835" si="177">P828*R828</f>
        <v>0</v>
      </c>
      <c r="T828" s="114">
        <f t="shared" ref="T828:T835" si="178">P828-S828</f>
        <v>2</v>
      </c>
      <c r="U828" s="114">
        <f t="shared" ref="U828:U832" si="179">Q828+((S828*Q828)/P828)</f>
        <v>1.28</v>
      </c>
      <c r="W828" s="114" t="s">
        <v>550</v>
      </c>
      <c r="X828" s="114">
        <f>AE5</f>
        <v>2.04</v>
      </c>
      <c r="Y828" s="114" t="str">
        <f>AD5</f>
        <v>g</v>
      </c>
      <c r="Z828" s="114">
        <v>20</v>
      </c>
      <c r="AA828" s="114">
        <f>X828*Z828</f>
        <v>40.799999999999997</v>
      </c>
      <c r="AB828" s="114">
        <v>0</v>
      </c>
      <c r="AC828" s="114">
        <f>Z828*AB828</f>
        <v>0</v>
      </c>
      <c r="AD828" s="114">
        <f>Z828-AC828</f>
        <v>20</v>
      </c>
      <c r="AE828" s="114">
        <f>AA828+((AC828*AA828)/Z828)</f>
        <v>40.799999999999997</v>
      </c>
    </row>
    <row r="829" spans="3:31" s="29" customFormat="1" x14ac:dyDescent="0.25">
      <c r="C829" s="989" t="s">
        <v>0</v>
      </c>
      <c r="D829" s="989"/>
      <c r="E829" s="989"/>
      <c r="F829" s="989" t="s">
        <v>1</v>
      </c>
      <c r="G829" s="989"/>
      <c r="H829" s="989"/>
      <c r="I829" s="989"/>
      <c r="J829" s="989"/>
      <c r="M829" s="114" t="s">
        <v>355</v>
      </c>
      <c r="N829" s="114">
        <f>AE833</f>
        <v>1320.04</v>
      </c>
      <c r="O829" s="114" t="s">
        <v>1388</v>
      </c>
      <c r="P829" s="114">
        <v>120</v>
      </c>
      <c r="Q829" s="114">
        <f>N829</f>
        <v>1320.04</v>
      </c>
      <c r="R829" s="114">
        <v>0</v>
      </c>
      <c r="S829" s="114">
        <f t="shared" si="177"/>
        <v>0</v>
      </c>
      <c r="T829" s="114">
        <f t="shared" si="178"/>
        <v>120</v>
      </c>
      <c r="U829" s="114">
        <f t="shared" si="179"/>
        <v>1320.04</v>
      </c>
      <c r="W829" s="114" t="s">
        <v>551</v>
      </c>
      <c r="X829" s="114">
        <f>V4</f>
        <v>3.08</v>
      </c>
      <c r="Y829" s="114" t="str">
        <f>U4</f>
        <v>mL</v>
      </c>
      <c r="Z829" s="114">
        <v>100</v>
      </c>
      <c r="AA829" s="114">
        <f>X829*Z829</f>
        <v>308</v>
      </c>
      <c r="AB829" s="114">
        <v>0</v>
      </c>
      <c r="AC829" s="114">
        <f>Z829*AB829</f>
        <v>0</v>
      </c>
      <c r="AD829" s="114">
        <f>Z829-AC829</f>
        <v>100</v>
      </c>
      <c r="AE829" s="114">
        <f>AA829+((AC829*AA829)/Z829)</f>
        <v>308</v>
      </c>
    </row>
    <row r="830" spans="3:31" s="29" customFormat="1" x14ac:dyDescent="0.25">
      <c r="C830" s="990" t="s">
        <v>3</v>
      </c>
      <c r="D830" s="990"/>
      <c r="E830" s="990"/>
      <c r="F830" s="992" t="s">
        <v>85</v>
      </c>
      <c r="G830" s="991"/>
      <c r="H830" s="991"/>
      <c r="I830" s="991"/>
      <c r="J830" s="991"/>
      <c r="M830" s="114" t="s">
        <v>463</v>
      </c>
      <c r="N830" s="114">
        <f>Y14</f>
        <v>131.80000000000001</v>
      </c>
      <c r="O830" s="114" t="str">
        <f>X14</f>
        <v>g</v>
      </c>
      <c r="P830" s="114">
        <v>30</v>
      </c>
      <c r="Q830" s="114">
        <f>N830*P830</f>
        <v>3954.0000000000005</v>
      </c>
      <c r="R830" s="114">
        <v>0</v>
      </c>
      <c r="S830" s="114">
        <f t="shared" si="177"/>
        <v>0</v>
      </c>
      <c r="T830" s="114">
        <f t="shared" si="178"/>
        <v>30</v>
      </c>
      <c r="U830" s="114">
        <f t="shared" si="179"/>
        <v>3954.0000000000005</v>
      </c>
      <c r="W830" s="114" t="s">
        <v>347</v>
      </c>
      <c r="X830" s="114">
        <f>V6</f>
        <v>28.76</v>
      </c>
      <c r="Y830" s="114" t="str">
        <f>U6</f>
        <v>g</v>
      </c>
      <c r="Z830" s="114">
        <v>20</v>
      </c>
      <c r="AA830" s="114">
        <f>X830*Z830</f>
        <v>575.20000000000005</v>
      </c>
      <c r="AB830" s="114">
        <v>0</v>
      </c>
      <c r="AC830" s="114">
        <f>Z830*AB830</f>
        <v>0</v>
      </c>
      <c r="AD830" s="114">
        <f>Z830-AC830</f>
        <v>20</v>
      </c>
      <c r="AE830" s="114">
        <f>AA830+((AC830*AA830)/Z830)</f>
        <v>575.20000000000005</v>
      </c>
    </row>
    <row r="831" spans="3:31" s="29" customFormat="1" x14ac:dyDescent="0.25">
      <c r="C831" s="990"/>
      <c r="D831" s="990"/>
      <c r="E831" s="990"/>
      <c r="F831" s="991"/>
      <c r="G831" s="991"/>
      <c r="H831" s="991"/>
      <c r="I831" s="991"/>
      <c r="J831" s="991"/>
      <c r="M831" s="114" t="s">
        <v>462</v>
      </c>
      <c r="N831" s="114">
        <f>V12</f>
        <v>25.98</v>
      </c>
      <c r="O831" s="114" t="str">
        <f>U12</f>
        <v>g</v>
      </c>
      <c r="P831" s="114">
        <v>50</v>
      </c>
      <c r="Q831" s="114">
        <f>N831*P831</f>
        <v>1299</v>
      </c>
      <c r="R831" s="114">
        <v>0</v>
      </c>
      <c r="S831" s="114">
        <f t="shared" si="177"/>
        <v>0</v>
      </c>
      <c r="T831" s="114">
        <f t="shared" si="178"/>
        <v>50</v>
      </c>
      <c r="U831" s="114">
        <f t="shared" si="179"/>
        <v>1299</v>
      </c>
      <c r="W831" s="114" t="s">
        <v>340</v>
      </c>
      <c r="X831" s="114">
        <f>Y20</f>
        <v>0.64</v>
      </c>
      <c r="Y831" s="114" t="str">
        <f>X20</f>
        <v>g</v>
      </c>
      <c r="Z831" s="114">
        <v>1</v>
      </c>
      <c r="AA831" s="114">
        <f>X831*Z831</f>
        <v>0.64</v>
      </c>
      <c r="AB831" s="114">
        <v>0</v>
      </c>
      <c r="AC831" s="114">
        <f>Z831*AB831</f>
        <v>0</v>
      </c>
      <c r="AD831" s="114">
        <f>Z831-AC831</f>
        <v>1</v>
      </c>
      <c r="AE831" s="114">
        <f>AA831+((AC831*AA831)/Z831)</f>
        <v>0.64</v>
      </c>
    </row>
    <row r="832" spans="3:31" s="29" customFormat="1" x14ac:dyDescent="0.25">
      <c r="C832" s="990"/>
      <c r="D832" s="990"/>
      <c r="E832" s="990"/>
      <c r="F832" s="991"/>
      <c r="G832" s="991"/>
      <c r="H832" s="991"/>
      <c r="I832" s="991"/>
      <c r="J832" s="991"/>
      <c r="M832" s="114" t="s">
        <v>349</v>
      </c>
      <c r="N832" s="114">
        <f>S15</f>
        <v>41</v>
      </c>
      <c r="O832" s="114" t="str">
        <f>R15</f>
        <v>g</v>
      </c>
      <c r="P832" s="114">
        <v>90</v>
      </c>
      <c r="Q832" s="114">
        <f>N832*P832</f>
        <v>3690</v>
      </c>
      <c r="R832" s="114">
        <f>AN3</f>
        <v>0.47</v>
      </c>
      <c r="S832" s="114">
        <f t="shared" si="177"/>
        <v>42.3</v>
      </c>
      <c r="T832" s="114">
        <f t="shared" si="178"/>
        <v>47.7</v>
      </c>
      <c r="U832" s="114">
        <f t="shared" si="179"/>
        <v>5424.3</v>
      </c>
      <c r="W832" s="114" t="s">
        <v>356</v>
      </c>
      <c r="X832" s="114">
        <f>Y14</f>
        <v>131.80000000000001</v>
      </c>
      <c r="Y832" s="114" t="str">
        <f>X14</f>
        <v>g</v>
      </c>
      <c r="Z832" s="114">
        <v>3</v>
      </c>
      <c r="AA832" s="114">
        <f>X832*Z832</f>
        <v>395.40000000000003</v>
      </c>
      <c r="AB832" s="114">
        <v>0</v>
      </c>
      <c r="AC832" s="114">
        <f>Z832*AB832</f>
        <v>0</v>
      </c>
      <c r="AD832" s="114">
        <f>Z832-AC832</f>
        <v>3</v>
      </c>
      <c r="AE832" s="114">
        <f>AA832+((AC832*AA832)/Z832)</f>
        <v>395.40000000000003</v>
      </c>
    </row>
    <row r="833" spans="3:31" s="29" customFormat="1" x14ac:dyDescent="0.25">
      <c r="C833" s="990" t="s">
        <v>4</v>
      </c>
      <c r="D833" s="990"/>
      <c r="E833" s="990"/>
      <c r="F833" s="991" t="s">
        <v>15</v>
      </c>
      <c r="G833" s="991"/>
      <c r="H833" s="991"/>
      <c r="I833" s="991"/>
      <c r="J833" s="991"/>
      <c r="M833" s="114"/>
      <c r="N833" s="114"/>
      <c r="O833" s="114"/>
      <c r="P833" s="114"/>
      <c r="Q833" s="114"/>
      <c r="R833" s="114"/>
      <c r="S833" s="114"/>
      <c r="T833" s="114"/>
      <c r="U833" s="114"/>
      <c r="W833" s="114" t="s">
        <v>337</v>
      </c>
      <c r="X833" s="114">
        <f>SUM(X828:X832)</f>
        <v>166.32000000000002</v>
      </c>
      <c r="Y833" s="114"/>
      <c r="Z833" s="114">
        <f>SUM(Z828:Z832)</f>
        <v>144</v>
      </c>
      <c r="AA833" s="114">
        <f>SUM(AA828:AA832)</f>
        <v>1320.04</v>
      </c>
      <c r="AB833" s="114"/>
      <c r="AC833" s="114"/>
      <c r="AD833" s="114"/>
      <c r="AE833" s="114">
        <f>SUM(AE828:AE832)</f>
        <v>1320.04</v>
      </c>
    </row>
    <row r="834" spans="3:31" s="29" customFormat="1" x14ac:dyDescent="0.25">
      <c r="C834" s="990"/>
      <c r="D834" s="990"/>
      <c r="E834" s="990"/>
      <c r="F834" s="991"/>
      <c r="G834" s="991"/>
      <c r="H834" s="991"/>
      <c r="I834" s="991"/>
      <c r="J834" s="991"/>
      <c r="M834" s="114"/>
      <c r="N834" s="114"/>
      <c r="O834" s="114"/>
      <c r="P834" s="114"/>
      <c r="Q834" s="114"/>
      <c r="R834" s="114"/>
      <c r="S834" s="114"/>
      <c r="T834" s="114"/>
      <c r="U834" s="114"/>
    </row>
    <row r="835" spans="3:31" s="29" customFormat="1" x14ac:dyDescent="0.25">
      <c r="C835" s="990"/>
      <c r="D835" s="990"/>
      <c r="E835" s="990"/>
      <c r="F835" s="991"/>
      <c r="G835" s="991"/>
      <c r="H835" s="991"/>
      <c r="I835" s="991"/>
      <c r="J835" s="991"/>
      <c r="M835" s="114" t="s">
        <v>337</v>
      </c>
      <c r="N835" s="114">
        <f>SUM(N827:N834)</f>
        <v>3618.5323984875517</v>
      </c>
      <c r="O835" s="114"/>
      <c r="P835" s="114">
        <f>SUM(P827:P834)</f>
        <v>392</v>
      </c>
      <c r="Q835" s="114">
        <f>SUM(Q827:Q834)</f>
        <v>12363.392398487553</v>
      </c>
      <c r="R835" s="114">
        <v>0</v>
      </c>
      <c r="S835" s="114">
        <f t="shared" si="177"/>
        <v>0</v>
      </c>
      <c r="T835" s="114">
        <f t="shared" si="178"/>
        <v>392</v>
      </c>
      <c r="U835" s="114">
        <f>SUM(U827:U834)</f>
        <v>14097.692398487554</v>
      </c>
      <c r="AA835" s="114" t="s">
        <v>1681</v>
      </c>
      <c r="AB835" s="114">
        <f>AE833</f>
        <v>1320.04</v>
      </c>
      <c r="AC835" s="608" t="s">
        <v>2142</v>
      </c>
      <c r="AD835" s="608">
        <f>(AB835*100)/AB842</f>
        <v>22.714130423188919</v>
      </c>
    </row>
    <row r="836" spans="3:31" s="29" customFormat="1" x14ac:dyDescent="0.25">
      <c r="C836" s="990" t="s">
        <v>5</v>
      </c>
      <c r="D836" s="990"/>
      <c r="E836" s="990"/>
      <c r="F836" s="991" t="s">
        <v>84</v>
      </c>
      <c r="G836" s="991"/>
      <c r="H836" s="991"/>
      <c r="I836" s="991"/>
      <c r="J836" s="991"/>
      <c r="AA836" s="114" t="s">
        <v>2326</v>
      </c>
      <c r="AB836" s="114">
        <f>$AO$26/2</f>
        <v>476.87414947063905</v>
      </c>
    </row>
    <row r="837" spans="3:31" s="29" customFormat="1" x14ac:dyDescent="0.25">
      <c r="C837" s="990"/>
      <c r="D837" s="990"/>
      <c r="E837" s="990"/>
      <c r="F837" s="991"/>
      <c r="G837" s="991"/>
      <c r="H837" s="991"/>
      <c r="I837" s="991"/>
      <c r="J837" s="991"/>
      <c r="Q837" s="114" t="s">
        <v>1681</v>
      </c>
      <c r="R837" s="114">
        <f>U835</f>
        <v>14097.692398487554</v>
      </c>
      <c r="S837" s="608" t="s">
        <v>2142</v>
      </c>
      <c r="T837" s="608">
        <f>(R837*100)/R844</f>
        <v>50.848332238015864</v>
      </c>
      <c r="AA837" s="114" t="s">
        <v>2325</v>
      </c>
      <c r="AB837" s="114">
        <f>$AO$27/4</f>
        <v>18.899999999999999</v>
      </c>
    </row>
    <row r="838" spans="3:31" s="29" customFormat="1" x14ac:dyDescent="0.25">
      <c r="C838" s="990"/>
      <c r="D838" s="990"/>
      <c r="E838" s="990"/>
      <c r="F838" s="991"/>
      <c r="G838" s="991"/>
      <c r="H838" s="991"/>
      <c r="I838" s="991"/>
      <c r="J838" s="991"/>
      <c r="Q838" s="114" t="s">
        <v>2326</v>
      </c>
      <c r="R838" s="114">
        <f>$AL$26</f>
        <v>1801.715474357886</v>
      </c>
      <c r="AA838" s="114" t="s">
        <v>1684</v>
      </c>
      <c r="AB838" s="114">
        <f>$AO$29</f>
        <v>1547.3435977313275</v>
      </c>
    </row>
    <row r="839" spans="3:31" s="29" customFormat="1" x14ac:dyDescent="0.25">
      <c r="C839" s="990" t="s">
        <v>6</v>
      </c>
      <c r="D839" s="990"/>
      <c r="E839" s="990"/>
      <c r="F839" s="991" t="s">
        <v>9</v>
      </c>
      <c r="G839" s="991"/>
      <c r="H839" s="991"/>
      <c r="I839" s="991"/>
      <c r="J839" s="991"/>
      <c r="Q839" s="114" t="s">
        <v>2325</v>
      </c>
      <c r="R839" s="114">
        <f>$AL$27</f>
        <v>75.599999999999994</v>
      </c>
      <c r="AA839" s="114" t="s">
        <v>1685</v>
      </c>
      <c r="AB839" s="114">
        <v>0.6</v>
      </c>
    </row>
    <row r="840" spans="3:31" s="29" customFormat="1" x14ac:dyDescent="0.25">
      <c r="C840" s="990"/>
      <c r="D840" s="990"/>
      <c r="E840" s="990"/>
      <c r="F840" s="991"/>
      <c r="G840" s="991"/>
      <c r="H840" s="991"/>
      <c r="I840" s="991"/>
      <c r="J840" s="991"/>
      <c r="Q840" s="114" t="s">
        <v>1684</v>
      </c>
      <c r="R840" s="114">
        <f>$AL$29</f>
        <v>69.543532482306858</v>
      </c>
      <c r="AA840" s="114" t="s">
        <v>1708</v>
      </c>
      <c r="AB840" s="114">
        <f>(SUM(AB835:AB838)*AB839)+SUM(AB835:AB838)</f>
        <v>5381.0523955231465</v>
      </c>
    </row>
    <row r="841" spans="3:31" s="29" customFormat="1" x14ac:dyDescent="0.25">
      <c r="C841" s="990"/>
      <c r="D841" s="990"/>
      <c r="E841" s="990"/>
      <c r="F841" s="991"/>
      <c r="G841" s="991"/>
      <c r="H841" s="991"/>
      <c r="I841" s="991"/>
      <c r="J841" s="991"/>
      <c r="Q841" s="114" t="s">
        <v>1685</v>
      </c>
      <c r="R841" s="114">
        <v>0.6</v>
      </c>
      <c r="AA841" s="114" t="s">
        <v>2130</v>
      </c>
      <c r="AB841" s="114">
        <f>AB840*0.08</f>
        <v>430.48419164185174</v>
      </c>
    </row>
    <row r="842" spans="3:31" s="29" customFormat="1" x14ac:dyDescent="0.25">
      <c r="C842" s="990" t="s">
        <v>7</v>
      </c>
      <c r="D842" s="990"/>
      <c r="E842" s="990"/>
      <c r="F842" s="991" t="s">
        <v>596</v>
      </c>
      <c r="G842" s="991"/>
      <c r="H842" s="991"/>
      <c r="I842" s="991"/>
      <c r="J842" s="991"/>
      <c r="Q842" s="114" t="s">
        <v>1708</v>
      </c>
      <c r="R842" s="114">
        <f>(SUM(R837:R840)*R841)+SUM(R837:R840)</f>
        <v>25671.282248524396</v>
      </c>
      <c r="AA842" s="114" t="s">
        <v>1686</v>
      </c>
      <c r="AB842" s="114">
        <f>SUM(AB840+AB841)</f>
        <v>5811.5365871649983</v>
      </c>
    </row>
    <row r="843" spans="3:31" s="29" customFormat="1" x14ac:dyDescent="0.25">
      <c r="C843" s="990"/>
      <c r="D843" s="990"/>
      <c r="E843" s="990"/>
      <c r="F843" s="991"/>
      <c r="G843" s="991"/>
      <c r="H843" s="991"/>
      <c r="I843" s="991"/>
      <c r="J843" s="991"/>
      <c r="Q843" s="114" t="s">
        <v>2130</v>
      </c>
      <c r="R843" s="114">
        <f>R842*0.08</f>
        <v>2053.7025798819518</v>
      </c>
    </row>
    <row r="844" spans="3:31" s="29" customFormat="1" x14ac:dyDescent="0.25">
      <c r="C844" s="990"/>
      <c r="D844" s="990"/>
      <c r="E844" s="990"/>
      <c r="F844" s="991"/>
      <c r="G844" s="991"/>
      <c r="H844" s="991"/>
      <c r="I844" s="991"/>
      <c r="J844" s="991"/>
      <c r="Q844" s="114" t="s">
        <v>1686</v>
      </c>
      <c r="R844" s="114">
        <f>SUM(R842+R843)</f>
        <v>27724.984828406348</v>
      </c>
    </row>
    <row r="845" spans="3:31" s="29" customFormat="1" x14ac:dyDescent="0.25"/>
    <row r="846" spans="3:31" s="29" customFormat="1" x14ac:dyDescent="0.25"/>
    <row r="847" spans="3:31" s="29" customFormat="1" x14ac:dyDescent="0.25">
      <c r="C847" s="993" t="s">
        <v>8</v>
      </c>
      <c r="D847" s="993"/>
      <c r="E847" s="993"/>
      <c r="F847" s="993"/>
      <c r="G847" s="993"/>
      <c r="H847" s="993"/>
      <c r="I847" s="993"/>
      <c r="J847" s="993"/>
    </row>
    <row r="848" spans="3:31" s="29" customFormat="1" x14ac:dyDescent="0.25">
      <c r="C848" s="989" t="s">
        <v>0</v>
      </c>
      <c r="D848" s="989"/>
      <c r="E848" s="989"/>
      <c r="F848" s="989" t="s">
        <v>1</v>
      </c>
      <c r="G848" s="989"/>
      <c r="H848" s="989"/>
      <c r="I848" s="989"/>
      <c r="J848" s="989"/>
    </row>
    <row r="849" spans="3:31" s="29" customFormat="1" x14ac:dyDescent="0.25">
      <c r="C849" s="990" t="s">
        <v>2</v>
      </c>
      <c r="D849" s="990"/>
      <c r="E849" s="990"/>
      <c r="F849" s="991" t="s">
        <v>87</v>
      </c>
      <c r="G849" s="991"/>
      <c r="H849" s="991"/>
      <c r="I849" s="991"/>
      <c r="J849" s="991"/>
      <c r="M849" s="113" t="s">
        <v>336</v>
      </c>
      <c r="N849" s="113" t="s">
        <v>174</v>
      </c>
      <c r="O849" s="113" t="s">
        <v>248</v>
      </c>
      <c r="P849" s="113" t="s">
        <v>176</v>
      </c>
      <c r="Q849" s="113" t="s">
        <v>337</v>
      </c>
      <c r="R849" s="113" t="s">
        <v>1641</v>
      </c>
      <c r="S849" s="113" t="s">
        <v>1642</v>
      </c>
      <c r="T849" s="113" t="s">
        <v>1643</v>
      </c>
      <c r="U849" s="113" t="s">
        <v>1644</v>
      </c>
      <c r="W849" s="988" t="s">
        <v>1459</v>
      </c>
      <c r="X849" s="988"/>
      <c r="Y849" s="988"/>
      <c r="Z849" s="988"/>
      <c r="AA849" s="988"/>
      <c r="AB849" s="988"/>
      <c r="AC849" s="988"/>
      <c r="AD849" s="988"/>
      <c r="AE849" s="988"/>
    </row>
    <row r="850" spans="3:31" s="29" customFormat="1" x14ac:dyDescent="0.25">
      <c r="C850" s="990"/>
      <c r="D850" s="990"/>
      <c r="E850" s="990"/>
      <c r="F850" s="991"/>
      <c r="G850" s="991"/>
      <c r="H850" s="991"/>
      <c r="I850" s="991"/>
      <c r="J850" s="991"/>
      <c r="M850" s="114" t="s">
        <v>344</v>
      </c>
      <c r="N850" s="114">
        <f>E7</f>
        <v>2099.0723984875517</v>
      </c>
      <c r="O850" s="114" t="str">
        <f>D7</f>
        <v>g</v>
      </c>
      <c r="P850" s="114">
        <v>100</v>
      </c>
      <c r="Q850" s="114">
        <f>N850</f>
        <v>2099.0723984875517</v>
      </c>
      <c r="R850" s="114">
        <v>0</v>
      </c>
      <c r="S850" s="114">
        <f>P850*R850</f>
        <v>0</v>
      </c>
      <c r="T850" s="114">
        <f>P850-S850</f>
        <v>100</v>
      </c>
      <c r="U850" s="114">
        <f>Q850+((S850*Q850)/P850)</f>
        <v>2099.0723984875517</v>
      </c>
      <c r="W850" s="113" t="s">
        <v>336</v>
      </c>
      <c r="X850" s="113" t="s">
        <v>174</v>
      </c>
      <c r="Y850" s="113" t="s">
        <v>248</v>
      </c>
      <c r="Z850" s="113" t="s">
        <v>176</v>
      </c>
      <c r="AA850" s="113" t="s">
        <v>337</v>
      </c>
      <c r="AB850" s="113" t="s">
        <v>1641</v>
      </c>
      <c r="AC850" s="113" t="s">
        <v>1642</v>
      </c>
      <c r="AD850" s="113" t="s">
        <v>1643</v>
      </c>
      <c r="AE850" s="113" t="s">
        <v>1644</v>
      </c>
    </row>
    <row r="851" spans="3:31" s="29" customFormat="1" x14ac:dyDescent="0.25">
      <c r="C851" s="990"/>
      <c r="D851" s="990"/>
      <c r="E851" s="990"/>
      <c r="F851" s="991"/>
      <c r="G851" s="991"/>
      <c r="H851" s="991"/>
      <c r="I851" s="991"/>
      <c r="J851" s="991"/>
      <c r="M851" s="114" t="s">
        <v>340</v>
      </c>
      <c r="N851" s="114">
        <f>Y20</f>
        <v>0.64</v>
      </c>
      <c r="O851" s="114" t="str">
        <f>X20</f>
        <v>g</v>
      </c>
      <c r="P851" s="114">
        <v>2</v>
      </c>
      <c r="Q851" s="114">
        <f>N851*P851</f>
        <v>1.28</v>
      </c>
      <c r="R851" s="114">
        <v>0</v>
      </c>
      <c r="S851" s="114">
        <f>P851*R851</f>
        <v>0</v>
      </c>
      <c r="T851" s="114">
        <f>P851-S851</f>
        <v>2</v>
      </c>
      <c r="U851" s="114">
        <f t="shared" ref="U851:U854" si="180">Q851+((S851*Q851)/P851)</f>
        <v>1.28</v>
      </c>
      <c r="W851" s="114" t="s">
        <v>430</v>
      </c>
      <c r="X851" s="114">
        <f>P10</f>
        <v>0.7</v>
      </c>
      <c r="Y851" s="114" t="str">
        <f>O10</f>
        <v>g</v>
      </c>
      <c r="Z851" s="114">
        <v>20</v>
      </c>
      <c r="AA851" s="114">
        <f t="shared" ref="AA851:AA856" si="181">X851*Z851</f>
        <v>14</v>
      </c>
      <c r="AB851" s="114">
        <f>AJ7</f>
        <v>0.15</v>
      </c>
      <c r="AC851" s="114">
        <f t="shared" ref="AC851:AC856" si="182">Z851*AB851</f>
        <v>3</v>
      </c>
      <c r="AD851" s="114">
        <f t="shared" ref="AD851:AD856" si="183">Z851-AC851</f>
        <v>17</v>
      </c>
      <c r="AE851" s="114">
        <f>AA851+((AC851*AA851)/Z851)</f>
        <v>16.100000000000001</v>
      </c>
    </row>
    <row r="852" spans="3:31" s="29" customFormat="1" x14ac:dyDescent="0.25">
      <c r="C852" s="989" t="s">
        <v>0</v>
      </c>
      <c r="D852" s="989"/>
      <c r="E852" s="989"/>
      <c r="F852" s="989" t="s">
        <v>1</v>
      </c>
      <c r="G852" s="989"/>
      <c r="H852" s="989"/>
      <c r="I852" s="989"/>
      <c r="J852" s="989"/>
      <c r="M852" s="114" t="s">
        <v>500</v>
      </c>
      <c r="N852" s="114">
        <f>AE858</f>
        <v>4123.38</v>
      </c>
      <c r="O852" s="114" t="s">
        <v>1388</v>
      </c>
      <c r="P852" s="114">
        <v>120</v>
      </c>
      <c r="Q852" s="114">
        <f>N852</f>
        <v>4123.38</v>
      </c>
      <c r="R852" s="114">
        <v>0</v>
      </c>
      <c r="S852" s="114">
        <f>P852*R852</f>
        <v>0</v>
      </c>
      <c r="T852" s="114">
        <f>P852-S852</f>
        <v>120</v>
      </c>
      <c r="U852" s="114">
        <f t="shared" si="180"/>
        <v>4123.38</v>
      </c>
      <c r="W852" s="114" t="s">
        <v>436</v>
      </c>
      <c r="X852" s="114">
        <f>P31</f>
        <v>2.6</v>
      </c>
      <c r="Y852" s="114" t="str">
        <f>O31</f>
        <v>g</v>
      </c>
      <c r="Z852" s="114">
        <v>15</v>
      </c>
      <c r="AA852" s="114">
        <f t="shared" si="181"/>
        <v>39</v>
      </c>
      <c r="AB852" s="114">
        <f>AJ19</f>
        <v>0.37</v>
      </c>
      <c r="AC852" s="114">
        <f t="shared" si="182"/>
        <v>5.55</v>
      </c>
      <c r="AD852" s="114">
        <f t="shared" si="183"/>
        <v>9.4499999999999993</v>
      </c>
      <c r="AE852" s="114">
        <f t="shared" ref="AE852:AE856" si="184">AA852+((AC852*AA852)/Z852)</f>
        <v>53.43</v>
      </c>
    </row>
    <row r="853" spans="3:31" s="29" customFormat="1" x14ac:dyDescent="0.25">
      <c r="C853" s="990" t="s">
        <v>3</v>
      </c>
      <c r="D853" s="990"/>
      <c r="E853" s="990"/>
      <c r="F853" s="992" t="s">
        <v>88</v>
      </c>
      <c r="G853" s="991"/>
      <c r="H853" s="991"/>
      <c r="I853" s="991"/>
      <c r="J853" s="991"/>
      <c r="M853" s="114" t="s">
        <v>427</v>
      </c>
      <c r="N853" s="114">
        <f>S8</f>
        <v>59</v>
      </c>
      <c r="O853" s="114" t="str">
        <f>R8</f>
        <v>g</v>
      </c>
      <c r="P853" s="114">
        <v>100</v>
      </c>
      <c r="Q853" s="114">
        <f>N853*P853</f>
        <v>5900</v>
      </c>
      <c r="R853" s="114">
        <f>AN4</f>
        <v>0.41</v>
      </c>
      <c r="S853" s="114">
        <f>P853*R853</f>
        <v>41</v>
      </c>
      <c r="T853" s="114">
        <f>P853-S853</f>
        <v>59</v>
      </c>
      <c r="U853" s="114">
        <f t="shared" si="180"/>
        <v>8319</v>
      </c>
      <c r="W853" s="114" t="s">
        <v>435</v>
      </c>
      <c r="X853" s="114">
        <f>P5</f>
        <v>2.5</v>
      </c>
      <c r="Y853" s="114" t="str">
        <f>O5</f>
        <v>g</v>
      </c>
      <c r="Z853" s="114">
        <v>8</v>
      </c>
      <c r="AA853" s="114">
        <f t="shared" si="181"/>
        <v>20</v>
      </c>
      <c r="AB853" s="114">
        <f>AJ3</f>
        <v>0.37</v>
      </c>
      <c r="AC853" s="114">
        <f t="shared" si="182"/>
        <v>2.96</v>
      </c>
      <c r="AD853" s="114">
        <f t="shared" si="183"/>
        <v>5.04</v>
      </c>
      <c r="AE853" s="114">
        <f t="shared" si="184"/>
        <v>27.4</v>
      </c>
    </row>
    <row r="854" spans="3:31" s="29" customFormat="1" x14ac:dyDescent="0.25">
      <c r="C854" s="990"/>
      <c r="D854" s="990"/>
      <c r="E854" s="990"/>
      <c r="F854" s="991"/>
      <c r="G854" s="991"/>
      <c r="H854" s="991"/>
      <c r="I854" s="991"/>
      <c r="J854" s="991"/>
      <c r="M854" s="114" t="s">
        <v>463</v>
      </c>
      <c r="N854" s="114">
        <f>Y15+Y19</f>
        <v>366.5</v>
      </c>
      <c r="O854" s="114" t="str">
        <f>X19</f>
        <v>g</v>
      </c>
      <c r="P854" s="114">
        <v>30</v>
      </c>
      <c r="Q854" s="114">
        <f>N854*P854</f>
        <v>10995</v>
      </c>
      <c r="R854" s="114">
        <v>0</v>
      </c>
      <c r="S854" s="114">
        <f>P854*R854</f>
        <v>0</v>
      </c>
      <c r="T854" s="114">
        <f>P854-S854</f>
        <v>30</v>
      </c>
      <c r="U854" s="114">
        <f t="shared" si="180"/>
        <v>10995</v>
      </c>
      <c r="W854" s="114" t="s">
        <v>429</v>
      </c>
      <c r="X854" s="114">
        <f>P29</f>
        <v>1.8</v>
      </c>
      <c r="Y854" s="114" t="str">
        <f>O29</f>
        <v>g</v>
      </c>
      <c r="Z854" s="114">
        <v>40</v>
      </c>
      <c r="AA854" s="114">
        <f t="shared" si="181"/>
        <v>72</v>
      </c>
      <c r="AB854" s="114">
        <f>AJ18</f>
        <v>0.05</v>
      </c>
      <c r="AC854" s="114">
        <f t="shared" si="182"/>
        <v>2</v>
      </c>
      <c r="AD854" s="114">
        <f t="shared" si="183"/>
        <v>38</v>
      </c>
      <c r="AE854" s="114">
        <f t="shared" si="184"/>
        <v>75.599999999999994</v>
      </c>
    </row>
    <row r="855" spans="3:31" s="29" customFormat="1" x14ac:dyDescent="0.25">
      <c r="C855" s="990"/>
      <c r="D855" s="990"/>
      <c r="E855" s="990"/>
      <c r="F855" s="991"/>
      <c r="G855" s="991"/>
      <c r="H855" s="991"/>
      <c r="I855" s="991"/>
      <c r="J855" s="991"/>
      <c r="M855" s="114"/>
      <c r="N855" s="114"/>
      <c r="O855" s="114"/>
      <c r="P855" s="114"/>
      <c r="Q855" s="114"/>
      <c r="R855" s="114"/>
      <c r="S855" s="114"/>
      <c r="T855" s="114"/>
      <c r="U855" s="114"/>
      <c r="W855" s="114" t="s">
        <v>432</v>
      </c>
      <c r="X855" s="114">
        <f>S8</f>
        <v>59</v>
      </c>
      <c r="Y855" s="114" t="str">
        <f>R8</f>
        <v>g</v>
      </c>
      <c r="Z855" s="114">
        <v>35</v>
      </c>
      <c r="AA855" s="114">
        <f t="shared" si="181"/>
        <v>2065</v>
      </c>
      <c r="AB855" s="114">
        <f>AN4</f>
        <v>0.41</v>
      </c>
      <c r="AC855" s="114">
        <f t="shared" si="182"/>
        <v>14.35</v>
      </c>
      <c r="AD855" s="114">
        <f t="shared" si="183"/>
        <v>20.65</v>
      </c>
      <c r="AE855" s="114">
        <f t="shared" si="184"/>
        <v>2911.65</v>
      </c>
    </row>
    <row r="856" spans="3:31" s="29" customFormat="1" x14ac:dyDescent="0.25">
      <c r="C856" s="990" t="s">
        <v>4</v>
      </c>
      <c r="D856" s="990"/>
      <c r="E856" s="990"/>
      <c r="F856" s="991" t="s">
        <v>15</v>
      </c>
      <c r="G856" s="991"/>
      <c r="H856" s="991"/>
      <c r="I856" s="991"/>
      <c r="J856" s="991"/>
      <c r="M856" s="114"/>
      <c r="N856" s="114"/>
      <c r="O856" s="114"/>
      <c r="P856" s="114"/>
      <c r="Q856" s="114"/>
      <c r="R856" s="114"/>
      <c r="S856" s="114"/>
      <c r="T856" s="114"/>
      <c r="U856" s="114"/>
      <c r="W856" s="114" t="s">
        <v>455</v>
      </c>
      <c r="X856" s="114">
        <f>AE15</f>
        <v>51.96</v>
      </c>
      <c r="Y856" s="114" t="str">
        <f>AD15</f>
        <v>mL</v>
      </c>
      <c r="Z856" s="114">
        <v>20</v>
      </c>
      <c r="AA856" s="114">
        <f t="shared" si="181"/>
        <v>1039.2</v>
      </c>
      <c r="AB856" s="114">
        <v>0</v>
      </c>
      <c r="AC856" s="114">
        <f t="shared" si="182"/>
        <v>0</v>
      </c>
      <c r="AD856" s="114">
        <f t="shared" si="183"/>
        <v>20</v>
      </c>
      <c r="AE856" s="114">
        <f t="shared" si="184"/>
        <v>1039.2</v>
      </c>
    </row>
    <row r="857" spans="3:31" s="29" customFormat="1" x14ac:dyDescent="0.25">
      <c r="C857" s="990"/>
      <c r="D857" s="990"/>
      <c r="E857" s="990"/>
      <c r="F857" s="991"/>
      <c r="G857" s="991"/>
      <c r="H857" s="991"/>
      <c r="I857" s="991"/>
      <c r="J857" s="991"/>
      <c r="M857" s="114"/>
      <c r="N857" s="114"/>
      <c r="O857" s="114"/>
      <c r="P857" s="114"/>
      <c r="Q857" s="114"/>
      <c r="R857" s="114"/>
      <c r="S857" s="114"/>
      <c r="T857" s="114"/>
      <c r="U857" s="114"/>
      <c r="W857" s="114"/>
      <c r="X857" s="114"/>
      <c r="Y857" s="114"/>
      <c r="Z857" s="114"/>
      <c r="AA857" s="114"/>
      <c r="AB857" s="114"/>
      <c r="AC857" s="114"/>
      <c r="AD857" s="114"/>
      <c r="AE857" s="114"/>
    </row>
    <row r="858" spans="3:31" s="29" customFormat="1" x14ac:dyDescent="0.25">
      <c r="C858" s="990"/>
      <c r="D858" s="990"/>
      <c r="E858" s="990"/>
      <c r="F858" s="991"/>
      <c r="G858" s="991"/>
      <c r="H858" s="991"/>
      <c r="I858" s="991"/>
      <c r="J858" s="991"/>
      <c r="M858" s="114" t="s">
        <v>337</v>
      </c>
      <c r="N858" s="114">
        <f>SUM(N850:N857)</f>
        <v>6648.5923984875517</v>
      </c>
      <c r="O858" s="114"/>
      <c r="P858" s="114">
        <f>SUM(P850:P857)</f>
        <v>352</v>
      </c>
      <c r="Q858" s="114">
        <f>SUM(Q850:Q857)</f>
        <v>23118.732398487551</v>
      </c>
      <c r="R858" s="114"/>
      <c r="S858" s="114"/>
      <c r="T858" s="114"/>
      <c r="U858" s="114">
        <f>SUM(U850:U857)</f>
        <v>25537.732398487551</v>
      </c>
      <c r="W858" s="114" t="s">
        <v>337</v>
      </c>
      <c r="X858" s="114">
        <f>SUM(X851:X857)</f>
        <v>118.56</v>
      </c>
      <c r="Y858" s="114"/>
      <c r="Z858" s="114">
        <f>SUM(Z851:Z857)</f>
        <v>138</v>
      </c>
      <c r="AA858" s="114">
        <f>SUM(AA851:AA857)</f>
        <v>3249.2</v>
      </c>
      <c r="AB858" s="114"/>
      <c r="AC858" s="114"/>
      <c r="AD858" s="114"/>
      <c r="AE858" s="114">
        <f>SUM(AE851:AE857)</f>
        <v>4123.38</v>
      </c>
    </row>
    <row r="859" spans="3:31" s="29" customFormat="1" x14ac:dyDescent="0.25">
      <c r="C859" s="990" t="s">
        <v>5</v>
      </c>
      <c r="D859" s="990"/>
      <c r="E859" s="990"/>
      <c r="F859" s="991" t="s">
        <v>87</v>
      </c>
      <c r="G859" s="991"/>
      <c r="H859" s="991"/>
      <c r="I859" s="991"/>
      <c r="J859" s="991"/>
    </row>
    <row r="860" spans="3:31" s="29" customFormat="1" x14ac:dyDescent="0.25">
      <c r="C860" s="990"/>
      <c r="D860" s="990"/>
      <c r="E860" s="990"/>
      <c r="F860" s="991"/>
      <c r="G860" s="991"/>
      <c r="H860" s="991"/>
      <c r="I860" s="991"/>
      <c r="J860" s="991"/>
      <c r="Q860" s="114" t="s">
        <v>1681</v>
      </c>
      <c r="R860" s="114">
        <f>U858</f>
        <v>25537.732398487551</v>
      </c>
      <c r="S860" s="608" t="s">
        <v>2142</v>
      </c>
      <c r="T860" s="608">
        <f>(R860*100)/R867</f>
        <v>53.771148005256592</v>
      </c>
      <c r="AA860" s="114" t="s">
        <v>1681</v>
      </c>
      <c r="AB860" s="114">
        <f>AE858</f>
        <v>4123.38</v>
      </c>
      <c r="AC860" s="608" t="s">
        <v>2142</v>
      </c>
      <c r="AD860" s="608">
        <f>(AB860*100)/AB867</f>
        <v>38.69644286922049</v>
      </c>
    </row>
    <row r="861" spans="3:31" s="29" customFormat="1" x14ac:dyDescent="0.25">
      <c r="C861" s="990"/>
      <c r="D861" s="990"/>
      <c r="E861" s="990"/>
      <c r="F861" s="991"/>
      <c r="G861" s="991"/>
      <c r="H861" s="991"/>
      <c r="I861" s="991"/>
      <c r="J861" s="991"/>
      <c r="Q861" s="114" t="s">
        <v>2326</v>
      </c>
      <c r="R861" s="114">
        <f>$AL$26</f>
        <v>1801.715474357886</v>
      </c>
      <c r="AA861" s="114" t="s">
        <v>2326</v>
      </c>
      <c r="AB861" s="114">
        <f>$AO$26/2</f>
        <v>476.87414947063905</v>
      </c>
    </row>
    <row r="862" spans="3:31" s="29" customFormat="1" x14ac:dyDescent="0.25">
      <c r="C862" s="990" t="s">
        <v>6</v>
      </c>
      <c r="D862" s="990"/>
      <c r="E862" s="990"/>
      <c r="F862" s="991" t="s">
        <v>9</v>
      </c>
      <c r="G862" s="991"/>
      <c r="H862" s="991"/>
      <c r="I862" s="991"/>
      <c r="J862" s="991"/>
      <c r="Q862" s="114" t="s">
        <v>2325</v>
      </c>
      <c r="R862" s="114">
        <f>$AL$27</f>
        <v>75.599999999999994</v>
      </c>
      <c r="AA862" s="114" t="s">
        <v>2325</v>
      </c>
      <c r="AB862" s="114">
        <f>$AO$27/4</f>
        <v>18.899999999999999</v>
      </c>
    </row>
    <row r="863" spans="3:31" s="29" customFormat="1" x14ac:dyDescent="0.25">
      <c r="C863" s="990"/>
      <c r="D863" s="990"/>
      <c r="E863" s="990"/>
      <c r="F863" s="991"/>
      <c r="G863" s="991"/>
      <c r="H863" s="991"/>
      <c r="I863" s="991"/>
      <c r="J863" s="991"/>
      <c r="Q863" s="114" t="s">
        <v>1684</v>
      </c>
      <c r="R863" s="114">
        <f>$AL$29</f>
        <v>69.543532482306858</v>
      </c>
      <c r="AA863" s="114" t="s">
        <v>1684</v>
      </c>
      <c r="AB863" s="114">
        <f>$AO$29</f>
        <v>1547.3435977313275</v>
      </c>
    </row>
    <row r="864" spans="3:31" s="29" customFormat="1" x14ac:dyDescent="0.25">
      <c r="C864" s="990"/>
      <c r="D864" s="990"/>
      <c r="E864" s="990"/>
      <c r="F864" s="991"/>
      <c r="G864" s="991"/>
      <c r="H864" s="991"/>
      <c r="I864" s="991"/>
      <c r="J864" s="991"/>
      <c r="Q864" s="114" t="s">
        <v>1685</v>
      </c>
      <c r="R864" s="114">
        <v>0.6</v>
      </c>
      <c r="AA864" s="114" t="s">
        <v>1685</v>
      </c>
      <c r="AB864" s="114">
        <v>0.6</v>
      </c>
    </row>
    <row r="865" spans="3:28" s="29" customFormat="1" x14ac:dyDescent="0.25">
      <c r="C865" s="990" t="s">
        <v>7</v>
      </c>
      <c r="D865" s="990"/>
      <c r="E865" s="990"/>
      <c r="F865" s="991" t="s">
        <v>597</v>
      </c>
      <c r="G865" s="991"/>
      <c r="H865" s="991"/>
      <c r="I865" s="991"/>
      <c r="J865" s="991"/>
      <c r="Q865" s="114" t="s">
        <v>1708</v>
      </c>
      <c r="R865" s="114">
        <f>(SUM(R860:R863)*R864)+SUM(R860:R863)</f>
        <v>43975.346248524394</v>
      </c>
      <c r="AA865" s="114" t="s">
        <v>1708</v>
      </c>
      <c r="AB865" s="114">
        <f>(SUM(AB860:AB863)*AB864)+SUM(AB860:AB863)</f>
        <v>9866.3963955231466</v>
      </c>
    </row>
    <row r="866" spans="3:28" s="29" customFormat="1" x14ac:dyDescent="0.25">
      <c r="C866" s="990"/>
      <c r="D866" s="990"/>
      <c r="E866" s="990"/>
      <c r="F866" s="991"/>
      <c r="G866" s="991"/>
      <c r="H866" s="991"/>
      <c r="I866" s="991"/>
      <c r="J866" s="991"/>
      <c r="Q866" s="114" t="s">
        <v>2130</v>
      </c>
      <c r="R866" s="114">
        <f>R865*0.08</f>
        <v>3518.0276998819518</v>
      </c>
      <c r="AA866" s="114" t="s">
        <v>2130</v>
      </c>
      <c r="AB866" s="114">
        <f>AB865*0.08</f>
        <v>789.31171164185173</v>
      </c>
    </row>
    <row r="867" spans="3:28" s="29" customFormat="1" x14ac:dyDescent="0.25">
      <c r="C867" s="990"/>
      <c r="D867" s="990"/>
      <c r="E867" s="990"/>
      <c r="F867" s="991"/>
      <c r="G867" s="991"/>
      <c r="H867" s="991"/>
      <c r="I867" s="991"/>
      <c r="J867" s="991"/>
      <c r="Q867" s="114" t="s">
        <v>1686</v>
      </c>
      <c r="R867" s="114">
        <f>SUM(R865+R866)</f>
        <v>47493.373948406348</v>
      </c>
      <c r="AA867" s="114" t="s">
        <v>1686</v>
      </c>
      <c r="AB867" s="114">
        <f>SUM(AB865+AB866)</f>
        <v>10655.708107164999</v>
      </c>
    </row>
    <row r="868" spans="3:28" s="29" customFormat="1" x14ac:dyDescent="0.25"/>
    <row r="869" spans="3:28" s="29" customFormat="1" x14ac:dyDescent="0.25"/>
    <row r="870" spans="3:28" s="29" customFormat="1" x14ac:dyDescent="0.25">
      <c r="C870" s="993" t="s">
        <v>8</v>
      </c>
      <c r="D870" s="993"/>
      <c r="E870" s="993"/>
      <c r="F870" s="993"/>
      <c r="G870" s="993"/>
      <c r="H870" s="993"/>
      <c r="I870" s="993"/>
      <c r="J870" s="993"/>
      <c r="T870" s="30"/>
      <c r="U870" s="30"/>
      <c r="V870" s="30"/>
      <c r="W870" s="30"/>
      <c r="X870" s="30"/>
    </row>
    <row r="871" spans="3:28" s="29" customFormat="1" x14ac:dyDescent="0.25">
      <c r="C871" s="989" t="s">
        <v>0</v>
      </c>
      <c r="D871" s="989"/>
      <c r="E871" s="989"/>
      <c r="F871" s="989" t="s">
        <v>1</v>
      </c>
      <c r="G871" s="989"/>
      <c r="H871" s="989"/>
      <c r="I871" s="989"/>
      <c r="J871" s="989"/>
      <c r="T871" s="30"/>
      <c r="U871" s="30"/>
      <c r="V871" s="30"/>
      <c r="W871" s="30"/>
      <c r="X871" s="30"/>
    </row>
    <row r="872" spans="3:28" s="29" customFormat="1" x14ac:dyDescent="0.25">
      <c r="C872" s="990" t="s">
        <v>2</v>
      </c>
      <c r="D872" s="990"/>
      <c r="E872" s="990"/>
      <c r="F872" s="991" t="s">
        <v>89</v>
      </c>
      <c r="G872" s="991"/>
      <c r="H872" s="991"/>
      <c r="I872" s="991"/>
      <c r="J872" s="991"/>
      <c r="M872" s="113" t="s">
        <v>336</v>
      </c>
      <c r="N872" s="113" t="s">
        <v>174</v>
      </c>
      <c r="O872" s="113" t="s">
        <v>248</v>
      </c>
      <c r="P872" s="113" t="s">
        <v>176</v>
      </c>
      <c r="Q872" s="113" t="s">
        <v>337</v>
      </c>
      <c r="R872" s="113" t="s">
        <v>1641</v>
      </c>
      <c r="S872" s="113" t="s">
        <v>1642</v>
      </c>
      <c r="T872" s="113" t="s">
        <v>1643</v>
      </c>
      <c r="U872" s="113" t="s">
        <v>1644</v>
      </c>
      <c r="V872" s="103"/>
      <c r="W872" s="103"/>
      <c r="X872" s="103"/>
    </row>
    <row r="873" spans="3:28" s="29" customFormat="1" x14ac:dyDescent="0.25">
      <c r="C873" s="990"/>
      <c r="D873" s="990"/>
      <c r="E873" s="990"/>
      <c r="F873" s="991"/>
      <c r="G873" s="991"/>
      <c r="H873" s="991"/>
      <c r="I873" s="991"/>
      <c r="J873" s="991"/>
      <c r="M873" s="114" t="s">
        <v>344</v>
      </c>
      <c r="N873" s="114">
        <f>E7</f>
        <v>2099.0723984875517</v>
      </c>
      <c r="O873" s="114" t="str">
        <f>D7</f>
        <v>g</v>
      </c>
      <c r="P873" s="114">
        <v>100</v>
      </c>
      <c r="Q873" s="114">
        <f>N873</f>
        <v>2099.0723984875517</v>
      </c>
      <c r="R873" s="114">
        <v>0</v>
      </c>
      <c r="S873" s="114">
        <f t="shared" ref="S873:S878" si="185">P873*R873</f>
        <v>0</v>
      </c>
      <c r="T873" s="114">
        <f t="shared" ref="T873:T878" si="186">P873-S873</f>
        <v>100</v>
      </c>
      <c r="U873" s="114">
        <f>Q873+((S873*Q873)/P873)</f>
        <v>2099.0723984875517</v>
      </c>
      <c r="V873" s="104"/>
      <c r="W873" s="104"/>
      <c r="X873" s="104"/>
    </row>
    <row r="874" spans="3:28" s="29" customFormat="1" x14ac:dyDescent="0.25">
      <c r="C874" s="990"/>
      <c r="D874" s="990"/>
      <c r="E874" s="990"/>
      <c r="F874" s="991"/>
      <c r="G874" s="991"/>
      <c r="H874" s="991"/>
      <c r="I874" s="991"/>
      <c r="J874" s="991"/>
      <c r="M874" s="114" t="s">
        <v>340</v>
      </c>
      <c r="N874" s="114">
        <f>AE13</f>
        <v>18.48</v>
      </c>
      <c r="O874" s="114" t="str">
        <f>X20</f>
        <v>g</v>
      </c>
      <c r="P874" s="114">
        <v>2</v>
      </c>
      <c r="Q874" s="114">
        <f>N874*P874</f>
        <v>36.96</v>
      </c>
      <c r="R874" s="114">
        <v>0</v>
      </c>
      <c r="S874" s="114">
        <f t="shared" si="185"/>
        <v>0</v>
      </c>
      <c r="T874" s="114">
        <f t="shared" si="186"/>
        <v>2</v>
      </c>
      <c r="U874" s="114">
        <f t="shared" ref="U874:U878" si="187">Q874+((S874*Q874)/P874)</f>
        <v>36.96</v>
      </c>
      <c r="V874" s="30"/>
      <c r="W874" s="30"/>
      <c r="X874" s="30"/>
    </row>
    <row r="875" spans="3:28" s="29" customFormat="1" x14ac:dyDescent="0.25">
      <c r="C875" s="989" t="s">
        <v>0</v>
      </c>
      <c r="D875" s="989"/>
      <c r="E875" s="989"/>
      <c r="F875" s="989" t="s">
        <v>1</v>
      </c>
      <c r="G875" s="989"/>
      <c r="H875" s="989"/>
      <c r="I875" s="989"/>
      <c r="J875" s="989"/>
      <c r="M875" s="114" t="s">
        <v>497</v>
      </c>
      <c r="N875" s="114">
        <f>AE11</f>
        <v>22.95</v>
      </c>
      <c r="O875" s="114" t="str">
        <f>AD11</f>
        <v>g</v>
      </c>
      <c r="P875" s="114">
        <v>80</v>
      </c>
      <c r="Q875" s="114">
        <f>N875*P875</f>
        <v>1836</v>
      </c>
      <c r="R875" s="114">
        <v>0</v>
      </c>
      <c r="S875" s="114">
        <f t="shared" si="185"/>
        <v>0</v>
      </c>
      <c r="T875" s="114">
        <f t="shared" si="186"/>
        <v>80</v>
      </c>
      <c r="U875" s="114">
        <f t="shared" si="187"/>
        <v>1836</v>
      </c>
      <c r="V875" s="30"/>
      <c r="W875" s="30"/>
      <c r="X875" s="30"/>
    </row>
    <row r="876" spans="3:28" s="29" customFormat="1" x14ac:dyDescent="0.25">
      <c r="C876" s="990" t="s">
        <v>3</v>
      </c>
      <c r="D876" s="990"/>
      <c r="E876" s="990"/>
      <c r="F876" s="992" t="s">
        <v>90</v>
      </c>
      <c r="G876" s="991"/>
      <c r="H876" s="991"/>
      <c r="I876" s="991"/>
      <c r="J876" s="991"/>
      <c r="M876" s="114" t="s">
        <v>430</v>
      </c>
      <c r="N876" s="114">
        <f>P10</f>
        <v>0.7</v>
      </c>
      <c r="O876" s="114" t="str">
        <f>O10</f>
        <v>g</v>
      </c>
      <c r="P876" s="114">
        <v>30</v>
      </c>
      <c r="Q876" s="114">
        <f>N876*P876</f>
        <v>21</v>
      </c>
      <c r="R876" s="114">
        <f>AJ7</f>
        <v>0.15</v>
      </c>
      <c r="S876" s="114">
        <f t="shared" si="185"/>
        <v>4.5</v>
      </c>
      <c r="T876" s="114">
        <f t="shared" si="186"/>
        <v>25.5</v>
      </c>
      <c r="U876" s="114">
        <f t="shared" si="187"/>
        <v>24.15</v>
      </c>
      <c r="V876" s="30"/>
      <c r="W876" s="30"/>
      <c r="X876" s="30"/>
    </row>
    <row r="877" spans="3:28" s="29" customFormat="1" x14ac:dyDescent="0.25">
      <c r="C877" s="990"/>
      <c r="D877" s="990"/>
      <c r="E877" s="990"/>
      <c r="F877" s="991"/>
      <c r="G877" s="991"/>
      <c r="H877" s="991"/>
      <c r="I877" s="991"/>
      <c r="J877" s="991"/>
      <c r="M877" s="114" t="s">
        <v>458</v>
      </c>
      <c r="N877" s="114">
        <f>S10</f>
        <v>32.46</v>
      </c>
      <c r="O877" s="114" t="str">
        <f>R10</f>
        <v>g</v>
      </c>
      <c r="P877" s="114">
        <v>80</v>
      </c>
      <c r="Q877" s="114">
        <f>N877*P877</f>
        <v>2596.8000000000002</v>
      </c>
      <c r="R877" s="114">
        <v>0</v>
      </c>
      <c r="S877" s="114">
        <f t="shared" si="185"/>
        <v>0</v>
      </c>
      <c r="T877" s="114">
        <f t="shared" si="186"/>
        <v>80</v>
      </c>
      <c r="U877" s="114">
        <f t="shared" si="187"/>
        <v>2596.8000000000002</v>
      </c>
      <c r="V877" s="30"/>
      <c r="W877" s="30"/>
      <c r="X877" s="30"/>
    </row>
    <row r="878" spans="3:28" s="29" customFormat="1" x14ac:dyDescent="0.25">
      <c r="C878" s="990"/>
      <c r="D878" s="990"/>
      <c r="E878" s="990"/>
      <c r="F878" s="991"/>
      <c r="G878" s="991"/>
      <c r="H878" s="991"/>
      <c r="I878" s="991"/>
      <c r="J878" s="991"/>
      <c r="M878" s="114" t="s">
        <v>599</v>
      </c>
      <c r="N878" s="114">
        <f>V11</f>
        <v>75.959999999999994</v>
      </c>
      <c r="O878" s="114" t="str">
        <f>U11</f>
        <v>g</v>
      </c>
      <c r="P878" s="114">
        <v>60</v>
      </c>
      <c r="Q878" s="114">
        <f>N878*P878</f>
        <v>4557.5999999999995</v>
      </c>
      <c r="R878" s="114">
        <v>0</v>
      </c>
      <c r="S878" s="114">
        <f t="shared" si="185"/>
        <v>0</v>
      </c>
      <c r="T878" s="114">
        <f t="shared" si="186"/>
        <v>60</v>
      </c>
      <c r="U878" s="114">
        <f t="shared" si="187"/>
        <v>4557.5999999999995</v>
      </c>
      <c r="V878" s="30"/>
      <c r="W878" s="30"/>
      <c r="X878" s="30"/>
    </row>
    <row r="879" spans="3:28" s="29" customFormat="1" x14ac:dyDescent="0.25">
      <c r="C879" s="990" t="s">
        <v>4</v>
      </c>
      <c r="D879" s="990"/>
      <c r="E879" s="990"/>
      <c r="F879" s="991" t="s">
        <v>15</v>
      </c>
      <c r="G879" s="991"/>
      <c r="H879" s="991"/>
      <c r="I879" s="991"/>
      <c r="J879" s="991"/>
      <c r="M879" s="114"/>
      <c r="N879" s="114"/>
      <c r="O879" s="114"/>
      <c r="P879" s="114"/>
      <c r="Q879" s="114"/>
      <c r="R879" s="114"/>
      <c r="S879" s="114"/>
      <c r="T879" s="114"/>
      <c r="U879" s="114"/>
      <c r="V879" s="30"/>
      <c r="W879" s="30"/>
      <c r="X879" s="30"/>
    </row>
    <row r="880" spans="3:28" s="29" customFormat="1" x14ac:dyDescent="0.25">
      <c r="C880" s="990"/>
      <c r="D880" s="990"/>
      <c r="E880" s="990"/>
      <c r="F880" s="991"/>
      <c r="G880" s="991"/>
      <c r="H880" s="991"/>
      <c r="I880" s="991"/>
      <c r="J880" s="991"/>
      <c r="M880" s="114"/>
      <c r="N880" s="114"/>
      <c r="O880" s="114"/>
      <c r="P880" s="114"/>
      <c r="Q880" s="114"/>
      <c r="R880" s="114"/>
      <c r="S880" s="114"/>
      <c r="T880" s="114"/>
      <c r="U880" s="114"/>
      <c r="V880" s="30"/>
      <c r="W880" s="30"/>
      <c r="X880" s="30"/>
    </row>
    <row r="881" spans="3:31" s="29" customFormat="1" x14ac:dyDescent="0.25">
      <c r="C881" s="990"/>
      <c r="D881" s="990"/>
      <c r="E881" s="990"/>
      <c r="F881" s="991"/>
      <c r="G881" s="991"/>
      <c r="H881" s="991"/>
      <c r="I881" s="991"/>
      <c r="J881" s="991"/>
      <c r="M881" s="114" t="s">
        <v>337</v>
      </c>
      <c r="N881" s="114">
        <f>SUM(N873:N880)</f>
        <v>2249.6223984875514</v>
      </c>
      <c r="O881" s="114"/>
      <c r="P881" s="114">
        <f>SUM(P873:P880)</f>
        <v>352</v>
      </c>
      <c r="Q881" s="114">
        <f>SUM(Q873:Q880)</f>
        <v>11147.432398487552</v>
      </c>
      <c r="R881" s="114"/>
      <c r="S881" s="114"/>
      <c r="T881" s="114"/>
      <c r="U881" s="114">
        <f>SUM(U873:U880)</f>
        <v>11150.582398487551</v>
      </c>
      <c r="V881" s="30"/>
      <c r="W881" s="30"/>
      <c r="X881" s="30"/>
    </row>
    <row r="882" spans="3:31" s="29" customFormat="1" x14ac:dyDescent="0.25">
      <c r="C882" s="990" t="s">
        <v>5</v>
      </c>
      <c r="D882" s="990"/>
      <c r="E882" s="990"/>
      <c r="F882" s="991" t="s">
        <v>89</v>
      </c>
      <c r="G882" s="991"/>
      <c r="H882" s="991"/>
      <c r="I882" s="991"/>
      <c r="J882" s="991"/>
      <c r="T882" s="30"/>
      <c r="U882" s="30"/>
      <c r="V882" s="30"/>
      <c r="W882" s="30"/>
      <c r="X882" s="30"/>
    </row>
    <row r="883" spans="3:31" s="29" customFormat="1" x14ac:dyDescent="0.25">
      <c r="C883" s="990"/>
      <c r="D883" s="990"/>
      <c r="E883" s="990"/>
      <c r="F883" s="991"/>
      <c r="G883" s="991"/>
      <c r="H883" s="991"/>
      <c r="I883" s="991"/>
      <c r="J883" s="991"/>
      <c r="Q883" s="114" t="s">
        <v>1681</v>
      </c>
      <c r="R883" s="114">
        <f>U881</f>
        <v>11150.582398487551</v>
      </c>
      <c r="S883" s="608" t="s">
        <v>2142</v>
      </c>
      <c r="T883" s="608">
        <f>(R883*100)/R890</f>
        <v>49.268274106064602</v>
      </c>
    </row>
    <row r="884" spans="3:31" s="29" customFormat="1" x14ac:dyDescent="0.25">
      <c r="C884" s="990"/>
      <c r="D884" s="990"/>
      <c r="E884" s="990"/>
      <c r="F884" s="991"/>
      <c r="G884" s="991"/>
      <c r="H884" s="991"/>
      <c r="I884" s="991"/>
      <c r="J884" s="991"/>
      <c r="Q884" s="114" t="s">
        <v>2326</v>
      </c>
      <c r="R884" s="114">
        <f>$AL$26</f>
        <v>1801.715474357886</v>
      </c>
    </row>
    <row r="885" spans="3:31" s="29" customFormat="1" x14ac:dyDescent="0.25">
      <c r="C885" s="990" t="s">
        <v>6</v>
      </c>
      <c r="D885" s="990"/>
      <c r="E885" s="990"/>
      <c r="F885" s="991" t="s">
        <v>9</v>
      </c>
      <c r="G885" s="991"/>
      <c r="H885" s="991"/>
      <c r="I885" s="991"/>
      <c r="J885" s="991"/>
      <c r="Q885" s="114" t="s">
        <v>2325</v>
      </c>
      <c r="R885" s="114">
        <f>$AL$27</f>
        <v>75.599999999999994</v>
      </c>
    </row>
    <row r="886" spans="3:31" s="29" customFormat="1" x14ac:dyDescent="0.25">
      <c r="C886" s="990"/>
      <c r="D886" s="990"/>
      <c r="E886" s="990"/>
      <c r="F886" s="991"/>
      <c r="G886" s="991"/>
      <c r="H886" s="991"/>
      <c r="I886" s="991"/>
      <c r="J886" s="991"/>
      <c r="Q886" s="114" t="s">
        <v>1684</v>
      </c>
      <c r="R886" s="114">
        <f>$AL$29</f>
        <v>69.543532482306858</v>
      </c>
    </row>
    <row r="887" spans="3:31" s="29" customFormat="1" x14ac:dyDescent="0.25">
      <c r="C887" s="990"/>
      <c r="D887" s="990"/>
      <c r="E887" s="990"/>
      <c r="F887" s="991"/>
      <c r="G887" s="991"/>
      <c r="H887" s="991"/>
      <c r="I887" s="991"/>
      <c r="J887" s="991"/>
      <c r="Q887" s="114" t="s">
        <v>1685</v>
      </c>
      <c r="R887" s="114">
        <v>0.6</v>
      </c>
    </row>
    <row r="888" spans="3:31" s="29" customFormat="1" x14ac:dyDescent="0.25">
      <c r="C888" s="990" t="s">
        <v>7</v>
      </c>
      <c r="D888" s="990"/>
      <c r="E888" s="990"/>
      <c r="F888" s="991" t="s">
        <v>598</v>
      </c>
      <c r="G888" s="991"/>
      <c r="H888" s="991"/>
      <c r="I888" s="991"/>
      <c r="J888" s="991"/>
      <c r="Q888" s="114" t="s">
        <v>1708</v>
      </c>
      <c r="R888" s="114">
        <f>(SUM(R883:R886)*R887)+SUM(R883:R886)</f>
        <v>20955.906248524392</v>
      </c>
    </row>
    <row r="889" spans="3:31" s="29" customFormat="1" x14ac:dyDescent="0.25">
      <c r="C889" s="990"/>
      <c r="D889" s="990"/>
      <c r="E889" s="990"/>
      <c r="F889" s="991"/>
      <c r="G889" s="991"/>
      <c r="H889" s="991"/>
      <c r="I889" s="991"/>
      <c r="J889" s="991"/>
      <c r="Q889" s="114" t="s">
        <v>2130</v>
      </c>
      <c r="R889" s="114">
        <f>R888*0.08</f>
        <v>1676.4724998819513</v>
      </c>
    </row>
    <row r="890" spans="3:31" s="29" customFormat="1" x14ac:dyDescent="0.25">
      <c r="C890" s="990"/>
      <c r="D890" s="990"/>
      <c r="E890" s="990"/>
      <c r="F890" s="991"/>
      <c r="G890" s="991"/>
      <c r="H890" s="991"/>
      <c r="I890" s="991"/>
      <c r="J890" s="991"/>
      <c r="Q890" s="114" t="s">
        <v>1686</v>
      </c>
      <c r="R890" s="114">
        <f>SUM(R888+R889)</f>
        <v>22632.378748406343</v>
      </c>
    </row>
    <row r="891" spans="3:31" s="29" customFormat="1" x14ac:dyDescent="0.25"/>
    <row r="892" spans="3:31" s="29" customFormat="1" x14ac:dyDescent="0.25"/>
    <row r="893" spans="3:31" s="29" customFormat="1" x14ac:dyDescent="0.25">
      <c r="C893" s="993" t="s">
        <v>8</v>
      </c>
      <c r="D893" s="993"/>
      <c r="E893" s="993"/>
      <c r="F893" s="993"/>
      <c r="G893" s="993"/>
      <c r="H893" s="993"/>
      <c r="I893" s="993"/>
      <c r="J893" s="993"/>
    </row>
    <row r="894" spans="3:31" s="29" customFormat="1" x14ac:dyDescent="0.25">
      <c r="C894" s="989" t="s">
        <v>0</v>
      </c>
      <c r="D894" s="989"/>
      <c r="E894" s="989"/>
      <c r="F894" s="989" t="s">
        <v>1</v>
      </c>
      <c r="G894" s="989"/>
      <c r="H894" s="989"/>
      <c r="I894" s="989"/>
      <c r="J894" s="989"/>
    </row>
    <row r="895" spans="3:31" s="29" customFormat="1" x14ac:dyDescent="0.25">
      <c r="C895" s="990" t="s">
        <v>2</v>
      </c>
      <c r="D895" s="990"/>
      <c r="E895" s="990"/>
      <c r="F895" s="991" t="s">
        <v>91</v>
      </c>
      <c r="G895" s="991"/>
      <c r="H895" s="991"/>
      <c r="I895" s="991"/>
      <c r="J895" s="991"/>
      <c r="M895" s="113" t="s">
        <v>336</v>
      </c>
      <c r="N895" s="113" t="s">
        <v>174</v>
      </c>
      <c r="O895" s="113" t="s">
        <v>248</v>
      </c>
      <c r="P895" s="113" t="s">
        <v>176</v>
      </c>
      <c r="Q895" s="113" t="s">
        <v>337</v>
      </c>
      <c r="R895" s="113" t="s">
        <v>1641</v>
      </c>
      <c r="S895" s="113" t="s">
        <v>1642</v>
      </c>
      <c r="T895" s="113" t="s">
        <v>1643</v>
      </c>
      <c r="U895" s="113" t="s">
        <v>1644</v>
      </c>
      <c r="W895" s="994" t="s">
        <v>1457</v>
      </c>
      <c r="X895" s="994"/>
      <c r="Y895" s="994"/>
      <c r="Z895" s="994"/>
      <c r="AA895" s="994"/>
      <c r="AB895" s="994"/>
      <c r="AC895" s="994"/>
      <c r="AD895" s="994"/>
      <c r="AE895" s="994"/>
    </row>
    <row r="896" spans="3:31" s="29" customFormat="1" x14ac:dyDescent="0.25">
      <c r="C896" s="990"/>
      <c r="D896" s="990"/>
      <c r="E896" s="990"/>
      <c r="F896" s="991"/>
      <c r="G896" s="991"/>
      <c r="H896" s="991"/>
      <c r="I896" s="991"/>
      <c r="J896" s="991"/>
      <c r="M896" s="114" t="s">
        <v>344</v>
      </c>
      <c r="N896" s="114">
        <f>E7</f>
        <v>2099.0723984875517</v>
      </c>
      <c r="O896" s="114" t="str">
        <f>D7</f>
        <v>g</v>
      </c>
      <c r="P896" s="114">
        <v>100</v>
      </c>
      <c r="Q896" s="114">
        <f>N896</f>
        <v>2099.0723984875517</v>
      </c>
      <c r="R896" s="114">
        <v>0</v>
      </c>
      <c r="S896" s="114">
        <f t="shared" ref="S896:S901" si="188">P896*R896</f>
        <v>0</v>
      </c>
      <c r="T896" s="114">
        <f t="shared" ref="T896:T901" si="189">P896-S896</f>
        <v>100</v>
      </c>
      <c r="U896" s="114">
        <f>Q896+((S896*Q896)/P896)</f>
        <v>2099.0723984875517</v>
      </c>
      <c r="W896" s="113" t="s">
        <v>336</v>
      </c>
      <c r="X896" s="113" t="s">
        <v>174</v>
      </c>
      <c r="Y896" s="113" t="s">
        <v>248</v>
      </c>
      <c r="Z896" s="113" t="s">
        <v>176</v>
      </c>
      <c r="AA896" s="113" t="s">
        <v>337</v>
      </c>
      <c r="AB896" s="113" t="s">
        <v>1641</v>
      </c>
      <c r="AC896" s="113" t="s">
        <v>1642</v>
      </c>
      <c r="AD896" s="113" t="s">
        <v>1643</v>
      </c>
      <c r="AE896" s="113" t="s">
        <v>1644</v>
      </c>
    </row>
    <row r="897" spans="3:31" s="29" customFormat="1" x14ac:dyDescent="0.25">
      <c r="C897" s="990"/>
      <c r="D897" s="990"/>
      <c r="E897" s="990"/>
      <c r="F897" s="991"/>
      <c r="G897" s="991"/>
      <c r="H897" s="991"/>
      <c r="I897" s="991"/>
      <c r="J897" s="991"/>
      <c r="M897" s="114" t="s">
        <v>340</v>
      </c>
      <c r="N897" s="114">
        <f>Y20</f>
        <v>0.64</v>
      </c>
      <c r="O897" s="114" t="str">
        <f>X20</f>
        <v>g</v>
      </c>
      <c r="P897" s="114">
        <v>2</v>
      </c>
      <c r="Q897" s="114">
        <f t="shared" ref="Q897:Q903" si="190">N897*P897</f>
        <v>1.28</v>
      </c>
      <c r="R897" s="114">
        <v>0</v>
      </c>
      <c r="S897" s="114">
        <f t="shared" si="188"/>
        <v>0</v>
      </c>
      <c r="T897" s="114">
        <f t="shared" si="189"/>
        <v>2</v>
      </c>
      <c r="U897" s="114">
        <f t="shared" ref="U897:U901" si="191">Q897+((S897*Q897)/P897)</f>
        <v>1.28</v>
      </c>
      <c r="W897" s="114" t="s">
        <v>550</v>
      </c>
      <c r="X897" s="114">
        <f>AE5</f>
        <v>2.04</v>
      </c>
      <c r="Y897" s="114" t="str">
        <f>AD5</f>
        <v>g</v>
      </c>
      <c r="Z897" s="114">
        <v>20</v>
      </c>
      <c r="AA897" s="114">
        <f>X897*Z897</f>
        <v>40.799999999999997</v>
      </c>
      <c r="AB897" s="114">
        <v>0</v>
      </c>
      <c r="AC897" s="114">
        <f>Z897*AB897</f>
        <v>0</v>
      </c>
      <c r="AD897" s="114">
        <f>Z897-AC897</f>
        <v>20</v>
      </c>
      <c r="AE897" s="114">
        <f>AA897+((AC897*AA897)/Z897)</f>
        <v>40.799999999999997</v>
      </c>
    </row>
    <row r="898" spans="3:31" s="29" customFormat="1" x14ac:dyDescent="0.25">
      <c r="C898" s="989" t="s">
        <v>0</v>
      </c>
      <c r="D898" s="989"/>
      <c r="E898" s="989"/>
      <c r="F898" s="989" t="s">
        <v>1</v>
      </c>
      <c r="G898" s="989"/>
      <c r="H898" s="989"/>
      <c r="I898" s="989"/>
      <c r="J898" s="989"/>
      <c r="M898" s="114" t="s">
        <v>462</v>
      </c>
      <c r="N898" s="114">
        <f>V12</f>
        <v>25.98</v>
      </c>
      <c r="O898" s="114" t="str">
        <f>U12</f>
        <v>g</v>
      </c>
      <c r="P898" s="114">
        <v>60</v>
      </c>
      <c r="Q898" s="114">
        <f t="shared" si="190"/>
        <v>1558.8</v>
      </c>
      <c r="R898" s="114">
        <v>0</v>
      </c>
      <c r="S898" s="114">
        <f t="shared" si="188"/>
        <v>0</v>
      </c>
      <c r="T898" s="114">
        <f t="shared" si="189"/>
        <v>60</v>
      </c>
      <c r="U898" s="114">
        <f t="shared" si="191"/>
        <v>1558.8</v>
      </c>
      <c r="W898" s="114" t="s">
        <v>551</v>
      </c>
      <c r="X898" s="114">
        <f>V4</f>
        <v>3.08</v>
      </c>
      <c r="Y898" s="114" t="str">
        <f>U4</f>
        <v>mL</v>
      </c>
      <c r="Z898" s="114">
        <v>100</v>
      </c>
      <c r="AA898" s="114">
        <f>X898*Z898</f>
        <v>308</v>
      </c>
      <c r="AB898" s="114">
        <v>0</v>
      </c>
      <c r="AC898" s="114">
        <f>Z898*AB898</f>
        <v>0</v>
      </c>
      <c r="AD898" s="114">
        <f>Z898-AC898</f>
        <v>100</v>
      </c>
      <c r="AE898" s="114">
        <f>AA898+((AC898*AA898)/Z898)</f>
        <v>308</v>
      </c>
    </row>
    <row r="899" spans="3:31" s="29" customFormat="1" x14ac:dyDescent="0.25">
      <c r="C899" s="990" t="s">
        <v>3</v>
      </c>
      <c r="D899" s="990"/>
      <c r="E899" s="990"/>
      <c r="F899" s="992" t="s">
        <v>92</v>
      </c>
      <c r="G899" s="991"/>
      <c r="H899" s="991"/>
      <c r="I899" s="991"/>
      <c r="J899" s="991"/>
      <c r="M899" s="114" t="s">
        <v>345</v>
      </c>
      <c r="N899" s="114">
        <f>P23</f>
        <v>1.6</v>
      </c>
      <c r="O899" s="114" t="str">
        <f>O23</f>
        <v>g</v>
      </c>
      <c r="P899" s="114">
        <v>20</v>
      </c>
      <c r="Q899" s="114">
        <f t="shared" si="190"/>
        <v>32</v>
      </c>
      <c r="R899" s="114">
        <v>0</v>
      </c>
      <c r="S899" s="114">
        <f t="shared" si="188"/>
        <v>0</v>
      </c>
      <c r="T899" s="114">
        <f t="shared" si="189"/>
        <v>20</v>
      </c>
      <c r="U899" s="114">
        <f t="shared" si="191"/>
        <v>32</v>
      </c>
      <c r="W899" s="114" t="s">
        <v>347</v>
      </c>
      <c r="X899" s="114">
        <f>V6</f>
        <v>28.76</v>
      </c>
      <c r="Y899" s="114" t="str">
        <f>U6</f>
        <v>g</v>
      </c>
      <c r="Z899" s="114">
        <v>20</v>
      </c>
      <c r="AA899" s="114">
        <f>X899*Z899</f>
        <v>575.20000000000005</v>
      </c>
      <c r="AB899" s="114">
        <v>0</v>
      </c>
      <c r="AC899" s="114">
        <f>Z899*AB899</f>
        <v>0</v>
      </c>
      <c r="AD899" s="114">
        <f>Z899-AC899</f>
        <v>20</v>
      </c>
      <c r="AE899" s="114">
        <f>AA899+((AC899*AA899)/Z899)</f>
        <v>575.20000000000005</v>
      </c>
    </row>
    <row r="900" spans="3:31" s="29" customFormat="1" x14ac:dyDescent="0.25">
      <c r="C900" s="990"/>
      <c r="D900" s="990"/>
      <c r="E900" s="990"/>
      <c r="F900" s="991"/>
      <c r="G900" s="991"/>
      <c r="H900" s="991"/>
      <c r="I900" s="991"/>
      <c r="J900" s="991"/>
      <c r="M900" s="114" t="s">
        <v>442</v>
      </c>
      <c r="N900" s="114">
        <f>Y3</f>
        <v>30</v>
      </c>
      <c r="O900" s="114" t="str">
        <f>X3</f>
        <v>g</v>
      </c>
      <c r="P900" s="114">
        <v>30</v>
      </c>
      <c r="Q900" s="114">
        <f t="shared" si="190"/>
        <v>900</v>
      </c>
      <c r="R900" s="114">
        <v>0</v>
      </c>
      <c r="S900" s="114">
        <f t="shared" si="188"/>
        <v>0</v>
      </c>
      <c r="T900" s="114">
        <f t="shared" si="189"/>
        <v>30</v>
      </c>
      <c r="U900" s="114">
        <f t="shared" si="191"/>
        <v>900</v>
      </c>
      <c r="W900" s="114" t="s">
        <v>340</v>
      </c>
      <c r="X900" s="114">
        <f>Y20</f>
        <v>0.64</v>
      </c>
      <c r="Y900" s="114" t="str">
        <f>X20</f>
        <v>g</v>
      </c>
      <c r="Z900" s="114">
        <v>1</v>
      </c>
      <c r="AA900" s="114">
        <f>X900*Z900</f>
        <v>0.64</v>
      </c>
      <c r="AB900" s="114">
        <v>0</v>
      </c>
      <c r="AC900" s="114">
        <f>Z900*AB900</f>
        <v>0</v>
      </c>
      <c r="AD900" s="114">
        <f>Z900-AC900</f>
        <v>1</v>
      </c>
      <c r="AE900" s="114">
        <f>AA900+((AC900*AA900)/Z900)</f>
        <v>0.64</v>
      </c>
    </row>
    <row r="901" spans="3:31" s="29" customFormat="1" x14ac:dyDescent="0.25">
      <c r="C901" s="990"/>
      <c r="D901" s="990"/>
      <c r="E901" s="990"/>
      <c r="F901" s="991"/>
      <c r="G901" s="991"/>
      <c r="H901" s="991"/>
      <c r="I901" s="991"/>
      <c r="J901" s="991"/>
      <c r="M901" s="114" t="s">
        <v>498</v>
      </c>
      <c r="N901" s="114">
        <f>AE902</f>
        <v>1320.04</v>
      </c>
      <c r="O901" s="114" t="s">
        <v>1388</v>
      </c>
      <c r="P901" s="114">
        <v>120</v>
      </c>
      <c r="Q901" s="114">
        <f>N901</f>
        <v>1320.04</v>
      </c>
      <c r="R901" s="114">
        <v>0</v>
      </c>
      <c r="S901" s="114">
        <f t="shared" si="188"/>
        <v>0</v>
      </c>
      <c r="T901" s="114">
        <f t="shared" si="189"/>
        <v>120</v>
      </c>
      <c r="U901" s="114">
        <f t="shared" si="191"/>
        <v>1320.04</v>
      </c>
      <c r="W901" s="114" t="s">
        <v>356</v>
      </c>
      <c r="X901" s="114">
        <f>Y14</f>
        <v>131.80000000000001</v>
      </c>
      <c r="Y901" s="114" t="str">
        <f>X14</f>
        <v>g</v>
      </c>
      <c r="Z901" s="114">
        <v>3</v>
      </c>
      <c r="AA901" s="114">
        <f>X901*Z901</f>
        <v>395.40000000000003</v>
      </c>
      <c r="AB901" s="114">
        <v>0</v>
      </c>
      <c r="AC901" s="114">
        <f>Z901*AB901</f>
        <v>0</v>
      </c>
      <c r="AD901" s="114">
        <f>Z901-AC901</f>
        <v>3</v>
      </c>
      <c r="AE901" s="114">
        <f>AA901+((AC901*AA901)/Z901)</f>
        <v>395.40000000000003</v>
      </c>
    </row>
    <row r="902" spans="3:31" s="29" customFormat="1" x14ac:dyDescent="0.25">
      <c r="C902" s="990" t="s">
        <v>4</v>
      </c>
      <c r="D902" s="990"/>
      <c r="E902" s="990"/>
      <c r="F902" s="991" t="s">
        <v>15</v>
      </c>
      <c r="G902" s="991"/>
      <c r="H902" s="991"/>
      <c r="I902" s="991"/>
      <c r="J902" s="991"/>
      <c r="M902" s="114"/>
      <c r="N902" s="114"/>
      <c r="O902" s="114"/>
      <c r="P902" s="114"/>
      <c r="Q902" s="114">
        <f t="shared" si="190"/>
        <v>0</v>
      </c>
      <c r="R902" s="114"/>
      <c r="S902" s="114"/>
      <c r="T902" s="114"/>
      <c r="U902" s="114"/>
      <c r="W902" s="114" t="s">
        <v>337</v>
      </c>
      <c r="X902" s="114">
        <f>SUM(X897:X901)</f>
        <v>166.32000000000002</v>
      </c>
      <c r="Y902" s="114"/>
      <c r="Z902" s="114">
        <f>SUM(Z897:Z901)</f>
        <v>144</v>
      </c>
      <c r="AA902" s="114">
        <f>SUM(AA897:AA901)</f>
        <v>1320.04</v>
      </c>
      <c r="AB902" s="114"/>
      <c r="AC902" s="114"/>
      <c r="AD902" s="114"/>
      <c r="AE902" s="114">
        <f>SUM(AE897:AE901)</f>
        <v>1320.04</v>
      </c>
    </row>
    <row r="903" spans="3:31" s="29" customFormat="1" x14ac:dyDescent="0.25">
      <c r="C903" s="990"/>
      <c r="D903" s="990"/>
      <c r="E903" s="990"/>
      <c r="F903" s="991"/>
      <c r="G903" s="991"/>
      <c r="H903" s="991"/>
      <c r="I903" s="991"/>
      <c r="J903" s="991"/>
      <c r="M903" s="114"/>
      <c r="N903" s="114"/>
      <c r="O903" s="114"/>
      <c r="P903" s="114"/>
      <c r="Q903" s="114">
        <f t="shared" si="190"/>
        <v>0</v>
      </c>
      <c r="R903" s="114"/>
      <c r="S903" s="114"/>
      <c r="T903" s="114"/>
      <c r="U903" s="114"/>
    </row>
    <row r="904" spans="3:31" s="29" customFormat="1" x14ac:dyDescent="0.25">
      <c r="C904" s="990"/>
      <c r="D904" s="990"/>
      <c r="E904" s="990"/>
      <c r="F904" s="991"/>
      <c r="G904" s="991"/>
      <c r="H904" s="991"/>
      <c r="I904" s="991"/>
      <c r="J904" s="991"/>
      <c r="M904" s="114" t="s">
        <v>337</v>
      </c>
      <c r="N904" s="114">
        <f>SUM(N896:N903)</f>
        <v>3477.3323984875515</v>
      </c>
      <c r="O904" s="114"/>
      <c r="P904" s="114">
        <f>SUM(P896:P903)</f>
        <v>332</v>
      </c>
      <c r="Q904" s="114">
        <f>SUM(Q896:Q903)</f>
        <v>5911.1923984875521</v>
      </c>
      <c r="R904" s="114"/>
      <c r="S904" s="114"/>
      <c r="T904" s="114"/>
      <c r="U904" s="114">
        <f>SUM(U896:U903)</f>
        <v>5911.1923984875521</v>
      </c>
      <c r="AA904" s="114" t="s">
        <v>1681</v>
      </c>
      <c r="AB904" s="114">
        <f>AE902</f>
        <v>1320.04</v>
      </c>
      <c r="AC904" s="608" t="s">
        <v>2142</v>
      </c>
      <c r="AD904" s="608">
        <f>(AB904*100)/AB911</f>
        <v>22.714130423188919</v>
      </c>
    </row>
    <row r="905" spans="3:31" s="29" customFormat="1" x14ac:dyDescent="0.25">
      <c r="C905" s="990" t="s">
        <v>5</v>
      </c>
      <c r="D905" s="990"/>
      <c r="E905" s="990"/>
      <c r="F905" s="991" t="s">
        <v>93</v>
      </c>
      <c r="G905" s="991"/>
      <c r="H905" s="991"/>
      <c r="I905" s="991"/>
      <c r="J905" s="991"/>
      <c r="AA905" s="114" t="s">
        <v>2326</v>
      </c>
      <c r="AB905" s="114">
        <f>$AO$26/2</f>
        <v>476.87414947063905</v>
      </c>
    </row>
    <row r="906" spans="3:31" s="29" customFormat="1" x14ac:dyDescent="0.25">
      <c r="C906" s="990"/>
      <c r="D906" s="990"/>
      <c r="E906" s="990"/>
      <c r="F906" s="991"/>
      <c r="G906" s="991"/>
      <c r="H906" s="991"/>
      <c r="I906" s="991"/>
      <c r="J906" s="991"/>
      <c r="Q906" s="114" t="s">
        <v>1681</v>
      </c>
      <c r="R906" s="114">
        <f>U904</f>
        <v>5911.1923984875521</v>
      </c>
      <c r="S906" s="608" t="s">
        <v>2142</v>
      </c>
      <c r="T906" s="608">
        <f>(R906*100)/R913</f>
        <v>43.53278895567685</v>
      </c>
      <c r="AA906" s="114" t="s">
        <v>2325</v>
      </c>
      <c r="AB906" s="114">
        <f>$AO$27/4</f>
        <v>18.899999999999999</v>
      </c>
    </row>
    <row r="907" spans="3:31" s="29" customFormat="1" x14ac:dyDescent="0.25">
      <c r="C907" s="990"/>
      <c r="D907" s="990"/>
      <c r="E907" s="990"/>
      <c r="F907" s="991"/>
      <c r="G907" s="991"/>
      <c r="H907" s="991"/>
      <c r="I907" s="991"/>
      <c r="J907" s="991"/>
      <c r="Q907" s="114" t="s">
        <v>2326</v>
      </c>
      <c r="R907" s="114">
        <f>$AL$26</f>
        <v>1801.715474357886</v>
      </c>
      <c r="AA907" s="114" t="s">
        <v>1684</v>
      </c>
      <c r="AB907" s="114">
        <f>$AO$29</f>
        <v>1547.3435977313275</v>
      </c>
    </row>
    <row r="908" spans="3:31" s="29" customFormat="1" x14ac:dyDescent="0.25">
      <c r="C908" s="990" t="s">
        <v>6</v>
      </c>
      <c r="D908" s="990"/>
      <c r="E908" s="990"/>
      <c r="F908" s="991" t="s">
        <v>9</v>
      </c>
      <c r="G908" s="991"/>
      <c r="H908" s="991"/>
      <c r="I908" s="991"/>
      <c r="J908" s="991"/>
      <c r="Q908" s="114" t="s">
        <v>2325</v>
      </c>
      <c r="R908" s="114">
        <f>$AL$27</f>
        <v>75.599999999999994</v>
      </c>
      <c r="AA908" s="114" t="s">
        <v>1685</v>
      </c>
      <c r="AB908" s="114">
        <v>0.6</v>
      </c>
    </row>
    <row r="909" spans="3:31" s="29" customFormat="1" x14ac:dyDescent="0.25">
      <c r="C909" s="990"/>
      <c r="D909" s="990"/>
      <c r="E909" s="990"/>
      <c r="F909" s="991"/>
      <c r="G909" s="991"/>
      <c r="H909" s="991"/>
      <c r="I909" s="991"/>
      <c r="J909" s="991"/>
      <c r="Q909" s="114" t="s">
        <v>1684</v>
      </c>
      <c r="R909" s="114">
        <f>$AL$29</f>
        <v>69.543532482306858</v>
      </c>
      <c r="AA909" s="114" t="s">
        <v>1708</v>
      </c>
      <c r="AB909" s="114">
        <f>(SUM(AB904:AB907)*AB908)+SUM(AB904:AB907)</f>
        <v>5381.0523955231465</v>
      </c>
    </row>
    <row r="910" spans="3:31" s="29" customFormat="1" x14ac:dyDescent="0.25">
      <c r="C910" s="990"/>
      <c r="D910" s="990"/>
      <c r="E910" s="990"/>
      <c r="F910" s="991"/>
      <c r="G910" s="991"/>
      <c r="H910" s="991"/>
      <c r="I910" s="991"/>
      <c r="J910" s="991"/>
      <c r="Q910" s="114" t="s">
        <v>1685</v>
      </c>
      <c r="R910" s="114">
        <v>0.6</v>
      </c>
      <c r="AA910" s="114" t="s">
        <v>2130</v>
      </c>
      <c r="AB910" s="114">
        <f>AB909*0.08</f>
        <v>430.48419164185174</v>
      </c>
    </row>
    <row r="911" spans="3:31" s="29" customFormat="1" x14ac:dyDescent="0.25">
      <c r="C911" s="990" t="s">
        <v>7</v>
      </c>
      <c r="D911" s="990"/>
      <c r="E911" s="990"/>
      <c r="F911" s="991" t="s">
        <v>499</v>
      </c>
      <c r="G911" s="991"/>
      <c r="H911" s="991"/>
      <c r="I911" s="991"/>
      <c r="J911" s="991"/>
      <c r="Q911" s="114" t="s">
        <v>1708</v>
      </c>
      <c r="R911" s="114">
        <f>(SUM(R906:R909)*R910)+SUM(R906:R909)</f>
        <v>12572.882248524391</v>
      </c>
      <c r="AA911" s="114" t="s">
        <v>1686</v>
      </c>
      <c r="AB911" s="114">
        <f>SUM(AB909+AB910)</f>
        <v>5811.5365871649983</v>
      </c>
    </row>
    <row r="912" spans="3:31" s="29" customFormat="1" x14ac:dyDescent="0.25">
      <c r="C912" s="990"/>
      <c r="D912" s="990"/>
      <c r="E912" s="990"/>
      <c r="F912" s="991"/>
      <c r="G912" s="991"/>
      <c r="H912" s="991"/>
      <c r="I912" s="991"/>
      <c r="J912" s="991"/>
      <c r="Q912" s="114" t="s">
        <v>2130</v>
      </c>
      <c r="R912" s="114">
        <f>R911*0.08</f>
        <v>1005.8305798819513</v>
      </c>
    </row>
    <row r="913" spans="3:31" s="29" customFormat="1" x14ac:dyDescent="0.25">
      <c r="C913" s="990"/>
      <c r="D913" s="990"/>
      <c r="E913" s="990"/>
      <c r="F913" s="991"/>
      <c r="G913" s="991"/>
      <c r="H913" s="991"/>
      <c r="I913" s="991"/>
      <c r="J913" s="991"/>
      <c r="Q913" s="114" t="s">
        <v>1686</v>
      </c>
      <c r="R913" s="114">
        <f>SUM(R911+R912)</f>
        <v>13578.712828406342</v>
      </c>
    </row>
    <row r="914" spans="3:31" s="29" customFormat="1" x14ac:dyDescent="0.25"/>
    <row r="915" spans="3:31" s="29" customFormat="1" x14ac:dyDescent="0.25"/>
    <row r="916" spans="3:31" s="29" customFormat="1" x14ac:dyDescent="0.25">
      <c r="C916" s="993" t="s">
        <v>8</v>
      </c>
      <c r="D916" s="993"/>
      <c r="E916" s="993"/>
      <c r="F916" s="993"/>
      <c r="G916" s="993"/>
      <c r="H916" s="993"/>
      <c r="I916" s="993"/>
      <c r="J916" s="993"/>
    </row>
    <row r="917" spans="3:31" s="29" customFormat="1" x14ac:dyDescent="0.25">
      <c r="C917" s="989" t="s">
        <v>0</v>
      </c>
      <c r="D917" s="989"/>
      <c r="E917" s="989"/>
      <c r="F917" s="989" t="s">
        <v>1</v>
      </c>
      <c r="G917" s="989"/>
      <c r="H917" s="989"/>
      <c r="I917" s="989"/>
      <c r="J917" s="989"/>
    </row>
    <row r="918" spans="3:31" s="29" customFormat="1" x14ac:dyDescent="0.25">
      <c r="C918" s="990" t="s">
        <v>2</v>
      </c>
      <c r="D918" s="990"/>
      <c r="E918" s="990"/>
      <c r="F918" s="991" t="s">
        <v>313</v>
      </c>
      <c r="G918" s="991"/>
      <c r="H918" s="991"/>
      <c r="I918" s="991"/>
      <c r="J918" s="991"/>
      <c r="M918" s="113" t="s">
        <v>336</v>
      </c>
      <c r="N918" s="113" t="s">
        <v>174</v>
      </c>
      <c r="O918" s="113" t="s">
        <v>248</v>
      </c>
      <c r="P918" s="113" t="s">
        <v>176</v>
      </c>
      <c r="Q918" s="113" t="s">
        <v>337</v>
      </c>
      <c r="R918" s="113" t="s">
        <v>1641</v>
      </c>
      <c r="S918" s="113" t="s">
        <v>1642</v>
      </c>
      <c r="T918" s="113" t="s">
        <v>1643</v>
      </c>
      <c r="U918" s="113" t="s">
        <v>1644</v>
      </c>
      <c r="W918" s="988" t="s">
        <v>351</v>
      </c>
      <c r="X918" s="988"/>
      <c r="Y918" s="988"/>
      <c r="Z918" s="988"/>
      <c r="AA918" s="988"/>
      <c r="AB918" s="988"/>
      <c r="AC918" s="988"/>
      <c r="AD918" s="988"/>
      <c r="AE918" s="988"/>
    </row>
    <row r="919" spans="3:31" s="29" customFormat="1" x14ac:dyDescent="0.25">
      <c r="C919" s="990"/>
      <c r="D919" s="990"/>
      <c r="E919" s="990"/>
      <c r="F919" s="991"/>
      <c r="G919" s="991"/>
      <c r="H919" s="991"/>
      <c r="I919" s="991"/>
      <c r="J919" s="991"/>
      <c r="M919" s="114" t="s">
        <v>344</v>
      </c>
      <c r="N919" s="114">
        <f>E7</f>
        <v>2099.0723984875517</v>
      </c>
      <c r="O919" s="114" t="str">
        <f>D7</f>
        <v>g</v>
      </c>
      <c r="P919" s="114">
        <v>100</v>
      </c>
      <c r="Q919" s="114">
        <f>N919</f>
        <v>2099.0723984875517</v>
      </c>
      <c r="R919" s="114">
        <v>0</v>
      </c>
      <c r="S919" s="114">
        <f>P919*R919</f>
        <v>0</v>
      </c>
      <c r="T919" s="114">
        <f>P919-S919</f>
        <v>100</v>
      </c>
      <c r="U919" s="114">
        <f>Q919+((S919*Q919)/P919)</f>
        <v>2099.0723984875517</v>
      </c>
      <c r="W919" s="113" t="s">
        <v>336</v>
      </c>
      <c r="X919" s="113" t="s">
        <v>174</v>
      </c>
      <c r="Y919" s="113" t="s">
        <v>248</v>
      </c>
      <c r="Z919" s="113" t="s">
        <v>176</v>
      </c>
      <c r="AA919" s="113" t="s">
        <v>337</v>
      </c>
      <c r="AB919" s="113" t="s">
        <v>1641</v>
      </c>
      <c r="AC919" s="113" t="s">
        <v>1642</v>
      </c>
      <c r="AD919" s="113" t="s">
        <v>1643</v>
      </c>
      <c r="AE919" s="113" t="s">
        <v>1644</v>
      </c>
    </row>
    <row r="920" spans="3:31" s="29" customFormat="1" x14ac:dyDescent="0.25">
      <c r="C920" s="990"/>
      <c r="D920" s="990"/>
      <c r="E920" s="990"/>
      <c r="F920" s="991"/>
      <c r="G920" s="991"/>
      <c r="H920" s="991"/>
      <c r="I920" s="991"/>
      <c r="J920" s="991"/>
      <c r="M920" s="114" t="s">
        <v>340</v>
      </c>
      <c r="N920" s="114">
        <f>Y20</f>
        <v>0.64</v>
      </c>
      <c r="O920" s="114" t="str">
        <f>X20</f>
        <v>g</v>
      </c>
      <c r="P920" s="114">
        <v>2</v>
      </c>
      <c r="Q920" s="114">
        <f t="shared" ref="Q920:Q926" si="192">N920*P920</f>
        <v>1.28</v>
      </c>
      <c r="R920" s="114">
        <v>0</v>
      </c>
      <c r="S920" s="114">
        <f t="shared" ref="S920:S925" si="193">P920*R920</f>
        <v>0</v>
      </c>
      <c r="T920" s="114">
        <f t="shared" ref="T920:T925" si="194">P920-S920</f>
        <v>2</v>
      </c>
      <c r="U920" s="114">
        <f t="shared" ref="U920:U925" si="195">Q920+((S920*Q920)/P920)</f>
        <v>1.28</v>
      </c>
      <c r="W920" s="114" t="s">
        <v>347</v>
      </c>
      <c r="X920" s="114">
        <f>V6</f>
        <v>28.76</v>
      </c>
      <c r="Y920" s="114" t="str">
        <f>U6</f>
        <v>g</v>
      </c>
      <c r="Z920" s="114">
        <v>30</v>
      </c>
      <c r="AA920" s="114">
        <f>X920*Z920</f>
        <v>862.80000000000007</v>
      </c>
      <c r="AB920" s="114">
        <v>0</v>
      </c>
      <c r="AC920" s="114">
        <f>Z920*AB920</f>
        <v>0</v>
      </c>
      <c r="AD920" s="114">
        <f>Z920-AC920</f>
        <v>30</v>
      </c>
      <c r="AE920" s="114">
        <f>AA920+((AC920*AA920)/Z920)</f>
        <v>862.80000000000007</v>
      </c>
    </row>
    <row r="921" spans="3:31" s="29" customFormat="1" x14ac:dyDescent="0.25">
      <c r="C921" s="989" t="s">
        <v>0</v>
      </c>
      <c r="D921" s="989"/>
      <c r="E921" s="989"/>
      <c r="F921" s="989" t="s">
        <v>1</v>
      </c>
      <c r="G921" s="989"/>
      <c r="H921" s="989"/>
      <c r="I921" s="989"/>
      <c r="J921" s="989"/>
      <c r="M921" s="114" t="s">
        <v>345</v>
      </c>
      <c r="N921" s="114">
        <f>P23</f>
        <v>1.6</v>
      </c>
      <c r="O921" s="114" t="str">
        <f>O23</f>
        <v>g</v>
      </c>
      <c r="P921" s="114">
        <v>20</v>
      </c>
      <c r="Q921" s="114">
        <f t="shared" si="192"/>
        <v>32</v>
      </c>
      <c r="R921" s="114">
        <v>0</v>
      </c>
      <c r="S921" s="114">
        <f t="shared" si="193"/>
        <v>0</v>
      </c>
      <c r="T921" s="114">
        <f t="shared" si="194"/>
        <v>20</v>
      </c>
      <c r="U921" s="114">
        <f t="shared" si="195"/>
        <v>32</v>
      </c>
      <c r="W921" s="114" t="s">
        <v>546</v>
      </c>
      <c r="X921" s="114">
        <f>AE3</f>
        <v>49.18</v>
      </c>
      <c r="Y921" s="114" t="str">
        <f>AD3</f>
        <v>mL</v>
      </c>
      <c r="Z921" s="114">
        <v>5</v>
      </c>
      <c r="AA921" s="114">
        <f t="shared" ref="AA921:AA926" si="196">X921*Z921</f>
        <v>245.9</v>
      </c>
      <c r="AB921" s="114">
        <v>0</v>
      </c>
      <c r="AC921" s="114">
        <f t="shared" ref="AC921:AC926" si="197">Z921*AB921</f>
        <v>0</v>
      </c>
      <c r="AD921" s="114">
        <f t="shared" ref="AD921:AD926" si="198">Z921-AC921</f>
        <v>5</v>
      </c>
      <c r="AE921" s="114">
        <f t="shared" ref="AE921:AE926" si="199">AA921+((AC921*AA921)/Z921)</f>
        <v>245.9</v>
      </c>
    </row>
    <row r="922" spans="3:31" s="29" customFormat="1" x14ac:dyDescent="0.25">
      <c r="C922" s="990" t="s">
        <v>3</v>
      </c>
      <c r="D922" s="990"/>
      <c r="E922" s="990"/>
      <c r="F922" s="991" t="s">
        <v>314</v>
      </c>
      <c r="G922" s="991"/>
      <c r="H922" s="991"/>
      <c r="I922" s="991"/>
      <c r="J922" s="991"/>
      <c r="M922" s="114" t="s">
        <v>346</v>
      </c>
      <c r="N922" s="114">
        <f>P3</f>
        <v>7</v>
      </c>
      <c r="O922" s="114" t="str">
        <f>O3</f>
        <v>g</v>
      </c>
      <c r="P922" s="114">
        <v>6</v>
      </c>
      <c r="Q922" s="114">
        <f t="shared" si="192"/>
        <v>42</v>
      </c>
      <c r="R922" s="114">
        <f>AJ2</f>
        <v>0.23</v>
      </c>
      <c r="S922" s="114">
        <f t="shared" si="193"/>
        <v>1.3800000000000001</v>
      </c>
      <c r="T922" s="114">
        <f t="shared" si="194"/>
        <v>4.62</v>
      </c>
      <c r="U922" s="114">
        <f t="shared" si="195"/>
        <v>51.660000000000004</v>
      </c>
      <c r="W922" s="114" t="s">
        <v>346</v>
      </c>
      <c r="X922" s="114">
        <f>P3</f>
        <v>7</v>
      </c>
      <c r="Y922" s="114" t="str">
        <f>O3</f>
        <v>g</v>
      </c>
      <c r="Z922" s="114">
        <v>12</v>
      </c>
      <c r="AA922" s="114">
        <f t="shared" si="196"/>
        <v>84</v>
      </c>
      <c r="AB922" s="114">
        <f>AJ2</f>
        <v>0.23</v>
      </c>
      <c r="AC922" s="114">
        <f t="shared" si="197"/>
        <v>2.7600000000000002</v>
      </c>
      <c r="AD922" s="114">
        <f t="shared" si="198"/>
        <v>9.24</v>
      </c>
      <c r="AE922" s="114">
        <f t="shared" si="199"/>
        <v>103.32000000000001</v>
      </c>
    </row>
    <row r="923" spans="3:31" s="29" customFormat="1" x14ac:dyDescent="0.25">
      <c r="C923" s="990"/>
      <c r="D923" s="990"/>
      <c r="E923" s="990"/>
      <c r="F923" s="991"/>
      <c r="G923" s="991"/>
      <c r="H923" s="991"/>
      <c r="I923" s="991"/>
      <c r="J923" s="991"/>
      <c r="M923" s="114" t="s">
        <v>600</v>
      </c>
      <c r="N923" s="114">
        <f>V13</f>
        <v>81.900000000000006</v>
      </c>
      <c r="O923" s="114" t="str">
        <f>U13</f>
        <v>g</v>
      </c>
      <c r="P923" s="114">
        <v>60</v>
      </c>
      <c r="Q923" s="114">
        <f t="shared" si="192"/>
        <v>4914</v>
      </c>
      <c r="R923" s="114">
        <v>0</v>
      </c>
      <c r="S923" s="114">
        <f t="shared" si="193"/>
        <v>0</v>
      </c>
      <c r="T923" s="114">
        <f t="shared" si="194"/>
        <v>60</v>
      </c>
      <c r="U923" s="114">
        <f t="shared" si="195"/>
        <v>4914</v>
      </c>
      <c r="W923" s="114" t="s">
        <v>348</v>
      </c>
      <c r="X923" s="114">
        <f>V2</f>
        <v>13.11</v>
      </c>
      <c r="Y923" s="114" t="str">
        <f>U2</f>
        <v>g</v>
      </c>
      <c r="Z923" s="114">
        <v>60</v>
      </c>
      <c r="AA923" s="114">
        <f t="shared" si="196"/>
        <v>786.59999999999991</v>
      </c>
      <c r="AB923" s="114">
        <v>0</v>
      </c>
      <c r="AC923" s="114">
        <f t="shared" si="197"/>
        <v>0</v>
      </c>
      <c r="AD923" s="114">
        <f t="shared" si="198"/>
        <v>60</v>
      </c>
      <c r="AE923" s="114">
        <f t="shared" si="199"/>
        <v>786.59999999999991</v>
      </c>
    </row>
    <row r="924" spans="3:31" s="29" customFormat="1" x14ac:dyDescent="0.25">
      <c r="C924" s="990"/>
      <c r="D924" s="990"/>
      <c r="E924" s="990"/>
      <c r="F924" s="991"/>
      <c r="G924" s="991"/>
      <c r="H924" s="991"/>
      <c r="I924" s="991"/>
      <c r="J924" s="991"/>
      <c r="M924" s="114" t="s">
        <v>353</v>
      </c>
      <c r="N924" s="114">
        <f>AE927</f>
        <v>5944.7800000000007</v>
      </c>
      <c r="O924" s="114" t="s">
        <v>1388</v>
      </c>
      <c r="P924" s="114">
        <v>120</v>
      </c>
      <c r="Q924" s="114">
        <f>N924</f>
        <v>5944.7800000000007</v>
      </c>
      <c r="R924" s="114">
        <v>0</v>
      </c>
      <c r="S924" s="114">
        <f t="shared" si="193"/>
        <v>0</v>
      </c>
      <c r="T924" s="114">
        <f t="shared" si="194"/>
        <v>120</v>
      </c>
      <c r="U924" s="114">
        <f t="shared" si="195"/>
        <v>5944.7800000000007</v>
      </c>
      <c r="W924" s="114" t="s">
        <v>433</v>
      </c>
      <c r="X924" s="114">
        <f>Y18</f>
        <v>223.57</v>
      </c>
      <c r="Y924" s="114" t="str">
        <f>X18</f>
        <v>g</v>
      </c>
      <c r="Z924" s="114">
        <v>8</v>
      </c>
      <c r="AA924" s="114">
        <f t="shared" si="196"/>
        <v>1788.56</v>
      </c>
      <c r="AB924" s="114">
        <v>0</v>
      </c>
      <c r="AC924" s="114">
        <f t="shared" si="197"/>
        <v>0</v>
      </c>
      <c r="AD924" s="114">
        <f t="shared" si="198"/>
        <v>8</v>
      </c>
      <c r="AE924" s="114">
        <f t="shared" si="199"/>
        <v>1788.56</v>
      </c>
    </row>
    <row r="925" spans="3:31" s="29" customFormat="1" x14ac:dyDescent="0.25">
      <c r="C925" s="990" t="s">
        <v>4</v>
      </c>
      <c r="D925" s="990"/>
      <c r="E925" s="990"/>
      <c r="F925" s="991" t="s">
        <v>15</v>
      </c>
      <c r="G925" s="991"/>
      <c r="H925" s="991"/>
      <c r="I925" s="991"/>
      <c r="J925" s="991"/>
      <c r="M925" s="114" t="s">
        <v>484</v>
      </c>
      <c r="N925" s="114">
        <f>S7</f>
        <v>54</v>
      </c>
      <c r="O925" s="114" t="str">
        <f>R7</f>
        <v>g</v>
      </c>
      <c r="P925" s="114">
        <v>100</v>
      </c>
      <c r="Q925" s="114">
        <f t="shared" si="192"/>
        <v>5400</v>
      </c>
      <c r="R925" s="114">
        <f>AN2</f>
        <v>0.33</v>
      </c>
      <c r="S925" s="114">
        <f t="shared" si="193"/>
        <v>33</v>
      </c>
      <c r="T925" s="114">
        <f t="shared" si="194"/>
        <v>67</v>
      </c>
      <c r="U925" s="114">
        <f t="shared" si="195"/>
        <v>7182</v>
      </c>
      <c r="W925" s="114" t="s">
        <v>547</v>
      </c>
      <c r="X925" s="114">
        <f>V13</f>
        <v>81.900000000000006</v>
      </c>
      <c r="Y925" s="114" t="str">
        <f>U13</f>
        <v>g</v>
      </c>
      <c r="Z925" s="114">
        <v>20</v>
      </c>
      <c r="AA925" s="114">
        <f t="shared" si="196"/>
        <v>1638</v>
      </c>
      <c r="AB925" s="114">
        <v>0</v>
      </c>
      <c r="AC925" s="114">
        <f t="shared" si="197"/>
        <v>0</v>
      </c>
      <c r="AD925" s="114">
        <f t="shared" si="198"/>
        <v>20</v>
      </c>
      <c r="AE925" s="114">
        <f t="shared" si="199"/>
        <v>1638</v>
      </c>
    </row>
    <row r="926" spans="3:31" s="29" customFormat="1" x14ac:dyDescent="0.25">
      <c r="C926" s="990"/>
      <c r="D926" s="990"/>
      <c r="E926" s="990"/>
      <c r="F926" s="991"/>
      <c r="G926" s="991"/>
      <c r="H926" s="991"/>
      <c r="I926" s="991"/>
      <c r="J926" s="991"/>
      <c r="M926" s="114"/>
      <c r="N926" s="114"/>
      <c r="O926" s="114"/>
      <c r="P926" s="114"/>
      <c r="Q926" s="114">
        <f t="shared" si="192"/>
        <v>0</v>
      </c>
      <c r="R926" s="114"/>
      <c r="S926" s="114"/>
      <c r="T926" s="114"/>
      <c r="U926" s="114"/>
      <c r="W926" s="114" t="s">
        <v>462</v>
      </c>
      <c r="X926" s="114">
        <f>V12</f>
        <v>25.98</v>
      </c>
      <c r="Y926" s="114" t="str">
        <f>U12</f>
        <v>g</v>
      </c>
      <c r="Z926" s="114">
        <v>20</v>
      </c>
      <c r="AA926" s="114">
        <f t="shared" si="196"/>
        <v>519.6</v>
      </c>
      <c r="AB926" s="114">
        <v>0</v>
      </c>
      <c r="AC926" s="114">
        <f t="shared" si="197"/>
        <v>0</v>
      </c>
      <c r="AD926" s="114">
        <f t="shared" si="198"/>
        <v>20</v>
      </c>
      <c r="AE926" s="114">
        <f t="shared" si="199"/>
        <v>519.6</v>
      </c>
    </row>
    <row r="927" spans="3:31" s="29" customFormat="1" x14ac:dyDescent="0.25">
      <c r="C927" s="990"/>
      <c r="D927" s="990"/>
      <c r="E927" s="990"/>
      <c r="F927" s="991"/>
      <c r="G927" s="991"/>
      <c r="H927" s="991"/>
      <c r="I927" s="991"/>
      <c r="J927" s="991"/>
      <c r="M927" s="114" t="s">
        <v>337</v>
      </c>
      <c r="N927" s="114">
        <f>SUM(N919:N926)</f>
        <v>8188.9923984875522</v>
      </c>
      <c r="O927" s="114"/>
      <c r="P927" s="114">
        <f>SUM(P919:P926)</f>
        <v>408</v>
      </c>
      <c r="Q927" s="114">
        <f>SUM(Q919:Q926)</f>
        <v>18433.132398487553</v>
      </c>
      <c r="R927" s="114"/>
      <c r="S927" s="114"/>
      <c r="T927" s="114"/>
      <c r="U927" s="114">
        <f>SUM(U919:U926)</f>
        <v>20224.792398487552</v>
      </c>
      <c r="W927" s="114" t="s">
        <v>337</v>
      </c>
      <c r="X927" s="114">
        <f>SUM(X920:X926)</f>
        <v>429.5</v>
      </c>
      <c r="Y927" s="114"/>
      <c r="Z927" s="114">
        <f>SUM(Z920:Z926)</f>
        <v>155</v>
      </c>
      <c r="AA927" s="114">
        <f>SUM(AA920:AA926)</f>
        <v>5925.46</v>
      </c>
      <c r="AB927" s="114"/>
      <c r="AC927" s="114"/>
      <c r="AD927" s="114"/>
      <c r="AE927" s="114">
        <f>SUM(AE920:AE926)</f>
        <v>5944.7800000000007</v>
      </c>
    </row>
    <row r="928" spans="3:31" s="29" customFormat="1" x14ac:dyDescent="0.25">
      <c r="C928" s="990" t="s">
        <v>5</v>
      </c>
      <c r="D928" s="990"/>
      <c r="E928" s="990"/>
      <c r="F928" s="991" t="s">
        <v>110</v>
      </c>
      <c r="G928" s="991"/>
      <c r="H928" s="991"/>
      <c r="I928" s="991"/>
      <c r="J928" s="991"/>
    </row>
    <row r="929" spans="3:31" s="29" customFormat="1" x14ac:dyDescent="0.25">
      <c r="C929" s="990"/>
      <c r="D929" s="990"/>
      <c r="E929" s="990"/>
      <c r="F929" s="991"/>
      <c r="G929" s="991"/>
      <c r="H929" s="991"/>
      <c r="I929" s="991"/>
      <c r="J929" s="991"/>
      <c r="Q929" s="114" t="s">
        <v>1681</v>
      </c>
      <c r="R929" s="114">
        <f>U927</f>
        <v>20224.792398487552</v>
      </c>
      <c r="S929" s="608" t="s">
        <v>2142</v>
      </c>
      <c r="T929" s="608">
        <f>(R929*100)/R936</f>
        <v>52.788861116726757</v>
      </c>
      <c r="AA929" s="114" t="s">
        <v>1681</v>
      </c>
      <c r="AB929" s="114">
        <f>AE927</f>
        <v>5944.7800000000007</v>
      </c>
      <c r="AC929" s="608" t="s">
        <v>2142</v>
      </c>
      <c r="AD929" s="608">
        <f>(AB929*100)/AB936</f>
        <v>43.068480751506549</v>
      </c>
    </row>
    <row r="930" spans="3:31" s="29" customFormat="1" x14ac:dyDescent="0.25">
      <c r="C930" s="990"/>
      <c r="D930" s="990"/>
      <c r="E930" s="990"/>
      <c r="F930" s="991"/>
      <c r="G930" s="991"/>
      <c r="H930" s="991"/>
      <c r="I930" s="991"/>
      <c r="J930" s="991"/>
      <c r="Q930" s="114" t="s">
        <v>2326</v>
      </c>
      <c r="R930" s="114">
        <f>$AL$26</f>
        <v>1801.715474357886</v>
      </c>
      <c r="AA930" s="114" t="s">
        <v>2326</v>
      </c>
      <c r="AB930" s="114">
        <f>$AO$26/2</f>
        <v>476.87414947063905</v>
      </c>
    </row>
    <row r="931" spans="3:31" s="29" customFormat="1" x14ac:dyDescent="0.25">
      <c r="C931" s="990" t="s">
        <v>6</v>
      </c>
      <c r="D931" s="990"/>
      <c r="E931" s="990"/>
      <c r="F931" s="991" t="s">
        <v>9</v>
      </c>
      <c r="G931" s="991"/>
      <c r="H931" s="991"/>
      <c r="I931" s="991"/>
      <c r="J931" s="991"/>
      <c r="Q931" s="114" t="s">
        <v>2325</v>
      </c>
      <c r="R931" s="114">
        <f>$AL$27</f>
        <v>75.599999999999994</v>
      </c>
      <c r="AA931" s="114" t="s">
        <v>2325</v>
      </c>
      <c r="AB931" s="114">
        <f>$AO$27/4</f>
        <v>18.899999999999999</v>
      </c>
    </row>
    <row r="932" spans="3:31" s="29" customFormat="1" x14ac:dyDescent="0.25">
      <c r="C932" s="990"/>
      <c r="D932" s="990"/>
      <c r="E932" s="990"/>
      <c r="F932" s="991"/>
      <c r="G932" s="991"/>
      <c r="H932" s="991"/>
      <c r="I932" s="991"/>
      <c r="J932" s="991"/>
      <c r="Q932" s="114" t="s">
        <v>1684</v>
      </c>
      <c r="R932" s="114">
        <f>$AL$29</f>
        <v>69.543532482306858</v>
      </c>
      <c r="AA932" s="114" t="s">
        <v>1684</v>
      </c>
      <c r="AB932" s="114">
        <f>$AO$29</f>
        <v>1547.3435977313275</v>
      </c>
    </row>
    <row r="933" spans="3:31" s="29" customFormat="1" x14ac:dyDescent="0.25">
      <c r="C933" s="990"/>
      <c r="D933" s="990"/>
      <c r="E933" s="990"/>
      <c r="F933" s="991"/>
      <c r="G933" s="991"/>
      <c r="H933" s="991"/>
      <c r="I933" s="991"/>
      <c r="J933" s="991"/>
      <c r="Q933" s="114" t="s">
        <v>1685</v>
      </c>
      <c r="R933" s="114">
        <v>0.6</v>
      </c>
      <c r="AA933" s="114" t="s">
        <v>1685</v>
      </c>
      <c r="AB933" s="114">
        <v>0.6</v>
      </c>
    </row>
    <row r="934" spans="3:31" s="29" customFormat="1" x14ac:dyDescent="0.25">
      <c r="C934" s="990" t="s">
        <v>7</v>
      </c>
      <c r="D934" s="990"/>
      <c r="E934" s="990"/>
      <c r="F934" s="991" t="s">
        <v>601</v>
      </c>
      <c r="G934" s="991"/>
      <c r="H934" s="991"/>
      <c r="I934" s="991"/>
      <c r="J934" s="991"/>
      <c r="Q934" s="114" t="s">
        <v>1708</v>
      </c>
      <c r="R934" s="114">
        <f>(SUM(R929:R932)*R933)+SUM(R929:R932)</f>
        <v>35474.642248524397</v>
      </c>
      <c r="AA934" s="114" t="s">
        <v>1708</v>
      </c>
      <c r="AB934" s="114">
        <f>(SUM(AB929:AB932)*AB933)+SUM(AB929:AB932)</f>
        <v>12780.636395523146</v>
      </c>
    </row>
    <row r="935" spans="3:31" s="29" customFormat="1" x14ac:dyDescent="0.25">
      <c r="C935" s="990"/>
      <c r="D935" s="990"/>
      <c r="E935" s="990"/>
      <c r="F935" s="991"/>
      <c r="G935" s="991"/>
      <c r="H935" s="991"/>
      <c r="I935" s="991"/>
      <c r="J935" s="991"/>
      <c r="Q935" s="114" t="s">
        <v>2130</v>
      </c>
      <c r="R935" s="114">
        <f>R934*0.08</f>
        <v>2837.9713798819516</v>
      </c>
      <c r="AA935" s="114" t="s">
        <v>2130</v>
      </c>
      <c r="AB935" s="114">
        <f>AB934*0.08</f>
        <v>1022.4509116418517</v>
      </c>
    </row>
    <row r="936" spans="3:31" s="29" customFormat="1" x14ac:dyDescent="0.25">
      <c r="C936" s="990"/>
      <c r="D936" s="990"/>
      <c r="E936" s="990"/>
      <c r="F936" s="991"/>
      <c r="G936" s="991"/>
      <c r="H936" s="991"/>
      <c r="I936" s="991"/>
      <c r="J936" s="991"/>
      <c r="Q936" s="114" t="s">
        <v>1686</v>
      </c>
      <c r="R936" s="114">
        <f>SUM(R934+R935)</f>
        <v>38312.613628406347</v>
      </c>
      <c r="AA936" s="114" t="s">
        <v>1686</v>
      </c>
      <c r="AB936" s="114">
        <f>SUM(AB934+AB935)</f>
        <v>13803.087307164998</v>
      </c>
    </row>
    <row r="937" spans="3:31" s="29" customFormat="1" x14ac:dyDescent="0.25"/>
    <row r="938" spans="3:31" s="29" customFormat="1" x14ac:dyDescent="0.25"/>
    <row r="939" spans="3:31" s="29" customFormat="1" x14ac:dyDescent="0.25">
      <c r="C939" s="993" t="s">
        <v>8</v>
      </c>
      <c r="D939" s="993"/>
      <c r="E939" s="993"/>
      <c r="F939" s="993"/>
      <c r="G939" s="993"/>
      <c r="H939" s="993"/>
      <c r="I939" s="993"/>
      <c r="J939" s="993"/>
    </row>
    <row r="940" spans="3:31" s="29" customFormat="1" x14ac:dyDescent="0.25">
      <c r="C940" s="989" t="s">
        <v>0</v>
      </c>
      <c r="D940" s="989"/>
      <c r="E940" s="989"/>
      <c r="F940" s="989" t="s">
        <v>1</v>
      </c>
      <c r="G940" s="989"/>
      <c r="H940" s="989"/>
      <c r="I940" s="989"/>
      <c r="J940" s="989"/>
    </row>
    <row r="941" spans="3:31" s="29" customFormat="1" x14ac:dyDescent="0.25">
      <c r="C941" s="990" t="s">
        <v>2</v>
      </c>
      <c r="D941" s="990"/>
      <c r="E941" s="990"/>
      <c r="F941" s="991" t="s">
        <v>106</v>
      </c>
      <c r="G941" s="991"/>
      <c r="H941" s="991"/>
      <c r="I941" s="991"/>
      <c r="J941" s="991"/>
      <c r="M941" s="113" t="s">
        <v>336</v>
      </c>
      <c r="N941" s="113" t="s">
        <v>174</v>
      </c>
      <c r="O941" s="113" t="s">
        <v>248</v>
      </c>
      <c r="P941" s="113" t="s">
        <v>176</v>
      </c>
      <c r="Q941" s="113" t="s">
        <v>337</v>
      </c>
      <c r="R941" s="113" t="s">
        <v>1641</v>
      </c>
      <c r="S941" s="113" t="s">
        <v>1642</v>
      </c>
      <c r="T941" s="113" t="s">
        <v>1643</v>
      </c>
      <c r="U941" s="113" t="s">
        <v>1644</v>
      </c>
      <c r="W941" s="988" t="s">
        <v>1457</v>
      </c>
      <c r="X941" s="988"/>
      <c r="Y941" s="988"/>
      <c r="Z941" s="988"/>
      <c r="AA941" s="988"/>
      <c r="AB941" s="988"/>
      <c r="AC941" s="988"/>
      <c r="AD941" s="988"/>
      <c r="AE941" s="988"/>
    </row>
    <row r="942" spans="3:31" s="29" customFormat="1" x14ac:dyDescent="0.25">
      <c r="C942" s="990"/>
      <c r="D942" s="990"/>
      <c r="E942" s="990"/>
      <c r="F942" s="991"/>
      <c r="G942" s="991"/>
      <c r="H942" s="991"/>
      <c r="I942" s="991"/>
      <c r="J942" s="991"/>
      <c r="M942" s="114" t="s">
        <v>344</v>
      </c>
      <c r="N942" s="114">
        <f>E22</f>
        <v>2099.0723984875517</v>
      </c>
      <c r="O942" s="114" t="str">
        <f>D21</f>
        <v>g</v>
      </c>
      <c r="P942" s="114">
        <v>100</v>
      </c>
      <c r="Q942" s="114">
        <f>N942</f>
        <v>2099.0723984875517</v>
      </c>
      <c r="R942" s="114">
        <v>0</v>
      </c>
      <c r="S942" s="114">
        <f>P942*R942</f>
        <v>0</v>
      </c>
      <c r="T942" s="114">
        <f>P942-S942</f>
        <v>100</v>
      </c>
      <c r="U942" s="114">
        <f>Q942+((S942*Q942)/P942)</f>
        <v>2099.0723984875517</v>
      </c>
      <c r="W942" s="113" t="s">
        <v>336</v>
      </c>
      <c r="X942" s="113" t="s">
        <v>174</v>
      </c>
      <c r="Y942" s="113" t="s">
        <v>248</v>
      </c>
      <c r="Z942" s="113" t="s">
        <v>176</v>
      </c>
      <c r="AA942" s="113" t="s">
        <v>337</v>
      </c>
      <c r="AB942" s="113" t="s">
        <v>1641</v>
      </c>
      <c r="AC942" s="113" t="s">
        <v>1642</v>
      </c>
      <c r="AD942" s="113" t="s">
        <v>1643</v>
      </c>
      <c r="AE942" s="113" t="s">
        <v>1644</v>
      </c>
    </row>
    <row r="943" spans="3:31" s="29" customFormat="1" x14ac:dyDescent="0.25">
      <c r="C943" s="990"/>
      <c r="D943" s="990"/>
      <c r="E943" s="990"/>
      <c r="F943" s="991"/>
      <c r="G943" s="991"/>
      <c r="H943" s="991"/>
      <c r="I943" s="991"/>
      <c r="J943" s="991"/>
      <c r="M943" s="114" t="s">
        <v>340</v>
      </c>
      <c r="N943" s="114">
        <f>Y19</f>
        <v>207.5</v>
      </c>
      <c r="O943" s="114" t="str">
        <f>X20</f>
        <v>g</v>
      </c>
      <c r="P943" s="114">
        <v>2</v>
      </c>
      <c r="Q943" s="114">
        <f t="shared" ref="Q943:Q946" si="200">N943*P943</f>
        <v>415</v>
      </c>
      <c r="R943" s="114">
        <v>0</v>
      </c>
      <c r="S943" s="114">
        <f t="shared" ref="S943:S946" si="201">P943*R943</f>
        <v>0</v>
      </c>
      <c r="T943" s="114">
        <f t="shared" ref="T943:T946" si="202">P943-S943</f>
        <v>2</v>
      </c>
      <c r="U943" s="114">
        <f t="shared" ref="U943:U946" si="203">Q943+((S943*Q943)/P943)</f>
        <v>415</v>
      </c>
      <c r="W943" s="114" t="s">
        <v>550</v>
      </c>
      <c r="X943" s="114">
        <f>AE5</f>
        <v>2.04</v>
      </c>
      <c r="Y943" s="114" t="str">
        <f>AD5</f>
        <v>g</v>
      </c>
      <c r="Z943" s="114">
        <v>20</v>
      </c>
      <c r="AA943" s="114">
        <f>X943*Z943</f>
        <v>40.799999999999997</v>
      </c>
      <c r="AB943" s="114">
        <v>0</v>
      </c>
      <c r="AC943" s="114">
        <f>Z943*AB943</f>
        <v>0</v>
      </c>
      <c r="AD943" s="114">
        <f>Z943-AC943</f>
        <v>20</v>
      </c>
      <c r="AE943" s="114">
        <f>AA943+((AC943*AA943)/Z943)</f>
        <v>40.799999999999997</v>
      </c>
    </row>
    <row r="944" spans="3:31" s="29" customFormat="1" x14ac:dyDescent="0.25">
      <c r="C944" s="989" t="s">
        <v>0</v>
      </c>
      <c r="D944" s="989"/>
      <c r="E944" s="989"/>
      <c r="F944" s="989" t="s">
        <v>1</v>
      </c>
      <c r="G944" s="989"/>
      <c r="H944" s="989"/>
      <c r="I944" s="989"/>
      <c r="J944" s="989"/>
      <c r="M944" s="114" t="s">
        <v>346</v>
      </c>
      <c r="N944" s="114">
        <f>P3</f>
        <v>7</v>
      </c>
      <c r="O944" s="114" t="str">
        <f>O3</f>
        <v>g</v>
      </c>
      <c r="P944" s="114">
        <v>6</v>
      </c>
      <c r="Q944" s="114">
        <f t="shared" si="200"/>
        <v>42</v>
      </c>
      <c r="R944" s="114">
        <f>AJ2</f>
        <v>0.23</v>
      </c>
      <c r="S944" s="114">
        <f t="shared" si="201"/>
        <v>1.3800000000000001</v>
      </c>
      <c r="T944" s="114">
        <f t="shared" si="202"/>
        <v>4.62</v>
      </c>
      <c r="U944" s="114">
        <f t="shared" si="203"/>
        <v>51.660000000000004</v>
      </c>
      <c r="W944" s="114" t="s">
        <v>551</v>
      </c>
      <c r="X944" s="114">
        <f>V4</f>
        <v>3.08</v>
      </c>
      <c r="Y944" s="114" t="str">
        <f>U4</f>
        <v>mL</v>
      </c>
      <c r="Z944" s="114">
        <v>100</v>
      </c>
      <c r="AA944" s="114">
        <f>X944*Z944</f>
        <v>308</v>
      </c>
      <c r="AB944" s="114">
        <v>0</v>
      </c>
      <c r="AC944" s="114">
        <f>Z944*AB944</f>
        <v>0</v>
      </c>
      <c r="AD944" s="114">
        <f>Z944-AC944</f>
        <v>100</v>
      </c>
      <c r="AE944" s="114">
        <f>AA944+((AC944*AA944)/Z944)</f>
        <v>308</v>
      </c>
    </row>
    <row r="945" spans="3:31" s="29" customFormat="1" x14ac:dyDescent="0.25">
      <c r="C945" s="990" t="s">
        <v>3</v>
      </c>
      <c r="D945" s="990"/>
      <c r="E945" s="990"/>
      <c r="F945" s="991" t="s">
        <v>111</v>
      </c>
      <c r="G945" s="991"/>
      <c r="H945" s="991"/>
      <c r="I945" s="991"/>
      <c r="J945" s="991"/>
      <c r="M945" s="114" t="s">
        <v>355</v>
      </c>
      <c r="N945" s="114">
        <f>AE948</f>
        <v>1320.04</v>
      </c>
      <c r="O945" s="114" t="s">
        <v>1388</v>
      </c>
      <c r="P945" s="114">
        <v>120</v>
      </c>
      <c r="Q945" s="114">
        <f>N945</f>
        <v>1320.04</v>
      </c>
      <c r="R945" s="114">
        <v>0</v>
      </c>
      <c r="S945" s="114">
        <f t="shared" si="201"/>
        <v>0</v>
      </c>
      <c r="T945" s="114">
        <f t="shared" si="202"/>
        <v>120</v>
      </c>
      <c r="U945" s="114">
        <f t="shared" si="203"/>
        <v>1320.04</v>
      </c>
      <c r="W945" s="114" t="s">
        <v>347</v>
      </c>
      <c r="X945" s="114">
        <f>V6</f>
        <v>28.76</v>
      </c>
      <c r="Y945" s="114" t="str">
        <f>U6</f>
        <v>g</v>
      </c>
      <c r="Z945" s="114">
        <v>20</v>
      </c>
      <c r="AA945" s="114">
        <f>X945*Z945</f>
        <v>575.20000000000005</v>
      </c>
      <c r="AB945" s="114">
        <v>0</v>
      </c>
      <c r="AC945" s="114">
        <f>Z945*AB945</f>
        <v>0</v>
      </c>
      <c r="AD945" s="114">
        <f>Z945-AC945</f>
        <v>20</v>
      </c>
      <c r="AE945" s="114">
        <f>AA945+((AC945*AA945)/Z945)</f>
        <v>575.20000000000005</v>
      </c>
    </row>
    <row r="946" spans="3:31" s="29" customFormat="1" x14ac:dyDescent="0.25">
      <c r="C946" s="990"/>
      <c r="D946" s="990"/>
      <c r="E946" s="990"/>
      <c r="F946" s="991"/>
      <c r="G946" s="991"/>
      <c r="H946" s="991"/>
      <c r="I946" s="991"/>
      <c r="J946" s="991"/>
      <c r="M946" s="114" t="s">
        <v>349</v>
      </c>
      <c r="N946" s="114">
        <f>S15</f>
        <v>41</v>
      </c>
      <c r="O946" s="114" t="str">
        <f>R15</f>
        <v>g</v>
      </c>
      <c r="P946" s="114">
        <v>100</v>
      </c>
      <c r="Q946" s="114">
        <f t="shared" si="200"/>
        <v>4100</v>
      </c>
      <c r="R946" s="114">
        <f>AN3</f>
        <v>0.47</v>
      </c>
      <c r="S946" s="114">
        <f t="shared" si="201"/>
        <v>47</v>
      </c>
      <c r="T946" s="114">
        <f t="shared" si="202"/>
        <v>53</v>
      </c>
      <c r="U946" s="114">
        <f t="shared" si="203"/>
        <v>6027</v>
      </c>
      <c r="W946" s="114" t="s">
        <v>340</v>
      </c>
      <c r="X946" s="114">
        <f>Y20</f>
        <v>0.64</v>
      </c>
      <c r="Y946" s="114" t="str">
        <f>X20</f>
        <v>g</v>
      </c>
      <c r="Z946" s="114">
        <v>1</v>
      </c>
      <c r="AA946" s="114">
        <f>X946*Z946</f>
        <v>0.64</v>
      </c>
      <c r="AB946" s="114">
        <v>0</v>
      </c>
      <c r="AC946" s="114">
        <f>Z946*AB946</f>
        <v>0</v>
      </c>
      <c r="AD946" s="114">
        <f>Z946-AC946</f>
        <v>1</v>
      </c>
      <c r="AE946" s="114">
        <f>AA946+((AC946*AA946)/Z946)</f>
        <v>0.64</v>
      </c>
    </row>
    <row r="947" spans="3:31" s="29" customFormat="1" x14ac:dyDescent="0.25">
      <c r="C947" s="990"/>
      <c r="D947" s="990"/>
      <c r="E947" s="990"/>
      <c r="F947" s="991"/>
      <c r="G947" s="991"/>
      <c r="H947" s="991"/>
      <c r="I947" s="991"/>
      <c r="J947" s="991"/>
      <c r="M947" s="114"/>
      <c r="N947" s="114"/>
      <c r="O947" s="114"/>
      <c r="P947" s="114"/>
      <c r="Q947" s="114"/>
      <c r="R947" s="114"/>
      <c r="S947" s="114"/>
      <c r="T947" s="114"/>
      <c r="U947" s="114"/>
      <c r="W947" s="114" t="s">
        <v>356</v>
      </c>
      <c r="X947" s="114">
        <f>Y14</f>
        <v>131.80000000000001</v>
      </c>
      <c r="Y947" s="114" t="str">
        <f>X14</f>
        <v>g</v>
      </c>
      <c r="Z947" s="114">
        <v>3</v>
      </c>
      <c r="AA947" s="114">
        <f>X947*Z947</f>
        <v>395.40000000000003</v>
      </c>
      <c r="AB947" s="114">
        <v>0</v>
      </c>
      <c r="AC947" s="114">
        <f>Z947*AB947</f>
        <v>0</v>
      </c>
      <c r="AD947" s="114">
        <f>Z947-AC947</f>
        <v>3</v>
      </c>
      <c r="AE947" s="114">
        <f>AA947+((AC947*AA947)/Z947)</f>
        <v>395.40000000000003</v>
      </c>
    </row>
    <row r="948" spans="3:31" s="29" customFormat="1" x14ac:dyDescent="0.25">
      <c r="C948" s="990" t="s">
        <v>4</v>
      </c>
      <c r="D948" s="990"/>
      <c r="E948" s="990"/>
      <c r="F948" s="991" t="s">
        <v>15</v>
      </c>
      <c r="G948" s="991"/>
      <c r="H948" s="991"/>
      <c r="I948" s="991"/>
      <c r="J948" s="991"/>
      <c r="M948" s="114"/>
      <c r="N948" s="114"/>
      <c r="O948" s="114"/>
      <c r="P948" s="114"/>
      <c r="Q948" s="114"/>
      <c r="R948" s="114"/>
      <c r="S948" s="114"/>
      <c r="T948" s="114"/>
      <c r="U948" s="114"/>
      <c r="W948" s="114" t="s">
        <v>337</v>
      </c>
      <c r="X948" s="114">
        <f>SUM(X943:X947)</f>
        <v>166.32000000000002</v>
      </c>
      <c r="Y948" s="114"/>
      <c r="Z948" s="114">
        <f>SUM(Z943:Z947)</f>
        <v>144</v>
      </c>
      <c r="AA948" s="114">
        <f>SUM(AA943:AA947)</f>
        <v>1320.04</v>
      </c>
      <c r="AB948" s="114"/>
      <c r="AC948" s="114"/>
      <c r="AD948" s="114"/>
      <c r="AE948" s="114">
        <f>SUM(AE943:AE947)</f>
        <v>1320.04</v>
      </c>
    </row>
    <row r="949" spans="3:31" s="29" customFormat="1" x14ac:dyDescent="0.25">
      <c r="C949" s="990"/>
      <c r="D949" s="990"/>
      <c r="E949" s="990"/>
      <c r="F949" s="991"/>
      <c r="G949" s="991"/>
      <c r="H949" s="991"/>
      <c r="I949" s="991"/>
      <c r="J949" s="991"/>
      <c r="M949" s="114"/>
      <c r="N949" s="114"/>
      <c r="O949" s="114"/>
      <c r="P949" s="114"/>
      <c r="Q949" s="114"/>
      <c r="R949" s="114"/>
      <c r="S949" s="114"/>
      <c r="T949" s="114"/>
      <c r="U949" s="114"/>
    </row>
    <row r="950" spans="3:31" s="29" customFormat="1" x14ac:dyDescent="0.25">
      <c r="C950" s="990"/>
      <c r="D950" s="990"/>
      <c r="E950" s="990"/>
      <c r="F950" s="991"/>
      <c r="G950" s="991"/>
      <c r="H950" s="991"/>
      <c r="I950" s="991"/>
      <c r="J950" s="991"/>
      <c r="M950" s="114" t="s">
        <v>337</v>
      </c>
      <c r="N950" s="114">
        <f>SUM(N942:N949)</f>
        <v>3674.6123984875517</v>
      </c>
      <c r="O950" s="114"/>
      <c r="P950" s="114">
        <f>SUM(P942:P949)</f>
        <v>328</v>
      </c>
      <c r="Q950" s="114">
        <f>SUM(Q942:Q949)</f>
        <v>7976.1123984875521</v>
      </c>
      <c r="R950" s="114"/>
      <c r="S950" s="114"/>
      <c r="T950" s="114"/>
      <c r="U950" s="114">
        <f>SUM(U942:U949)</f>
        <v>9912.772398487552</v>
      </c>
      <c r="AA950" s="114" t="s">
        <v>1681</v>
      </c>
      <c r="AB950" s="114">
        <f>AE948</f>
        <v>1320.04</v>
      </c>
      <c r="AC950" s="608" t="s">
        <v>2142</v>
      </c>
      <c r="AD950" s="608">
        <f>(AB950*100)/AB957</f>
        <v>22.714130423188919</v>
      </c>
    </row>
    <row r="951" spans="3:31" s="29" customFormat="1" x14ac:dyDescent="0.25">
      <c r="C951" s="990" t="s">
        <v>5</v>
      </c>
      <c r="D951" s="990"/>
      <c r="E951" s="990"/>
      <c r="F951" s="991" t="s">
        <v>115</v>
      </c>
      <c r="G951" s="991"/>
      <c r="H951" s="991"/>
      <c r="I951" s="991"/>
      <c r="J951" s="991"/>
      <c r="AA951" s="114" t="s">
        <v>2326</v>
      </c>
      <c r="AB951" s="114">
        <f>$AO$26/2</f>
        <v>476.87414947063905</v>
      </c>
    </row>
    <row r="952" spans="3:31" s="29" customFormat="1" x14ac:dyDescent="0.25">
      <c r="C952" s="990"/>
      <c r="D952" s="990"/>
      <c r="E952" s="990"/>
      <c r="F952" s="991"/>
      <c r="G952" s="991"/>
      <c r="H952" s="991"/>
      <c r="I952" s="991"/>
      <c r="J952" s="991"/>
      <c r="Q952" s="114" t="s">
        <v>1681</v>
      </c>
      <c r="R952" s="114">
        <f>U950</f>
        <v>9912.772398487552</v>
      </c>
      <c r="S952" s="608" t="s">
        <v>2142</v>
      </c>
      <c r="T952" s="608">
        <f>(R952*100)/R959</f>
        <v>48.370458616441802</v>
      </c>
      <c r="AA952" s="114" t="s">
        <v>2325</v>
      </c>
      <c r="AB952" s="114">
        <f>$AO$27/4</f>
        <v>18.899999999999999</v>
      </c>
    </row>
    <row r="953" spans="3:31" s="29" customFormat="1" x14ac:dyDescent="0.25">
      <c r="C953" s="990"/>
      <c r="D953" s="990"/>
      <c r="E953" s="990"/>
      <c r="F953" s="991"/>
      <c r="G953" s="991"/>
      <c r="H953" s="991"/>
      <c r="I953" s="991"/>
      <c r="J953" s="991"/>
      <c r="Q953" s="114" t="s">
        <v>2326</v>
      </c>
      <c r="R953" s="114">
        <f>$AL$26</f>
        <v>1801.715474357886</v>
      </c>
      <c r="AA953" s="114" t="s">
        <v>1684</v>
      </c>
      <c r="AB953" s="114">
        <f>$AO$29</f>
        <v>1547.3435977313275</v>
      </c>
    </row>
    <row r="954" spans="3:31" s="29" customFormat="1" x14ac:dyDescent="0.25">
      <c r="C954" s="990" t="s">
        <v>6</v>
      </c>
      <c r="D954" s="990"/>
      <c r="E954" s="990"/>
      <c r="F954" s="991" t="s">
        <v>9</v>
      </c>
      <c r="G954" s="991"/>
      <c r="H954" s="991"/>
      <c r="I954" s="991"/>
      <c r="J954" s="991"/>
      <c r="Q954" s="114" t="s">
        <v>2325</v>
      </c>
      <c r="R954" s="114">
        <f>$AL$27</f>
        <v>75.599999999999994</v>
      </c>
      <c r="AA954" s="114" t="s">
        <v>1685</v>
      </c>
      <c r="AB954" s="114">
        <v>0.6</v>
      </c>
    </row>
    <row r="955" spans="3:31" s="29" customFormat="1" x14ac:dyDescent="0.25">
      <c r="C955" s="990"/>
      <c r="D955" s="990"/>
      <c r="E955" s="990"/>
      <c r="F955" s="991"/>
      <c r="G955" s="991"/>
      <c r="H955" s="991"/>
      <c r="I955" s="991"/>
      <c r="J955" s="991"/>
      <c r="Q955" s="114" t="s">
        <v>1684</v>
      </c>
      <c r="R955" s="114">
        <f>$AL$29</f>
        <v>69.543532482306858</v>
      </c>
      <c r="AA955" s="114" t="s">
        <v>1708</v>
      </c>
      <c r="AB955" s="114">
        <f>(SUM(AB950:AB953)*AB954)+SUM(AB950:AB953)</f>
        <v>5381.0523955231465</v>
      </c>
    </row>
    <row r="956" spans="3:31" s="29" customFormat="1" x14ac:dyDescent="0.25">
      <c r="C956" s="990"/>
      <c r="D956" s="990"/>
      <c r="E956" s="990"/>
      <c r="F956" s="991"/>
      <c r="G956" s="991"/>
      <c r="H956" s="991"/>
      <c r="I956" s="991"/>
      <c r="J956" s="991"/>
      <c r="Q956" s="114" t="s">
        <v>1685</v>
      </c>
      <c r="R956" s="114">
        <v>0.6</v>
      </c>
      <c r="AA956" s="114" t="s">
        <v>2130</v>
      </c>
      <c r="AB956" s="114">
        <f>AB955*0.08</f>
        <v>430.48419164185174</v>
      </c>
    </row>
    <row r="957" spans="3:31" s="29" customFormat="1" x14ac:dyDescent="0.25">
      <c r="C957" s="990" t="s">
        <v>7</v>
      </c>
      <c r="D957" s="990"/>
      <c r="E957" s="990"/>
      <c r="F957" s="991" t="s">
        <v>553</v>
      </c>
      <c r="G957" s="991"/>
      <c r="H957" s="991"/>
      <c r="I957" s="991"/>
      <c r="J957" s="991"/>
      <c r="Q957" s="114" t="s">
        <v>1708</v>
      </c>
      <c r="R957" s="114">
        <f>(SUM(R952:R955)*R956)+SUM(R952:R955)</f>
        <v>18975.410248524393</v>
      </c>
      <c r="AA957" s="114" t="s">
        <v>1686</v>
      </c>
      <c r="AB957" s="114">
        <f>SUM(AB955+AB956)</f>
        <v>5811.5365871649983</v>
      </c>
    </row>
    <row r="958" spans="3:31" s="29" customFormat="1" x14ac:dyDescent="0.25">
      <c r="C958" s="990"/>
      <c r="D958" s="990"/>
      <c r="E958" s="990"/>
      <c r="F958" s="991"/>
      <c r="G958" s="991"/>
      <c r="H958" s="991"/>
      <c r="I958" s="991"/>
      <c r="J958" s="991"/>
      <c r="Q958" s="114" t="s">
        <v>2130</v>
      </c>
      <c r="R958" s="114">
        <f>R957*0.08</f>
        <v>1518.0328198819514</v>
      </c>
    </row>
    <row r="959" spans="3:31" s="29" customFormat="1" x14ac:dyDescent="0.25">
      <c r="C959" s="990"/>
      <c r="D959" s="990"/>
      <c r="E959" s="990"/>
      <c r="F959" s="991"/>
      <c r="G959" s="991"/>
      <c r="H959" s="991"/>
      <c r="I959" s="991"/>
      <c r="J959" s="991"/>
      <c r="Q959" s="114" t="s">
        <v>1686</v>
      </c>
      <c r="R959" s="114">
        <f>SUM(R957+R958)</f>
        <v>20493.443068406345</v>
      </c>
    </row>
    <row r="960" spans="3:31" s="29" customFormat="1" x14ac:dyDescent="0.25"/>
    <row r="961" spans="3:31" s="29" customFormat="1" x14ac:dyDescent="0.25"/>
    <row r="962" spans="3:31" s="29" customFormat="1" x14ac:dyDescent="0.25">
      <c r="C962" s="993" t="s">
        <v>8</v>
      </c>
      <c r="D962" s="993"/>
      <c r="E962" s="993"/>
      <c r="F962" s="993"/>
      <c r="G962" s="993"/>
      <c r="H962" s="993"/>
      <c r="I962" s="993"/>
      <c r="J962" s="993"/>
    </row>
    <row r="963" spans="3:31" s="29" customFormat="1" x14ac:dyDescent="0.25">
      <c r="C963" s="989" t="s">
        <v>0</v>
      </c>
      <c r="D963" s="989"/>
      <c r="E963" s="989"/>
      <c r="F963" s="989" t="s">
        <v>1</v>
      </c>
      <c r="G963" s="989"/>
      <c r="H963" s="989"/>
      <c r="I963" s="989"/>
      <c r="J963" s="989"/>
    </row>
    <row r="964" spans="3:31" s="29" customFormat="1" x14ac:dyDescent="0.25">
      <c r="C964" s="990" t="s">
        <v>2</v>
      </c>
      <c r="D964" s="990"/>
      <c r="E964" s="990"/>
      <c r="F964" s="991" t="s">
        <v>315</v>
      </c>
      <c r="G964" s="991"/>
      <c r="H964" s="991"/>
      <c r="I964" s="991"/>
      <c r="J964" s="991"/>
      <c r="M964" s="113" t="s">
        <v>336</v>
      </c>
      <c r="N964" s="113" t="s">
        <v>174</v>
      </c>
      <c r="O964" s="113" t="s">
        <v>248</v>
      </c>
      <c r="P964" s="113" t="s">
        <v>176</v>
      </c>
      <c r="Q964" s="113" t="s">
        <v>337</v>
      </c>
      <c r="R964" s="113" t="s">
        <v>1641</v>
      </c>
      <c r="S964" s="113" t="s">
        <v>1642</v>
      </c>
      <c r="T964" s="113" t="s">
        <v>1643</v>
      </c>
      <c r="U964" s="113" t="s">
        <v>1644</v>
      </c>
      <c r="W964" s="988" t="s">
        <v>1459</v>
      </c>
      <c r="X964" s="988"/>
      <c r="Y964" s="988"/>
      <c r="Z964" s="988"/>
      <c r="AA964" s="988"/>
      <c r="AB964" s="988"/>
      <c r="AC964" s="988"/>
      <c r="AD964" s="988"/>
      <c r="AE964" s="988"/>
    </row>
    <row r="965" spans="3:31" s="29" customFormat="1" x14ac:dyDescent="0.25">
      <c r="C965" s="990"/>
      <c r="D965" s="990"/>
      <c r="E965" s="990"/>
      <c r="F965" s="991"/>
      <c r="G965" s="991"/>
      <c r="H965" s="991"/>
      <c r="I965" s="991"/>
      <c r="J965" s="991"/>
      <c r="M965" s="114" t="s">
        <v>344</v>
      </c>
      <c r="N965" s="114">
        <f>E21</f>
        <v>2099.0723984875517</v>
      </c>
      <c r="O965" s="114" t="str">
        <f>D21</f>
        <v>g</v>
      </c>
      <c r="P965" s="114">
        <v>100</v>
      </c>
      <c r="Q965" s="114">
        <f>N965</f>
        <v>2099.0723984875517</v>
      </c>
      <c r="R965" s="114">
        <v>0</v>
      </c>
      <c r="S965" s="114">
        <f>P965*R965</f>
        <v>0</v>
      </c>
      <c r="T965" s="114">
        <f>P965-S965</f>
        <v>100</v>
      </c>
      <c r="U965" s="114">
        <f>Q965+((S965*Q965)/P965)</f>
        <v>2099.0723984875517</v>
      </c>
      <c r="W965" s="113" t="s">
        <v>336</v>
      </c>
      <c r="X965" s="113" t="s">
        <v>174</v>
      </c>
      <c r="Y965" s="113" t="s">
        <v>248</v>
      </c>
      <c r="Z965" s="113" t="s">
        <v>176</v>
      </c>
      <c r="AA965" s="113" t="s">
        <v>337</v>
      </c>
      <c r="AB965" s="113" t="s">
        <v>1641</v>
      </c>
      <c r="AC965" s="113" t="s">
        <v>1642</v>
      </c>
      <c r="AD965" s="113" t="s">
        <v>1643</v>
      </c>
      <c r="AE965" s="113" t="s">
        <v>1644</v>
      </c>
    </row>
    <row r="966" spans="3:31" s="29" customFormat="1" x14ac:dyDescent="0.25">
      <c r="C966" s="990"/>
      <c r="D966" s="990"/>
      <c r="E966" s="990"/>
      <c r="F966" s="991"/>
      <c r="G966" s="991"/>
      <c r="H966" s="991"/>
      <c r="I966" s="991"/>
      <c r="J966" s="991"/>
      <c r="M966" s="114" t="s">
        <v>340</v>
      </c>
      <c r="N966" s="114">
        <f>Y20</f>
        <v>0.64</v>
      </c>
      <c r="O966" s="114" t="str">
        <f>X20</f>
        <v>g</v>
      </c>
      <c r="P966" s="114">
        <v>2</v>
      </c>
      <c r="Q966" s="114">
        <f t="shared" ref="Q966:Q972" si="204">N966*P966</f>
        <v>1.28</v>
      </c>
      <c r="R966" s="114">
        <v>0</v>
      </c>
      <c r="S966" s="114">
        <f t="shared" ref="S966:S971" si="205">P966*R966</f>
        <v>0</v>
      </c>
      <c r="T966" s="114">
        <f t="shared" ref="T966:T971" si="206">P966-S966</f>
        <v>2</v>
      </c>
      <c r="U966" s="114">
        <f t="shared" ref="U966:U971" si="207">Q966+((S966*Q966)/P966)</f>
        <v>1.28</v>
      </c>
      <c r="W966" s="114" t="s">
        <v>430</v>
      </c>
      <c r="X966" s="114">
        <f>P10</f>
        <v>0.7</v>
      </c>
      <c r="Y966" s="114" t="str">
        <f>O10</f>
        <v>g</v>
      </c>
      <c r="Z966" s="114">
        <v>20</v>
      </c>
      <c r="AA966" s="114">
        <f t="shared" ref="AA966:AA971" si="208">X966*Z966</f>
        <v>14</v>
      </c>
      <c r="AB966" s="114">
        <f>AJ7</f>
        <v>0.15</v>
      </c>
      <c r="AC966" s="114">
        <f>Z966*AB966</f>
        <v>3</v>
      </c>
      <c r="AD966" s="114">
        <f>Z966-AC966</f>
        <v>17</v>
      </c>
      <c r="AE966" s="114">
        <f>AA966+((AC966*AA966)/Z966)</f>
        <v>16.100000000000001</v>
      </c>
    </row>
    <row r="967" spans="3:31" s="29" customFormat="1" x14ac:dyDescent="0.25">
      <c r="C967" s="989" t="s">
        <v>0</v>
      </c>
      <c r="D967" s="989"/>
      <c r="E967" s="989"/>
      <c r="F967" s="989" t="s">
        <v>1</v>
      </c>
      <c r="G967" s="989"/>
      <c r="H967" s="989"/>
      <c r="I967" s="989"/>
      <c r="J967" s="989"/>
      <c r="M967" s="114" t="s">
        <v>346</v>
      </c>
      <c r="N967" s="114">
        <f>P3</f>
        <v>7</v>
      </c>
      <c r="O967" s="114" t="str">
        <f>O3</f>
        <v>g</v>
      </c>
      <c r="P967" s="114">
        <v>6</v>
      </c>
      <c r="Q967" s="114">
        <f t="shared" si="204"/>
        <v>42</v>
      </c>
      <c r="R967" s="114">
        <f>AJ2</f>
        <v>0.23</v>
      </c>
      <c r="S967" s="114">
        <f t="shared" si="205"/>
        <v>1.3800000000000001</v>
      </c>
      <c r="T967" s="114">
        <f t="shared" si="206"/>
        <v>4.62</v>
      </c>
      <c r="U967" s="114">
        <f t="shared" si="207"/>
        <v>51.660000000000004</v>
      </c>
      <c r="W967" s="114" t="s">
        <v>436</v>
      </c>
      <c r="X967" s="114">
        <f>P31</f>
        <v>2.6</v>
      </c>
      <c r="Y967" s="114" t="str">
        <f>O31</f>
        <v>g</v>
      </c>
      <c r="Z967" s="114">
        <v>15</v>
      </c>
      <c r="AA967" s="114">
        <f t="shared" si="208"/>
        <v>39</v>
      </c>
      <c r="AB967" s="114">
        <f>AJ19</f>
        <v>0.37</v>
      </c>
      <c r="AC967" s="114">
        <f t="shared" ref="AC967:AC971" si="209">Z967*AB967</f>
        <v>5.55</v>
      </c>
      <c r="AD967" s="114">
        <f t="shared" ref="AD967:AD971" si="210">Z967-AC967</f>
        <v>9.4499999999999993</v>
      </c>
      <c r="AE967" s="114">
        <f t="shared" ref="AE967:AE971" si="211">AA967+((AC967*AA967)/Z967)</f>
        <v>53.43</v>
      </c>
    </row>
    <row r="968" spans="3:31" s="29" customFormat="1" x14ac:dyDescent="0.25">
      <c r="C968" s="990" t="s">
        <v>3</v>
      </c>
      <c r="D968" s="990"/>
      <c r="E968" s="990"/>
      <c r="F968" s="991" t="s">
        <v>316</v>
      </c>
      <c r="G968" s="991"/>
      <c r="H968" s="991"/>
      <c r="I968" s="991"/>
      <c r="J968" s="991"/>
      <c r="M968" s="114" t="s">
        <v>546</v>
      </c>
      <c r="N968" s="114">
        <f>AE3</f>
        <v>49.18</v>
      </c>
      <c r="O968" s="114" t="str">
        <f>AD3</f>
        <v>mL</v>
      </c>
      <c r="P968" s="114">
        <v>25</v>
      </c>
      <c r="Q968" s="114">
        <f t="shared" si="204"/>
        <v>1229.5</v>
      </c>
      <c r="R968" s="114">
        <v>0</v>
      </c>
      <c r="S968" s="114">
        <f t="shared" si="205"/>
        <v>0</v>
      </c>
      <c r="T968" s="114">
        <f t="shared" si="206"/>
        <v>25</v>
      </c>
      <c r="U968" s="114">
        <f t="shared" si="207"/>
        <v>1229.5</v>
      </c>
      <c r="W968" s="114" t="s">
        <v>435</v>
      </c>
      <c r="X968" s="114">
        <f>P5</f>
        <v>2.5</v>
      </c>
      <c r="Y968" s="114" t="str">
        <f>O5</f>
        <v>g</v>
      </c>
      <c r="Z968" s="114">
        <v>8</v>
      </c>
      <c r="AA968" s="114">
        <f t="shared" si="208"/>
        <v>20</v>
      </c>
      <c r="AB968" s="114">
        <f>AJ3</f>
        <v>0.37</v>
      </c>
      <c r="AC968" s="114">
        <f t="shared" si="209"/>
        <v>2.96</v>
      </c>
      <c r="AD968" s="114">
        <f t="shared" si="210"/>
        <v>5.04</v>
      </c>
      <c r="AE968" s="114">
        <f t="shared" si="211"/>
        <v>27.4</v>
      </c>
    </row>
    <row r="969" spans="3:31" s="29" customFormat="1" x14ac:dyDescent="0.25">
      <c r="C969" s="990"/>
      <c r="D969" s="990"/>
      <c r="E969" s="990"/>
      <c r="F969" s="991"/>
      <c r="G969" s="991"/>
      <c r="H969" s="991"/>
      <c r="I969" s="991"/>
      <c r="J969" s="991"/>
      <c r="M969" s="114" t="s">
        <v>500</v>
      </c>
      <c r="N969" s="114">
        <f>AE973</f>
        <v>4123.38</v>
      </c>
      <c r="O969" s="114" t="s">
        <v>1388</v>
      </c>
      <c r="P969" s="114">
        <v>120</v>
      </c>
      <c r="Q969" s="114">
        <f>N969</f>
        <v>4123.38</v>
      </c>
      <c r="R969" s="114">
        <v>0</v>
      </c>
      <c r="S969" s="114">
        <f t="shared" si="205"/>
        <v>0</v>
      </c>
      <c r="T969" s="114">
        <f t="shared" si="206"/>
        <v>120</v>
      </c>
      <c r="U969" s="114">
        <f t="shared" si="207"/>
        <v>4123.38</v>
      </c>
      <c r="W969" s="114" t="s">
        <v>429</v>
      </c>
      <c r="X969" s="114">
        <f>P29</f>
        <v>1.8</v>
      </c>
      <c r="Y969" s="114" t="str">
        <f>O29</f>
        <v>g</v>
      </c>
      <c r="Z969" s="114">
        <v>40</v>
      </c>
      <c r="AA969" s="114">
        <f t="shared" si="208"/>
        <v>72</v>
      </c>
      <c r="AB969" s="114">
        <f>AJ18</f>
        <v>0.05</v>
      </c>
      <c r="AC969" s="114">
        <f t="shared" si="209"/>
        <v>2</v>
      </c>
      <c r="AD969" s="114">
        <f t="shared" si="210"/>
        <v>38</v>
      </c>
      <c r="AE969" s="114">
        <f t="shared" si="211"/>
        <v>75.599999999999994</v>
      </c>
    </row>
    <row r="970" spans="3:31" s="29" customFormat="1" x14ac:dyDescent="0.25">
      <c r="C970" s="990"/>
      <c r="D970" s="990"/>
      <c r="E970" s="990"/>
      <c r="F970" s="991"/>
      <c r="G970" s="991"/>
      <c r="H970" s="991"/>
      <c r="I970" s="991"/>
      <c r="J970" s="991"/>
      <c r="M970" s="114" t="s">
        <v>433</v>
      </c>
      <c r="N970" s="114">
        <f>Y18</f>
        <v>223.57</v>
      </c>
      <c r="O970" s="114" t="str">
        <f>X18</f>
        <v>g</v>
      </c>
      <c r="P970" s="114">
        <v>10</v>
      </c>
      <c r="Q970" s="114">
        <f t="shared" si="204"/>
        <v>2235.6999999999998</v>
      </c>
      <c r="R970" s="114">
        <v>0</v>
      </c>
      <c r="S970" s="114">
        <f t="shared" si="205"/>
        <v>0</v>
      </c>
      <c r="T970" s="114">
        <f t="shared" si="206"/>
        <v>10</v>
      </c>
      <c r="U970" s="114">
        <f t="shared" si="207"/>
        <v>2235.6999999999998</v>
      </c>
      <c r="W970" s="114" t="s">
        <v>432</v>
      </c>
      <c r="X970" s="114">
        <f>S8</f>
        <v>59</v>
      </c>
      <c r="Y970" s="114" t="str">
        <f>R8</f>
        <v>g</v>
      </c>
      <c r="Z970" s="114">
        <v>35</v>
      </c>
      <c r="AA970" s="114">
        <f t="shared" si="208"/>
        <v>2065</v>
      </c>
      <c r="AB970" s="114">
        <f>AN4</f>
        <v>0.41</v>
      </c>
      <c r="AC970" s="114">
        <f t="shared" si="209"/>
        <v>14.35</v>
      </c>
      <c r="AD970" s="114">
        <f t="shared" si="210"/>
        <v>20.65</v>
      </c>
      <c r="AE970" s="114">
        <f t="shared" si="211"/>
        <v>2911.65</v>
      </c>
    </row>
    <row r="971" spans="3:31" s="29" customFormat="1" x14ac:dyDescent="0.25">
      <c r="C971" s="990" t="s">
        <v>4</v>
      </c>
      <c r="D971" s="990"/>
      <c r="E971" s="990"/>
      <c r="F971" s="991" t="s">
        <v>15</v>
      </c>
      <c r="G971" s="991"/>
      <c r="H971" s="991"/>
      <c r="I971" s="991"/>
      <c r="J971" s="991"/>
      <c r="M971" s="114" t="s">
        <v>427</v>
      </c>
      <c r="N971" s="114">
        <f>S8</f>
        <v>59</v>
      </c>
      <c r="O971" s="114" t="str">
        <f>R8</f>
        <v>g</v>
      </c>
      <c r="P971" s="114">
        <v>100</v>
      </c>
      <c r="Q971" s="114">
        <f t="shared" si="204"/>
        <v>5900</v>
      </c>
      <c r="R971" s="114">
        <f>AN4</f>
        <v>0.41</v>
      </c>
      <c r="S971" s="114">
        <f t="shared" si="205"/>
        <v>41</v>
      </c>
      <c r="T971" s="114">
        <f t="shared" si="206"/>
        <v>59</v>
      </c>
      <c r="U971" s="114">
        <f t="shared" si="207"/>
        <v>8319</v>
      </c>
      <c r="W971" s="114" t="s">
        <v>455</v>
      </c>
      <c r="X971" s="114">
        <f>AE15</f>
        <v>51.96</v>
      </c>
      <c r="Y971" s="114" t="str">
        <f>AD15</f>
        <v>mL</v>
      </c>
      <c r="Z971" s="114">
        <v>20</v>
      </c>
      <c r="AA971" s="114">
        <f t="shared" si="208"/>
        <v>1039.2</v>
      </c>
      <c r="AB971" s="114">
        <v>0</v>
      </c>
      <c r="AC971" s="114">
        <f t="shared" si="209"/>
        <v>0</v>
      </c>
      <c r="AD971" s="114">
        <f t="shared" si="210"/>
        <v>20</v>
      </c>
      <c r="AE971" s="114">
        <f t="shared" si="211"/>
        <v>1039.2</v>
      </c>
    </row>
    <row r="972" spans="3:31" s="29" customFormat="1" x14ac:dyDescent="0.25">
      <c r="C972" s="990"/>
      <c r="D972" s="990"/>
      <c r="E972" s="990"/>
      <c r="F972" s="991"/>
      <c r="G972" s="991"/>
      <c r="H972" s="991"/>
      <c r="I972" s="991"/>
      <c r="J972" s="991"/>
      <c r="M972" s="114"/>
      <c r="N972" s="114"/>
      <c r="O972" s="114"/>
      <c r="P972" s="114"/>
      <c r="Q972" s="114">
        <f t="shared" si="204"/>
        <v>0</v>
      </c>
      <c r="R972" s="114"/>
      <c r="S972" s="114"/>
      <c r="T972" s="114"/>
      <c r="U972" s="114"/>
      <c r="W972" s="114"/>
      <c r="X972" s="114"/>
      <c r="Y972" s="114"/>
      <c r="Z972" s="114"/>
      <c r="AA972" s="114"/>
      <c r="AB972" s="114"/>
      <c r="AC972" s="114"/>
      <c r="AD972" s="114"/>
      <c r="AE972" s="114"/>
    </row>
    <row r="973" spans="3:31" s="29" customFormat="1" x14ac:dyDescent="0.25">
      <c r="C973" s="990"/>
      <c r="D973" s="990"/>
      <c r="E973" s="990"/>
      <c r="F973" s="991"/>
      <c r="G973" s="991"/>
      <c r="H973" s="991"/>
      <c r="I973" s="991"/>
      <c r="J973" s="991"/>
      <c r="M973" s="114" t="s">
        <v>337</v>
      </c>
      <c r="N973" s="114">
        <f>SUM(N965:N972)</f>
        <v>6561.8423984875517</v>
      </c>
      <c r="O973" s="114"/>
      <c r="P973" s="114">
        <f>SUM(P965:P972)</f>
        <v>363</v>
      </c>
      <c r="Q973" s="114">
        <f>SUM(Q965:Q972)</f>
        <v>15630.932398487552</v>
      </c>
      <c r="R973" s="114"/>
      <c r="S973" s="114"/>
      <c r="T973" s="114"/>
      <c r="U973" s="114">
        <f>SUM(U965:U972)</f>
        <v>18059.592398487552</v>
      </c>
      <c r="W973" s="114" t="s">
        <v>337</v>
      </c>
      <c r="X973" s="114">
        <f>SUM(X966:X972)</f>
        <v>118.56</v>
      </c>
      <c r="Y973" s="114"/>
      <c r="Z973" s="114">
        <f>SUM(Z966:Z972)</f>
        <v>138</v>
      </c>
      <c r="AA973" s="114">
        <f>SUM(AA966:AA972)</f>
        <v>3249.2</v>
      </c>
      <c r="AB973" s="114"/>
      <c r="AC973" s="114"/>
      <c r="AD973" s="114"/>
      <c r="AE973" s="114">
        <f>SUM(AE966:AE972)</f>
        <v>4123.38</v>
      </c>
    </row>
    <row r="974" spans="3:31" s="29" customFormat="1" x14ac:dyDescent="0.25">
      <c r="C974" s="990" t="s">
        <v>5</v>
      </c>
      <c r="D974" s="990"/>
      <c r="E974" s="990"/>
      <c r="F974" s="991" t="s">
        <v>116</v>
      </c>
      <c r="G974" s="991"/>
      <c r="H974" s="991"/>
      <c r="I974" s="991"/>
      <c r="J974" s="991"/>
    </row>
    <row r="975" spans="3:31" s="29" customFormat="1" x14ac:dyDescent="0.25">
      <c r="C975" s="990"/>
      <c r="D975" s="990"/>
      <c r="E975" s="990"/>
      <c r="F975" s="991"/>
      <c r="G975" s="991"/>
      <c r="H975" s="991"/>
      <c r="I975" s="991"/>
      <c r="J975" s="991"/>
      <c r="Q975" s="114" t="s">
        <v>1681</v>
      </c>
      <c r="R975" s="114">
        <f>U973</f>
        <v>18059.592398487552</v>
      </c>
      <c r="S975" s="608" t="s">
        <v>2142</v>
      </c>
      <c r="T975" s="608">
        <f>(R975*100)/R982</f>
        <v>52.238914321411556</v>
      </c>
      <c r="AA975" s="114" t="s">
        <v>1681</v>
      </c>
      <c r="AB975" s="114">
        <f>AE973</f>
        <v>4123.38</v>
      </c>
      <c r="AC975" s="608" t="s">
        <v>2142</v>
      </c>
      <c r="AD975" s="608">
        <f>(AB975*100)/AB982</f>
        <v>38.69644286922049</v>
      </c>
    </row>
    <row r="976" spans="3:31" s="29" customFormat="1" x14ac:dyDescent="0.25">
      <c r="C976" s="990"/>
      <c r="D976" s="990"/>
      <c r="E976" s="990"/>
      <c r="F976" s="991"/>
      <c r="G976" s="991"/>
      <c r="H976" s="991"/>
      <c r="I976" s="991"/>
      <c r="J976" s="991"/>
      <c r="Q976" s="114" t="s">
        <v>2326</v>
      </c>
      <c r="R976" s="114">
        <f>$AL$26</f>
        <v>1801.715474357886</v>
      </c>
      <c r="AA976" s="114" t="s">
        <v>2326</v>
      </c>
      <c r="AB976" s="114">
        <f>$AO$26/2</f>
        <v>476.87414947063905</v>
      </c>
    </row>
    <row r="977" spans="3:31" s="29" customFormat="1" x14ac:dyDescent="0.25">
      <c r="C977" s="990" t="s">
        <v>6</v>
      </c>
      <c r="D977" s="990"/>
      <c r="E977" s="990"/>
      <c r="F977" s="991" t="s">
        <v>9</v>
      </c>
      <c r="G977" s="991"/>
      <c r="H977" s="991"/>
      <c r="I977" s="991"/>
      <c r="J977" s="991"/>
      <c r="Q977" s="114" t="s">
        <v>2325</v>
      </c>
      <c r="R977" s="114">
        <f>$AL$27</f>
        <v>75.599999999999994</v>
      </c>
      <c r="AA977" s="114" t="s">
        <v>2325</v>
      </c>
      <c r="AB977" s="114">
        <f>$AO$27/4</f>
        <v>18.899999999999999</v>
      </c>
    </row>
    <row r="978" spans="3:31" s="29" customFormat="1" x14ac:dyDescent="0.25">
      <c r="C978" s="990"/>
      <c r="D978" s="990"/>
      <c r="E978" s="990"/>
      <c r="F978" s="991"/>
      <c r="G978" s="991"/>
      <c r="H978" s="991"/>
      <c r="I978" s="991"/>
      <c r="J978" s="991"/>
      <c r="Q978" s="114" t="s">
        <v>1684</v>
      </c>
      <c r="R978" s="114">
        <f>$AL$29</f>
        <v>69.543532482306858</v>
      </c>
      <c r="AA978" s="114" t="s">
        <v>1684</v>
      </c>
      <c r="AB978" s="114">
        <f>$AO$29</f>
        <v>1547.3435977313275</v>
      </c>
    </row>
    <row r="979" spans="3:31" s="29" customFormat="1" x14ac:dyDescent="0.25">
      <c r="C979" s="990"/>
      <c r="D979" s="990"/>
      <c r="E979" s="990"/>
      <c r="F979" s="991"/>
      <c r="G979" s="991"/>
      <c r="H979" s="991"/>
      <c r="I979" s="991"/>
      <c r="J979" s="991"/>
      <c r="Q979" s="114" t="s">
        <v>1685</v>
      </c>
      <c r="R979" s="114">
        <v>0.6</v>
      </c>
      <c r="AA979" s="114" t="s">
        <v>1685</v>
      </c>
      <c r="AB979" s="114">
        <v>0.6</v>
      </c>
    </row>
    <row r="980" spans="3:31" s="29" customFormat="1" x14ac:dyDescent="0.25">
      <c r="C980" s="990" t="s">
        <v>7</v>
      </c>
      <c r="D980" s="990"/>
      <c r="E980" s="990"/>
      <c r="F980" s="991" t="s">
        <v>602</v>
      </c>
      <c r="G980" s="991"/>
      <c r="H980" s="991"/>
      <c r="I980" s="991"/>
      <c r="J980" s="991"/>
      <c r="Q980" s="114" t="s">
        <v>1708</v>
      </c>
      <c r="R980" s="114">
        <f>(SUM(R975:R978)*R979)+SUM(R975:R978)</f>
        <v>32010.32224852439</v>
      </c>
      <c r="AA980" s="114" t="s">
        <v>1708</v>
      </c>
      <c r="AB980" s="114">
        <f>(SUM(AB975:AB978)*AB979)+SUM(AB975:AB978)</f>
        <v>9866.3963955231466</v>
      </c>
    </row>
    <row r="981" spans="3:31" s="29" customFormat="1" x14ac:dyDescent="0.25">
      <c r="C981" s="990"/>
      <c r="D981" s="990"/>
      <c r="E981" s="990"/>
      <c r="F981" s="991"/>
      <c r="G981" s="991"/>
      <c r="H981" s="991"/>
      <c r="I981" s="991"/>
      <c r="J981" s="991"/>
      <c r="Q981" s="114" t="s">
        <v>2130</v>
      </c>
      <c r="R981" s="114">
        <f>R980*0.08</f>
        <v>2560.8257798819513</v>
      </c>
      <c r="AA981" s="114" t="s">
        <v>2130</v>
      </c>
      <c r="AB981" s="114">
        <f>AB980*0.08</f>
        <v>789.31171164185173</v>
      </c>
    </row>
    <row r="982" spans="3:31" s="29" customFormat="1" x14ac:dyDescent="0.25">
      <c r="C982" s="990"/>
      <c r="D982" s="990"/>
      <c r="E982" s="990"/>
      <c r="F982" s="991"/>
      <c r="G982" s="991"/>
      <c r="H982" s="991"/>
      <c r="I982" s="991"/>
      <c r="J982" s="991"/>
      <c r="Q982" s="114" t="s">
        <v>1686</v>
      </c>
      <c r="R982" s="114">
        <f>SUM(R980+R981)</f>
        <v>34571.148028406344</v>
      </c>
      <c r="AA982" s="114" t="s">
        <v>1686</v>
      </c>
      <c r="AB982" s="114">
        <f>SUM(AB980+AB981)</f>
        <v>10655.708107164999</v>
      </c>
    </row>
    <row r="983" spans="3:31" s="29" customFormat="1" x14ac:dyDescent="0.25"/>
    <row r="984" spans="3:31" s="29" customFormat="1" x14ac:dyDescent="0.25"/>
    <row r="985" spans="3:31" s="29" customFormat="1" x14ac:dyDescent="0.25">
      <c r="C985" s="993" t="s">
        <v>8</v>
      </c>
      <c r="D985" s="993"/>
      <c r="E985" s="993"/>
      <c r="F985" s="993"/>
      <c r="G985" s="993"/>
      <c r="H985" s="993"/>
      <c r="I985" s="993"/>
      <c r="J985" s="993"/>
    </row>
    <row r="986" spans="3:31" s="29" customFormat="1" x14ac:dyDescent="0.25">
      <c r="C986" s="989" t="s">
        <v>0</v>
      </c>
      <c r="D986" s="989"/>
      <c r="E986" s="989"/>
      <c r="F986" s="989" t="s">
        <v>1</v>
      </c>
      <c r="G986" s="989"/>
      <c r="H986" s="989"/>
      <c r="I986" s="989"/>
      <c r="J986" s="989"/>
    </row>
    <row r="987" spans="3:31" s="29" customFormat="1" x14ac:dyDescent="0.25">
      <c r="C987" s="990" t="s">
        <v>2</v>
      </c>
      <c r="D987" s="990"/>
      <c r="E987" s="990"/>
      <c r="F987" s="991" t="s">
        <v>108</v>
      </c>
      <c r="G987" s="991"/>
      <c r="H987" s="991"/>
      <c r="I987" s="991"/>
      <c r="J987" s="991"/>
      <c r="M987" s="113" t="s">
        <v>336</v>
      </c>
      <c r="N987" s="113" t="s">
        <v>174</v>
      </c>
      <c r="O987" s="113" t="s">
        <v>248</v>
      </c>
      <c r="P987" s="113" t="s">
        <v>176</v>
      </c>
      <c r="Q987" s="113" t="s">
        <v>337</v>
      </c>
      <c r="R987" s="113" t="s">
        <v>1641</v>
      </c>
      <c r="S987" s="113" t="s">
        <v>1642</v>
      </c>
      <c r="T987" s="113" t="s">
        <v>1643</v>
      </c>
      <c r="U987" s="113" t="s">
        <v>1644</v>
      </c>
      <c r="W987" s="988" t="s">
        <v>1456</v>
      </c>
      <c r="X987" s="988"/>
      <c r="Y987" s="988"/>
      <c r="Z987" s="988"/>
      <c r="AA987" s="988"/>
      <c r="AB987" s="988"/>
      <c r="AC987" s="988"/>
      <c r="AD987" s="988"/>
      <c r="AE987" s="988"/>
    </row>
    <row r="988" spans="3:31" s="29" customFormat="1" x14ac:dyDescent="0.25">
      <c r="C988" s="990"/>
      <c r="D988" s="990"/>
      <c r="E988" s="990"/>
      <c r="F988" s="991"/>
      <c r="G988" s="991"/>
      <c r="H988" s="991"/>
      <c r="I988" s="991"/>
      <c r="J988" s="991"/>
      <c r="M988" s="114" t="s">
        <v>344</v>
      </c>
      <c r="N988" s="114">
        <f>E21</f>
        <v>2099.0723984875517</v>
      </c>
      <c r="O988" s="114" t="str">
        <f>D21</f>
        <v>g</v>
      </c>
      <c r="P988" s="114">
        <v>100</v>
      </c>
      <c r="Q988" s="114">
        <f>N988</f>
        <v>2099.0723984875517</v>
      </c>
      <c r="R988" s="114">
        <v>0</v>
      </c>
      <c r="S988" s="114">
        <f>P988*R988</f>
        <v>0</v>
      </c>
      <c r="T988" s="114">
        <f>P988-S988</f>
        <v>100</v>
      </c>
      <c r="U988" s="114">
        <f>Q988+((S988*Q988)/P988)</f>
        <v>2099.0723984875517</v>
      </c>
      <c r="W988" s="113" t="s">
        <v>336</v>
      </c>
      <c r="X988" s="113" t="s">
        <v>174</v>
      </c>
      <c r="Y988" s="113" t="s">
        <v>248</v>
      </c>
      <c r="Z988" s="113" t="s">
        <v>176</v>
      </c>
      <c r="AA988" s="113" t="s">
        <v>337</v>
      </c>
      <c r="AB988" s="113" t="s">
        <v>1641</v>
      </c>
      <c r="AC988" s="113" t="s">
        <v>1642</v>
      </c>
      <c r="AD988" s="113" t="s">
        <v>1643</v>
      </c>
      <c r="AE988" s="113" t="s">
        <v>1644</v>
      </c>
    </row>
    <row r="989" spans="3:31" s="29" customFormat="1" x14ac:dyDescent="0.25">
      <c r="C989" s="990"/>
      <c r="D989" s="990"/>
      <c r="E989" s="990"/>
      <c r="F989" s="991"/>
      <c r="G989" s="991"/>
      <c r="H989" s="991"/>
      <c r="I989" s="991"/>
      <c r="J989" s="991"/>
      <c r="M989" s="114" t="s">
        <v>340</v>
      </c>
      <c r="N989" s="114">
        <f>Y20</f>
        <v>0.64</v>
      </c>
      <c r="O989" s="114" t="str">
        <f>X20</f>
        <v>g</v>
      </c>
      <c r="P989" s="114">
        <v>2</v>
      </c>
      <c r="Q989" s="114">
        <f t="shared" ref="Q989:Q995" si="212">N989*P989</f>
        <v>1.28</v>
      </c>
      <c r="R989" s="114">
        <v>0</v>
      </c>
      <c r="S989" s="114">
        <f t="shared" ref="S989:S994" si="213">P989*R989</f>
        <v>0</v>
      </c>
      <c r="T989" s="114">
        <f t="shared" ref="T989:T994" si="214">P989-S989</f>
        <v>2</v>
      </c>
      <c r="U989" s="114">
        <f t="shared" ref="U989:U994" si="215">Q989+((S989*Q989)/P989)</f>
        <v>1.28</v>
      </c>
      <c r="W989" s="114" t="s">
        <v>347</v>
      </c>
      <c r="X989" s="114">
        <f>V6</f>
        <v>28.76</v>
      </c>
      <c r="Y989" s="114" t="str">
        <f>U6</f>
        <v>g</v>
      </c>
      <c r="Z989" s="114">
        <v>30</v>
      </c>
      <c r="AA989" s="114">
        <f>X989*Z989</f>
        <v>862.80000000000007</v>
      </c>
      <c r="AB989" s="114">
        <v>0</v>
      </c>
      <c r="AC989" s="114">
        <f>Z989*AB989</f>
        <v>0</v>
      </c>
      <c r="AD989" s="114">
        <f>Z989-AC989</f>
        <v>30</v>
      </c>
      <c r="AE989" s="114">
        <f>AA989+((AC989*AA989)/Z989)</f>
        <v>862.80000000000007</v>
      </c>
    </row>
    <row r="990" spans="3:31" s="29" customFormat="1" x14ac:dyDescent="0.25">
      <c r="C990" s="989" t="s">
        <v>0</v>
      </c>
      <c r="D990" s="989"/>
      <c r="E990" s="989"/>
      <c r="F990" s="989" t="s">
        <v>1</v>
      </c>
      <c r="G990" s="989"/>
      <c r="H990" s="989"/>
      <c r="I990" s="989"/>
      <c r="J990" s="989"/>
      <c r="M990" s="114" t="s">
        <v>345</v>
      </c>
      <c r="N990" s="114">
        <f>P23</f>
        <v>1.6</v>
      </c>
      <c r="O990" s="114" t="str">
        <f>O23</f>
        <v>g</v>
      </c>
      <c r="P990" s="114">
        <v>20</v>
      </c>
      <c r="Q990" s="114">
        <f t="shared" si="212"/>
        <v>32</v>
      </c>
      <c r="R990" s="114">
        <v>0</v>
      </c>
      <c r="S990" s="114">
        <f t="shared" si="213"/>
        <v>0</v>
      </c>
      <c r="T990" s="114">
        <f t="shared" si="214"/>
        <v>20</v>
      </c>
      <c r="U990" s="114">
        <f t="shared" si="215"/>
        <v>32</v>
      </c>
      <c r="W990" s="114" t="s">
        <v>546</v>
      </c>
      <c r="X990" s="114">
        <f>AE3</f>
        <v>49.18</v>
      </c>
      <c r="Y990" s="114" t="str">
        <f>AD3</f>
        <v>mL</v>
      </c>
      <c r="Z990" s="114">
        <v>5</v>
      </c>
      <c r="AA990" s="114">
        <f t="shared" ref="AA990:AA995" si="216">X990*Z990</f>
        <v>245.9</v>
      </c>
      <c r="AB990" s="114">
        <f>AJ2</f>
        <v>0.23</v>
      </c>
      <c r="AC990" s="114">
        <f t="shared" ref="AC990:AC995" si="217">Z990*AB990</f>
        <v>1.1500000000000001</v>
      </c>
      <c r="AD990" s="114">
        <f t="shared" ref="AD990:AD995" si="218">Z990-AC990</f>
        <v>3.8499999999999996</v>
      </c>
      <c r="AE990" s="114">
        <f t="shared" ref="AE990:AE995" si="219">AA990+((AC990*AA990)/Z990)</f>
        <v>302.45699999999999</v>
      </c>
    </row>
    <row r="991" spans="3:31" s="29" customFormat="1" x14ac:dyDescent="0.25">
      <c r="C991" s="990" t="s">
        <v>3</v>
      </c>
      <c r="D991" s="990"/>
      <c r="E991" s="990"/>
      <c r="F991" s="991" t="s">
        <v>112</v>
      </c>
      <c r="G991" s="991"/>
      <c r="H991" s="991"/>
      <c r="I991" s="991"/>
      <c r="J991" s="991"/>
      <c r="M991" s="114" t="s">
        <v>346</v>
      </c>
      <c r="N991" s="114">
        <f>P3</f>
        <v>7</v>
      </c>
      <c r="O991" s="114" t="str">
        <f>O3</f>
        <v>g</v>
      </c>
      <c r="P991" s="114">
        <v>6</v>
      </c>
      <c r="Q991" s="114">
        <f t="shared" si="212"/>
        <v>42</v>
      </c>
      <c r="R991" s="114">
        <f>AJ2</f>
        <v>0.23</v>
      </c>
      <c r="S991" s="114">
        <f t="shared" si="213"/>
        <v>1.3800000000000001</v>
      </c>
      <c r="T991" s="114">
        <f t="shared" si="214"/>
        <v>4.62</v>
      </c>
      <c r="U991" s="114">
        <f t="shared" si="215"/>
        <v>51.660000000000004</v>
      </c>
      <c r="W991" s="114" t="s">
        <v>346</v>
      </c>
      <c r="X991" s="114">
        <f>P3</f>
        <v>7</v>
      </c>
      <c r="Y991" s="114" t="str">
        <f>O3</f>
        <v>g</v>
      </c>
      <c r="Z991" s="114">
        <v>12</v>
      </c>
      <c r="AA991" s="114">
        <f t="shared" si="216"/>
        <v>84</v>
      </c>
      <c r="AB991" s="114">
        <v>0</v>
      </c>
      <c r="AC991" s="114">
        <f t="shared" si="217"/>
        <v>0</v>
      </c>
      <c r="AD991" s="114">
        <f t="shared" si="218"/>
        <v>12</v>
      </c>
      <c r="AE991" s="114">
        <f t="shared" si="219"/>
        <v>84</v>
      </c>
    </row>
    <row r="992" spans="3:31" s="29" customFormat="1" x14ac:dyDescent="0.25">
      <c r="C992" s="990"/>
      <c r="D992" s="990"/>
      <c r="E992" s="990"/>
      <c r="F992" s="991"/>
      <c r="G992" s="991"/>
      <c r="H992" s="991"/>
      <c r="I992" s="991"/>
      <c r="J992" s="991"/>
      <c r="M992" s="114" t="s">
        <v>501</v>
      </c>
      <c r="N992" s="114">
        <f>AE996</f>
        <v>5982.0169999999998</v>
      </c>
      <c r="O992" s="114" t="s">
        <v>1388</v>
      </c>
      <c r="P992" s="114">
        <v>120</v>
      </c>
      <c r="Q992" s="114">
        <f>N992</f>
        <v>5982.0169999999998</v>
      </c>
      <c r="R992" s="114">
        <v>0</v>
      </c>
      <c r="S992" s="114">
        <f t="shared" si="213"/>
        <v>0</v>
      </c>
      <c r="T992" s="114">
        <f t="shared" si="214"/>
        <v>120</v>
      </c>
      <c r="U992" s="114">
        <f t="shared" si="215"/>
        <v>5982.0169999999998</v>
      </c>
      <c r="W992" s="114" t="s">
        <v>348</v>
      </c>
      <c r="X992" s="114">
        <f>V2</f>
        <v>13.11</v>
      </c>
      <c r="Y992" s="114" t="str">
        <f>U2</f>
        <v>g</v>
      </c>
      <c r="Z992" s="114">
        <v>60</v>
      </c>
      <c r="AA992" s="114">
        <f t="shared" si="216"/>
        <v>786.59999999999991</v>
      </c>
      <c r="AB992" s="114">
        <v>0</v>
      </c>
      <c r="AC992" s="114">
        <f t="shared" si="217"/>
        <v>0</v>
      </c>
      <c r="AD992" s="114">
        <f t="shared" si="218"/>
        <v>60</v>
      </c>
      <c r="AE992" s="114">
        <f t="shared" si="219"/>
        <v>786.59999999999991</v>
      </c>
    </row>
    <row r="993" spans="3:31" s="29" customFormat="1" x14ac:dyDescent="0.25">
      <c r="C993" s="990"/>
      <c r="D993" s="990"/>
      <c r="E993" s="990"/>
      <c r="F993" s="991"/>
      <c r="G993" s="991"/>
      <c r="H993" s="991"/>
      <c r="I993" s="991"/>
      <c r="J993" s="991"/>
      <c r="M993" s="114" t="s">
        <v>604</v>
      </c>
      <c r="N993" s="114">
        <f>V15</f>
        <v>24.63</v>
      </c>
      <c r="O993" s="114" t="str">
        <f>U15</f>
        <v>g</v>
      </c>
      <c r="P993" s="114">
        <v>80</v>
      </c>
      <c r="Q993" s="114">
        <f t="shared" si="212"/>
        <v>1970.3999999999999</v>
      </c>
      <c r="R993" s="114">
        <v>0</v>
      </c>
      <c r="S993" s="114">
        <f t="shared" si="213"/>
        <v>0</v>
      </c>
      <c r="T993" s="114">
        <f t="shared" si="214"/>
        <v>80</v>
      </c>
      <c r="U993" s="114">
        <f t="shared" si="215"/>
        <v>1970.3999999999999</v>
      </c>
      <c r="W993" s="114" t="s">
        <v>433</v>
      </c>
      <c r="X993" s="114">
        <f>Y18</f>
        <v>223.57</v>
      </c>
      <c r="Y993" s="114" t="str">
        <f>X18</f>
        <v>g</v>
      </c>
      <c r="Z993" s="114">
        <v>8</v>
      </c>
      <c r="AA993" s="114">
        <f t="shared" si="216"/>
        <v>1788.56</v>
      </c>
      <c r="AB993" s="114">
        <v>0</v>
      </c>
      <c r="AC993" s="114">
        <f t="shared" si="217"/>
        <v>0</v>
      </c>
      <c r="AD993" s="114">
        <f t="shared" si="218"/>
        <v>8</v>
      </c>
      <c r="AE993" s="114">
        <f t="shared" si="219"/>
        <v>1788.56</v>
      </c>
    </row>
    <row r="994" spans="3:31" s="29" customFormat="1" x14ac:dyDescent="0.25">
      <c r="C994" s="990" t="s">
        <v>4</v>
      </c>
      <c r="D994" s="990"/>
      <c r="E994" s="990"/>
      <c r="F994" s="991" t="s">
        <v>15</v>
      </c>
      <c r="G994" s="991"/>
      <c r="H994" s="991"/>
      <c r="I994" s="991"/>
      <c r="J994" s="991"/>
      <c r="M994" s="114" t="s">
        <v>458</v>
      </c>
      <c r="N994" s="114">
        <f>S10</f>
        <v>32.46</v>
      </c>
      <c r="O994" s="114" t="str">
        <f>R10</f>
        <v>g</v>
      </c>
      <c r="P994" s="114">
        <v>100</v>
      </c>
      <c r="Q994" s="114">
        <f t="shared" si="212"/>
        <v>3246</v>
      </c>
      <c r="R994" s="114">
        <v>0</v>
      </c>
      <c r="S994" s="114">
        <f t="shared" si="213"/>
        <v>0</v>
      </c>
      <c r="T994" s="114">
        <f t="shared" si="214"/>
        <v>100</v>
      </c>
      <c r="U994" s="114">
        <f t="shared" si="215"/>
        <v>3246</v>
      </c>
      <c r="W994" s="114" t="s">
        <v>547</v>
      </c>
      <c r="X994" s="114">
        <f>V13</f>
        <v>81.900000000000006</v>
      </c>
      <c r="Y994" s="114" t="str">
        <f>U13</f>
        <v>g</v>
      </c>
      <c r="Z994" s="114">
        <v>20</v>
      </c>
      <c r="AA994" s="114">
        <f t="shared" si="216"/>
        <v>1638</v>
      </c>
      <c r="AB994" s="114">
        <v>0</v>
      </c>
      <c r="AC994" s="114">
        <f t="shared" si="217"/>
        <v>0</v>
      </c>
      <c r="AD994" s="114">
        <f t="shared" si="218"/>
        <v>20</v>
      </c>
      <c r="AE994" s="114">
        <f t="shared" si="219"/>
        <v>1638</v>
      </c>
    </row>
    <row r="995" spans="3:31" s="29" customFormat="1" x14ac:dyDescent="0.25">
      <c r="C995" s="990"/>
      <c r="D995" s="990"/>
      <c r="E995" s="990"/>
      <c r="F995" s="991"/>
      <c r="G995" s="991"/>
      <c r="H995" s="991"/>
      <c r="I995" s="991"/>
      <c r="J995" s="991"/>
      <c r="M995" s="114"/>
      <c r="N995" s="114"/>
      <c r="O995" s="114"/>
      <c r="P995" s="114"/>
      <c r="Q995" s="114">
        <f t="shared" si="212"/>
        <v>0</v>
      </c>
      <c r="R995" s="114"/>
      <c r="S995" s="114"/>
      <c r="T995" s="114"/>
      <c r="U995" s="114"/>
      <c r="W995" s="114" t="s">
        <v>462</v>
      </c>
      <c r="X995" s="114">
        <f>V12</f>
        <v>25.98</v>
      </c>
      <c r="Y995" s="114" t="str">
        <f>U12</f>
        <v>g</v>
      </c>
      <c r="Z995" s="114">
        <v>20</v>
      </c>
      <c r="AA995" s="114">
        <f t="shared" si="216"/>
        <v>519.6</v>
      </c>
      <c r="AB995" s="114">
        <v>0</v>
      </c>
      <c r="AC995" s="114">
        <f t="shared" si="217"/>
        <v>0</v>
      </c>
      <c r="AD995" s="114">
        <f t="shared" si="218"/>
        <v>20</v>
      </c>
      <c r="AE995" s="114">
        <f t="shared" si="219"/>
        <v>519.6</v>
      </c>
    </row>
    <row r="996" spans="3:31" s="29" customFormat="1" x14ac:dyDescent="0.25">
      <c r="C996" s="990"/>
      <c r="D996" s="990"/>
      <c r="E996" s="990"/>
      <c r="F996" s="991"/>
      <c r="G996" s="991"/>
      <c r="H996" s="991"/>
      <c r="I996" s="991"/>
      <c r="J996" s="991"/>
      <c r="M996" s="114" t="s">
        <v>337</v>
      </c>
      <c r="N996" s="114">
        <f>SUM(N988:N995)</f>
        <v>8147.419398487551</v>
      </c>
      <c r="O996" s="114"/>
      <c r="P996" s="114">
        <f>SUM(P988:P995)</f>
        <v>428</v>
      </c>
      <c r="Q996" s="114">
        <f>SUM(Q988:Q995)</f>
        <v>13372.769398487551</v>
      </c>
      <c r="R996" s="114"/>
      <c r="S996" s="114"/>
      <c r="T996" s="114"/>
      <c r="U996" s="114">
        <f>SUM(U988:U995)</f>
        <v>13382.429398487551</v>
      </c>
      <c r="W996" s="114" t="s">
        <v>337</v>
      </c>
      <c r="X996" s="114">
        <f>SUM(X989:X995)</f>
        <v>429.5</v>
      </c>
      <c r="Y996" s="114"/>
      <c r="Z996" s="114">
        <f>SUM(Z989:Z995)</f>
        <v>155</v>
      </c>
      <c r="AA996" s="114">
        <f>SUM(AA989:AA995)</f>
        <v>5925.46</v>
      </c>
      <c r="AB996" s="114"/>
      <c r="AC996" s="114"/>
      <c r="AD996" s="114"/>
      <c r="AE996" s="114">
        <f>SUM(AE989:AE995)</f>
        <v>5982.0169999999998</v>
      </c>
    </row>
    <row r="997" spans="3:31" s="29" customFormat="1" x14ac:dyDescent="0.25">
      <c r="C997" s="990" t="s">
        <v>5</v>
      </c>
      <c r="D997" s="990"/>
      <c r="E997" s="990"/>
      <c r="F997" s="991" t="s">
        <v>117</v>
      </c>
      <c r="G997" s="991"/>
      <c r="H997" s="991"/>
      <c r="I997" s="991"/>
      <c r="J997" s="991"/>
    </row>
    <row r="998" spans="3:31" s="29" customFormat="1" x14ac:dyDescent="0.25">
      <c r="C998" s="990"/>
      <c r="D998" s="990"/>
      <c r="E998" s="990"/>
      <c r="F998" s="991"/>
      <c r="G998" s="991"/>
      <c r="H998" s="991"/>
      <c r="I998" s="991"/>
      <c r="J998" s="991"/>
      <c r="Q998" s="114" t="s">
        <v>1681</v>
      </c>
      <c r="R998" s="114">
        <f>U996</f>
        <v>13382.429398487551</v>
      </c>
      <c r="S998" s="608" t="s">
        <v>2142</v>
      </c>
      <c r="T998" s="608">
        <f>(R998*100)/R1005</f>
        <v>50.520684670310338</v>
      </c>
      <c r="AA998" s="114" t="s">
        <v>1681</v>
      </c>
      <c r="AB998" s="114">
        <f>AE996</f>
        <v>5982.0169999999998</v>
      </c>
      <c r="AC998" s="608" t="s">
        <v>2142</v>
      </c>
      <c r="AD998" s="608">
        <f>(AB998*100)/AB1005</f>
        <v>43.137162210584819</v>
      </c>
    </row>
    <row r="999" spans="3:31" s="29" customFormat="1" x14ac:dyDescent="0.25">
      <c r="C999" s="990"/>
      <c r="D999" s="990"/>
      <c r="E999" s="990"/>
      <c r="F999" s="991"/>
      <c r="G999" s="991"/>
      <c r="H999" s="991"/>
      <c r="I999" s="991"/>
      <c r="J999" s="991"/>
      <c r="Q999" s="114" t="s">
        <v>2326</v>
      </c>
      <c r="R999" s="114">
        <f>$AL$26</f>
        <v>1801.715474357886</v>
      </c>
      <c r="AA999" s="114" t="s">
        <v>2326</v>
      </c>
      <c r="AB999" s="114">
        <f>$AO$26/2</f>
        <v>476.87414947063905</v>
      </c>
    </row>
    <row r="1000" spans="3:31" s="29" customFormat="1" x14ac:dyDescent="0.25">
      <c r="C1000" s="990" t="s">
        <v>6</v>
      </c>
      <c r="D1000" s="990"/>
      <c r="E1000" s="990"/>
      <c r="F1000" s="991" t="s">
        <v>9</v>
      </c>
      <c r="G1000" s="991"/>
      <c r="H1000" s="991"/>
      <c r="I1000" s="991"/>
      <c r="J1000" s="991"/>
      <c r="Q1000" s="114" t="s">
        <v>2325</v>
      </c>
      <c r="R1000" s="114">
        <f>$AL$27</f>
        <v>75.599999999999994</v>
      </c>
      <c r="AA1000" s="114" t="s">
        <v>2325</v>
      </c>
      <c r="AB1000" s="114">
        <f>$AO$27/4</f>
        <v>18.899999999999999</v>
      </c>
    </row>
    <row r="1001" spans="3:31" s="29" customFormat="1" x14ac:dyDescent="0.25">
      <c r="C1001" s="990"/>
      <c r="D1001" s="990"/>
      <c r="E1001" s="990"/>
      <c r="F1001" s="991"/>
      <c r="G1001" s="991"/>
      <c r="H1001" s="991"/>
      <c r="I1001" s="991"/>
      <c r="J1001" s="991"/>
      <c r="Q1001" s="114" t="s">
        <v>1684</v>
      </c>
      <c r="R1001" s="114">
        <f>$AL$29</f>
        <v>69.543532482306858</v>
      </c>
      <c r="AA1001" s="114" t="s">
        <v>1684</v>
      </c>
      <c r="AB1001" s="114">
        <f>$AO$29</f>
        <v>1547.3435977313275</v>
      </c>
    </row>
    <row r="1002" spans="3:31" s="29" customFormat="1" x14ac:dyDescent="0.25">
      <c r="C1002" s="990"/>
      <c r="D1002" s="990"/>
      <c r="E1002" s="990"/>
      <c r="F1002" s="991"/>
      <c r="G1002" s="991"/>
      <c r="H1002" s="991"/>
      <c r="I1002" s="991"/>
      <c r="J1002" s="991"/>
      <c r="Q1002" s="114" t="s">
        <v>1685</v>
      </c>
      <c r="R1002" s="114">
        <v>0.6</v>
      </c>
      <c r="AA1002" s="114" t="s">
        <v>1685</v>
      </c>
      <c r="AB1002" s="114">
        <v>0.6</v>
      </c>
    </row>
    <row r="1003" spans="3:31" s="29" customFormat="1" x14ac:dyDescent="0.25">
      <c r="C1003" s="990" t="s">
        <v>7</v>
      </c>
      <c r="D1003" s="990"/>
      <c r="E1003" s="990"/>
      <c r="F1003" s="991" t="s">
        <v>603</v>
      </c>
      <c r="G1003" s="991"/>
      <c r="H1003" s="991"/>
      <c r="I1003" s="991"/>
      <c r="J1003" s="991"/>
      <c r="Q1003" s="114" t="s">
        <v>1708</v>
      </c>
      <c r="R1003" s="114">
        <f>(SUM(R998:R1001)*R1002)+SUM(R998:R1001)</f>
        <v>24526.861448524389</v>
      </c>
      <c r="AA1003" s="114" t="s">
        <v>1708</v>
      </c>
      <c r="AB1003" s="114">
        <f>(SUM(AB998:AB1001)*AB1002)+SUM(AB998:AB1001)</f>
        <v>12840.215595523146</v>
      </c>
    </row>
    <row r="1004" spans="3:31" s="29" customFormat="1" x14ac:dyDescent="0.25">
      <c r="C1004" s="990"/>
      <c r="D1004" s="990"/>
      <c r="E1004" s="990"/>
      <c r="F1004" s="991"/>
      <c r="G1004" s="991"/>
      <c r="H1004" s="991"/>
      <c r="I1004" s="991"/>
      <c r="J1004" s="991"/>
      <c r="Q1004" s="114" t="s">
        <v>2130</v>
      </c>
      <c r="R1004" s="114">
        <f>R1003*0.08</f>
        <v>1962.1489158819511</v>
      </c>
      <c r="AA1004" s="114" t="s">
        <v>2130</v>
      </c>
      <c r="AB1004" s="114">
        <f>AB1003*0.08</f>
        <v>1027.2172476418518</v>
      </c>
    </row>
    <row r="1005" spans="3:31" s="29" customFormat="1" x14ac:dyDescent="0.25">
      <c r="C1005" s="990"/>
      <c r="D1005" s="990"/>
      <c r="E1005" s="990"/>
      <c r="F1005" s="991"/>
      <c r="G1005" s="991"/>
      <c r="H1005" s="991"/>
      <c r="I1005" s="991"/>
      <c r="J1005" s="991"/>
      <c r="Q1005" s="114" t="s">
        <v>1686</v>
      </c>
      <c r="R1005" s="114">
        <f>SUM(R1003+R1004)</f>
        <v>26489.010364406338</v>
      </c>
      <c r="AA1005" s="114" t="s">
        <v>1686</v>
      </c>
      <c r="AB1005" s="114">
        <f>SUM(AB1003+AB1004)</f>
        <v>13867.432843164999</v>
      </c>
    </row>
    <row r="1006" spans="3:31" s="29" customFormat="1" x14ac:dyDescent="0.25"/>
    <row r="1007" spans="3:31" s="29" customFormat="1" x14ac:dyDescent="0.25"/>
    <row r="1008" spans="3:31" s="29" customFormat="1" x14ac:dyDescent="0.25">
      <c r="C1008" s="993" t="s">
        <v>8</v>
      </c>
      <c r="D1008" s="993"/>
      <c r="E1008" s="993"/>
      <c r="F1008" s="993"/>
      <c r="G1008" s="993"/>
      <c r="H1008" s="993"/>
      <c r="I1008" s="993"/>
      <c r="J1008" s="993"/>
    </row>
    <row r="1009" spans="3:31" s="29" customFormat="1" x14ac:dyDescent="0.25">
      <c r="C1009" s="989" t="s">
        <v>0</v>
      </c>
      <c r="D1009" s="989"/>
      <c r="E1009" s="989"/>
      <c r="F1009" s="989" t="s">
        <v>1</v>
      </c>
      <c r="G1009" s="989"/>
      <c r="H1009" s="989"/>
      <c r="I1009" s="989"/>
      <c r="J1009" s="989"/>
    </row>
    <row r="1010" spans="3:31" s="29" customFormat="1" x14ac:dyDescent="0.25">
      <c r="C1010" s="990" t="s">
        <v>2</v>
      </c>
      <c r="D1010" s="990"/>
      <c r="E1010" s="990"/>
      <c r="F1010" s="991" t="s">
        <v>107</v>
      </c>
      <c r="G1010" s="991"/>
      <c r="H1010" s="991"/>
      <c r="I1010" s="991"/>
      <c r="J1010" s="991"/>
      <c r="M1010" s="113" t="s">
        <v>336</v>
      </c>
      <c r="N1010" s="113" t="s">
        <v>174</v>
      </c>
      <c r="O1010" s="113" t="s">
        <v>248</v>
      </c>
      <c r="P1010" s="113" t="s">
        <v>176</v>
      </c>
      <c r="Q1010" s="113" t="s">
        <v>337</v>
      </c>
      <c r="R1010" s="113" t="s">
        <v>1641</v>
      </c>
      <c r="S1010" s="113" t="s">
        <v>1642</v>
      </c>
      <c r="T1010" s="113" t="s">
        <v>1643</v>
      </c>
      <c r="U1010" s="113" t="s">
        <v>1644</v>
      </c>
      <c r="W1010" s="994" t="s">
        <v>1469</v>
      </c>
      <c r="X1010" s="994"/>
      <c r="Y1010" s="994"/>
      <c r="Z1010" s="994"/>
      <c r="AA1010" s="994"/>
      <c r="AB1010" s="994"/>
      <c r="AC1010" s="994"/>
      <c r="AD1010" s="994"/>
      <c r="AE1010" s="994"/>
    </row>
    <row r="1011" spans="3:31" s="29" customFormat="1" x14ac:dyDescent="0.25">
      <c r="C1011" s="990"/>
      <c r="D1011" s="990"/>
      <c r="E1011" s="990"/>
      <c r="F1011" s="991"/>
      <c r="G1011" s="991"/>
      <c r="H1011" s="991"/>
      <c r="I1011" s="991"/>
      <c r="J1011" s="991"/>
      <c r="M1011" s="114" t="s">
        <v>344</v>
      </c>
      <c r="N1011" s="114">
        <f>E21</f>
        <v>2099.0723984875517</v>
      </c>
      <c r="O1011" s="114" t="str">
        <f>D21</f>
        <v>g</v>
      </c>
      <c r="P1011" s="114">
        <v>100</v>
      </c>
      <c r="Q1011" s="114">
        <f>N1011</f>
        <v>2099.0723984875517</v>
      </c>
      <c r="R1011" s="114">
        <v>0</v>
      </c>
      <c r="S1011" s="114">
        <f>P1011*R1011</f>
        <v>0</v>
      </c>
      <c r="T1011" s="114">
        <f>P1011-S1011</f>
        <v>100</v>
      </c>
      <c r="U1011" s="114">
        <f>Q1011+((S1011*Q1011)/P1011)</f>
        <v>2099.0723984875517</v>
      </c>
      <c r="W1011" s="113" t="s">
        <v>336</v>
      </c>
      <c r="X1011" s="113" t="s">
        <v>174</v>
      </c>
      <c r="Y1011" s="113" t="s">
        <v>248</v>
      </c>
      <c r="Z1011" s="113" t="s">
        <v>176</v>
      </c>
      <c r="AA1011" s="113" t="s">
        <v>337</v>
      </c>
      <c r="AB1011" s="113" t="s">
        <v>1641</v>
      </c>
      <c r="AC1011" s="113" t="s">
        <v>1642</v>
      </c>
      <c r="AD1011" s="113" t="s">
        <v>1643</v>
      </c>
      <c r="AE1011" s="113" t="s">
        <v>1644</v>
      </c>
    </row>
    <row r="1012" spans="3:31" s="29" customFormat="1" x14ac:dyDescent="0.25">
      <c r="C1012" s="990"/>
      <c r="D1012" s="990"/>
      <c r="E1012" s="990"/>
      <c r="F1012" s="991"/>
      <c r="G1012" s="991"/>
      <c r="H1012" s="991"/>
      <c r="I1012" s="991"/>
      <c r="J1012" s="991"/>
      <c r="M1012" s="114" t="s">
        <v>340</v>
      </c>
      <c r="N1012" s="114">
        <f>Y20</f>
        <v>0.64</v>
      </c>
      <c r="O1012" s="114" t="str">
        <f>X20</f>
        <v>g</v>
      </c>
      <c r="P1012" s="114">
        <v>2</v>
      </c>
      <c r="Q1012" s="114">
        <f t="shared" ref="Q1012:Q1016" si="220">N1012*P1012</f>
        <v>1.28</v>
      </c>
      <c r="R1012" s="114">
        <v>0</v>
      </c>
      <c r="S1012" s="114">
        <f t="shared" ref="S1012:S1016" si="221">P1012*R1012</f>
        <v>0</v>
      </c>
      <c r="T1012" s="114">
        <f t="shared" ref="T1012:T1016" si="222">P1012-S1012</f>
        <v>2</v>
      </c>
      <c r="U1012" s="114">
        <f t="shared" ref="U1012:U1016" si="223">Q1012+((S1012*Q1012)/P1012)</f>
        <v>1.28</v>
      </c>
      <c r="W1012" s="114" t="s">
        <v>462</v>
      </c>
      <c r="X1012" s="114">
        <f>V12</f>
        <v>25.98</v>
      </c>
      <c r="Y1012" s="114" t="str">
        <f>U12</f>
        <v>g</v>
      </c>
      <c r="Z1012" s="114">
        <v>15</v>
      </c>
      <c r="AA1012" s="114">
        <f>X1012*Z1012</f>
        <v>389.7</v>
      </c>
      <c r="AB1012" s="114">
        <v>0</v>
      </c>
      <c r="AC1012" s="114">
        <f>Z1012*AB1012</f>
        <v>0</v>
      </c>
      <c r="AD1012" s="114">
        <f>Z1012-AC1012</f>
        <v>15</v>
      </c>
      <c r="AE1012" s="114">
        <f>AA1012+((AC1012*AA1012)/Z1012)</f>
        <v>389.7</v>
      </c>
    </row>
    <row r="1013" spans="3:31" s="29" customFormat="1" x14ac:dyDescent="0.25">
      <c r="C1013" s="989" t="s">
        <v>0</v>
      </c>
      <c r="D1013" s="989"/>
      <c r="E1013" s="989"/>
      <c r="F1013" s="989" t="s">
        <v>1</v>
      </c>
      <c r="G1013" s="989"/>
      <c r="H1013" s="989"/>
      <c r="I1013" s="989"/>
      <c r="J1013" s="989"/>
      <c r="M1013" s="114" t="s">
        <v>346</v>
      </c>
      <c r="N1013" s="114">
        <f>P3</f>
        <v>7</v>
      </c>
      <c r="O1013" s="114" t="str">
        <f>O3</f>
        <v>g</v>
      </c>
      <c r="P1013" s="114">
        <v>8</v>
      </c>
      <c r="Q1013" s="114">
        <f t="shared" si="220"/>
        <v>56</v>
      </c>
      <c r="R1013" s="114">
        <f>AJ2</f>
        <v>0.23</v>
      </c>
      <c r="S1013" s="114">
        <f t="shared" si="221"/>
        <v>1.84</v>
      </c>
      <c r="T1013" s="114">
        <f t="shared" si="222"/>
        <v>6.16</v>
      </c>
      <c r="U1013" s="114">
        <f t="shared" si="223"/>
        <v>68.88</v>
      </c>
      <c r="W1013" s="114" t="s">
        <v>576</v>
      </c>
      <c r="X1013" s="114">
        <f>V9</f>
        <v>19.36</v>
      </c>
      <c r="Y1013" s="114" t="str">
        <f>U9</f>
        <v>g</v>
      </c>
      <c r="Z1013" s="114">
        <v>15</v>
      </c>
      <c r="AA1013" s="114">
        <f t="shared" ref="AA1013:AA1019" si="224">X1013*Z1013</f>
        <v>290.39999999999998</v>
      </c>
      <c r="AB1013" s="114">
        <v>0</v>
      </c>
      <c r="AC1013" s="114">
        <f t="shared" ref="AC1013:AC1020" si="225">Z1013*AB1013</f>
        <v>0</v>
      </c>
      <c r="AD1013" s="114">
        <f t="shared" ref="AD1013:AD1020" si="226">Z1013-AC1013</f>
        <v>15</v>
      </c>
      <c r="AE1013" s="114">
        <f t="shared" ref="AE1013:AE1020" si="227">AA1013+((AC1013*AA1013)/Z1013)</f>
        <v>290.39999999999998</v>
      </c>
    </row>
    <row r="1014" spans="3:31" s="29" customFormat="1" x14ac:dyDescent="0.25">
      <c r="C1014" s="990" t="s">
        <v>3</v>
      </c>
      <c r="D1014" s="990"/>
      <c r="E1014" s="990"/>
      <c r="F1014" s="991" t="s">
        <v>113</v>
      </c>
      <c r="G1014" s="991"/>
      <c r="H1014" s="991"/>
      <c r="I1014" s="991"/>
      <c r="J1014" s="991"/>
      <c r="M1014" s="114" t="s">
        <v>433</v>
      </c>
      <c r="N1014" s="114">
        <f>Y18</f>
        <v>223.57</v>
      </c>
      <c r="O1014" s="114" t="str">
        <f>X18</f>
        <v>g</v>
      </c>
      <c r="P1014" s="114">
        <v>10</v>
      </c>
      <c r="Q1014" s="114">
        <f t="shared" si="220"/>
        <v>2235.6999999999998</v>
      </c>
      <c r="R1014" s="114">
        <v>0</v>
      </c>
      <c r="S1014" s="114">
        <f t="shared" si="221"/>
        <v>0</v>
      </c>
      <c r="T1014" s="114">
        <f t="shared" si="222"/>
        <v>10</v>
      </c>
      <c r="U1014" s="114">
        <f t="shared" si="223"/>
        <v>2235.6999999999998</v>
      </c>
      <c r="W1014" s="114" t="s">
        <v>547</v>
      </c>
      <c r="X1014" s="114">
        <f>V13</f>
        <v>81.900000000000006</v>
      </c>
      <c r="Y1014" s="114" t="str">
        <f>U13</f>
        <v>g</v>
      </c>
      <c r="Z1014" s="114">
        <v>15</v>
      </c>
      <c r="AA1014" s="114">
        <f t="shared" si="224"/>
        <v>1228.5</v>
      </c>
      <c r="AB1014" s="114">
        <v>0</v>
      </c>
      <c r="AC1014" s="114">
        <f t="shared" si="225"/>
        <v>0</v>
      </c>
      <c r="AD1014" s="114">
        <f t="shared" si="226"/>
        <v>15</v>
      </c>
      <c r="AE1014" s="114">
        <f t="shared" si="227"/>
        <v>1228.5</v>
      </c>
    </row>
    <row r="1015" spans="3:31" s="29" customFormat="1" x14ac:dyDescent="0.25">
      <c r="C1015" s="990"/>
      <c r="D1015" s="990"/>
      <c r="E1015" s="990"/>
      <c r="F1015" s="991"/>
      <c r="G1015" s="991"/>
      <c r="H1015" s="991"/>
      <c r="I1015" s="991"/>
      <c r="J1015" s="991"/>
      <c r="M1015" s="114" t="s">
        <v>588</v>
      </c>
      <c r="N1015" s="114">
        <f>AE1021</f>
        <v>3567.1349999999993</v>
      </c>
      <c r="O1015" s="114" t="s">
        <v>1388</v>
      </c>
      <c r="P1015" s="114">
        <v>120</v>
      </c>
      <c r="Q1015" s="114">
        <f>N1015</f>
        <v>3567.1349999999993</v>
      </c>
      <c r="R1015" s="114">
        <v>0</v>
      </c>
      <c r="S1015" s="114">
        <f t="shared" si="221"/>
        <v>0</v>
      </c>
      <c r="T1015" s="114">
        <f t="shared" si="222"/>
        <v>120</v>
      </c>
      <c r="U1015" s="114">
        <f t="shared" si="223"/>
        <v>3567.1349999999993</v>
      </c>
      <c r="W1015" s="114" t="s">
        <v>348</v>
      </c>
      <c r="X1015" s="114">
        <f>V2</f>
        <v>13.11</v>
      </c>
      <c r="Y1015" s="114" t="str">
        <f>U2</f>
        <v>g</v>
      </c>
      <c r="Z1015" s="114">
        <v>50</v>
      </c>
      <c r="AA1015" s="114">
        <f t="shared" si="224"/>
        <v>655.5</v>
      </c>
      <c r="AB1015" s="114">
        <v>0</v>
      </c>
      <c r="AC1015" s="114">
        <f t="shared" si="225"/>
        <v>0</v>
      </c>
      <c r="AD1015" s="114">
        <f t="shared" si="226"/>
        <v>50</v>
      </c>
      <c r="AE1015" s="114">
        <f t="shared" si="227"/>
        <v>655.5</v>
      </c>
    </row>
    <row r="1016" spans="3:31" s="29" customFormat="1" x14ac:dyDescent="0.25">
      <c r="C1016" s="990"/>
      <c r="D1016" s="990"/>
      <c r="E1016" s="990"/>
      <c r="F1016" s="991"/>
      <c r="G1016" s="991"/>
      <c r="H1016" s="991"/>
      <c r="I1016" s="991"/>
      <c r="J1016" s="991"/>
      <c r="M1016" s="114" t="s">
        <v>502</v>
      </c>
      <c r="N1016" s="114">
        <f>V10</f>
        <v>50.2</v>
      </c>
      <c r="O1016" s="114" t="str">
        <f>U10</f>
        <v>g</v>
      </c>
      <c r="P1016" s="114">
        <v>80</v>
      </c>
      <c r="Q1016" s="114">
        <f t="shared" si="220"/>
        <v>4016</v>
      </c>
      <c r="R1016" s="114">
        <v>0</v>
      </c>
      <c r="S1016" s="114">
        <f t="shared" si="221"/>
        <v>0</v>
      </c>
      <c r="T1016" s="114">
        <f t="shared" si="222"/>
        <v>80</v>
      </c>
      <c r="U1016" s="114">
        <f t="shared" si="223"/>
        <v>4016</v>
      </c>
      <c r="W1016" s="114" t="s">
        <v>346</v>
      </c>
      <c r="X1016" s="114">
        <f>P3</f>
        <v>7</v>
      </c>
      <c r="Y1016" s="114" t="str">
        <f>O3</f>
        <v>g</v>
      </c>
      <c r="Z1016" s="114">
        <v>4</v>
      </c>
      <c r="AA1016" s="114">
        <f t="shared" si="224"/>
        <v>28</v>
      </c>
      <c r="AB1016" s="114">
        <f>AJ2</f>
        <v>0.23</v>
      </c>
      <c r="AC1016" s="114">
        <f t="shared" si="225"/>
        <v>0.92</v>
      </c>
      <c r="AD1016" s="114">
        <f t="shared" si="226"/>
        <v>3.08</v>
      </c>
      <c r="AE1016" s="114">
        <f t="shared" si="227"/>
        <v>34.44</v>
      </c>
    </row>
    <row r="1017" spans="3:31" s="29" customFormat="1" x14ac:dyDescent="0.25">
      <c r="C1017" s="990" t="s">
        <v>4</v>
      </c>
      <c r="D1017" s="990"/>
      <c r="E1017" s="990"/>
      <c r="F1017" s="991" t="s">
        <v>15</v>
      </c>
      <c r="G1017" s="991"/>
      <c r="H1017" s="991"/>
      <c r="I1017" s="991"/>
      <c r="J1017" s="991"/>
      <c r="M1017" s="114"/>
      <c r="N1017" s="114"/>
      <c r="O1017" s="114"/>
      <c r="P1017" s="114"/>
      <c r="Q1017" s="114"/>
      <c r="R1017" s="114"/>
      <c r="S1017" s="114"/>
      <c r="T1017" s="114"/>
      <c r="U1017" s="114"/>
      <c r="W1017" s="114" t="s">
        <v>493</v>
      </c>
      <c r="X1017" s="114">
        <f>P10</f>
        <v>0.7</v>
      </c>
      <c r="Y1017" s="114" t="str">
        <f>O10</f>
        <v>g</v>
      </c>
      <c r="Z1017" s="114">
        <v>15</v>
      </c>
      <c r="AA1017" s="114">
        <f t="shared" si="224"/>
        <v>10.5</v>
      </c>
      <c r="AB1017" s="114">
        <f>AJ7</f>
        <v>0.15</v>
      </c>
      <c r="AC1017" s="114">
        <f t="shared" si="225"/>
        <v>2.25</v>
      </c>
      <c r="AD1017" s="114">
        <f t="shared" si="226"/>
        <v>12.75</v>
      </c>
      <c r="AE1017" s="114">
        <f t="shared" si="227"/>
        <v>12.074999999999999</v>
      </c>
    </row>
    <row r="1018" spans="3:31" s="29" customFormat="1" x14ac:dyDescent="0.25">
      <c r="C1018" s="990"/>
      <c r="D1018" s="990"/>
      <c r="E1018" s="990"/>
      <c r="F1018" s="991"/>
      <c r="G1018" s="991"/>
      <c r="H1018" s="991"/>
      <c r="I1018" s="991"/>
      <c r="J1018" s="991"/>
      <c r="M1018" s="114"/>
      <c r="N1018" s="114"/>
      <c r="O1018" s="114"/>
      <c r="P1018" s="114"/>
      <c r="Q1018" s="114"/>
      <c r="R1018" s="114"/>
      <c r="S1018" s="114"/>
      <c r="T1018" s="114"/>
      <c r="U1018" s="114"/>
      <c r="W1018" s="114" t="s">
        <v>354</v>
      </c>
      <c r="X1018" s="114">
        <f>V4</f>
        <v>3.08</v>
      </c>
      <c r="Y1018" s="114" t="str">
        <f>U4</f>
        <v>mL</v>
      </c>
      <c r="Z1018" s="114">
        <v>20</v>
      </c>
      <c r="AA1018" s="114">
        <f t="shared" si="224"/>
        <v>61.6</v>
      </c>
      <c r="AB1018" s="114">
        <v>0</v>
      </c>
      <c r="AC1018" s="114">
        <f t="shared" si="225"/>
        <v>0</v>
      </c>
      <c r="AD1018" s="114">
        <f t="shared" si="226"/>
        <v>20</v>
      </c>
      <c r="AE1018" s="114">
        <f t="shared" si="227"/>
        <v>61.6</v>
      </c>
    </row>
    <row r="1019" spans="3:31" s="29" customFormat="1" x14ac:dyDescent="0.25">
      <c r="C1019" s="990"/>
      <c r="D1019" s="990"/>
      <c r="E1019" s="990"/>
      <c r="F1019" s="991"/>
      <c r="G1019" s="991"/>
      <c r="H1019" s="991"/>
      <c r="I1019" s="991"/>
      <c r="J1019" s="991"/>
      <c r="M1019" s="114" t="s">
        <v>337</v>
      </c>
      <c r="N1019" s="114">
        <f>SUM(N1011:N1018)</f>
        <v>5947.6173984875504</v>
      </c>
      <c r="O1019" s="114"/>
      <c r="P1019" s="114">
        <f>SUM(P1011:P1018)</f>
        <v>320</v>
      </c>
      <c r="Q1019" s="114">
        <f>SUM(Q1011:Q1018)</f>
        <v>11975.187398487551</v>
      </c>
      <c r="R1019" s="114"/>
      <c r="S1019" s="114"/>
      <c r="T1019" s="114"/>
      <c r="U1019" s="114">
        <f>SUM(U1011:U1018)</f>
        <v>11988.06739848755</v>
      </c>
      <c r="W1019" s="114" t="s">
        <v>340</v>
      </c>
      <c r="X1019" s="114">
        <f>Y20</f>
        <v>0.64</v>
      </c>
      <c r="Y1019" s="114" t="str">
        <f>X20</f>
        <v>g</v>
      </c>
      <c r="Z1019" s="114">
        <v>1</v>
      </c>
      <c r="AA1019" s="114">
        <f t="shared" si="224"/>
        <v>0.64</v>
      </c>
      <c r="AB1019" s="114">
        <v>0</v>
      </c>
      <c r="AC1019" s="114">
        <f t="shared" si="225"/>
        <v>0</v>
      </c>
      <c r="AD1019" s="114">
        <f t="shared" si="226"/>
        <v>1</v>
      </c>
      <c r="AE1019" s="114">
        <f t="shared" si="227"/>
        <v>0.64</v>
      </c>
    </row>
    <row r="1020" spans="3:31" s="29" customFormat="1" x14ac:dyDescent="0.25">
      <c r="C1020" s="990" t="s">
        <v>5</v>
      </c>
      <c r="D1020" s="990"/>
      <c r="E1020" s="990"/>
      <c r="F1020" s="991" t="s">
        <v>605</v>
      </c>
      <c r="G1020" s="991"/>
      <c r="H1020" s="991"/>
      <c r="I1020" s="991"/>
      <c r="J1020" s="991"/>
      <c r="W1020" s="114" t="s">
        <v>433</v>
      </c>
      <c r="X1020" s="114">
        <f>Y18</f>
        <v>223.57</v>
      </c>
      <c r="Y1020" s="114" t="str">
        <f>X18</f>
        <v>g</v>
      </c>
      <c r="Z1020" s="114">
        <v>4</v>
      </c>
      <c r="AA1020" s="114">
        <f>X1020*Z1020</f>
        <v>894.28</v>
      </c>
      <c r="AB1020" s="114">
        <v>0</v>
      </c>
      <c r="AC1020" s="114">
        <f t="shared" si="225"/>
        <v>0</v>
      </c>
      <c r="AD1020" s="114">
        <f t="shared" si="226"/>
        <v>4</v>
      </c>
      <c r="AE1020" s="114">
        <f t="shared" si="227"/>
        <v>894.28</v>
      </c>
    </row>
    <row r="1021" spans="3:31" s="29" customFormat="1" x14ac:dyDescent="0.25">
      <c r="C1021" s="990"/>
      <c r="D1021" s="990"/>
      <c r="E1021" s="990"/>
      <c r="F1021" s="991"/>
      <c r="G1021" s="991"/>
      <c r="H1021" s="991"/>
      <c r="I1021" s="991"/>
      <c r="J1021" s="991"/>
      <c r="Q1021" s="114" t="s">
        <v>1681</v>
      </c>
      <c r="R1021" s="114">
        <f>U1019</f>
        <v>11988.06739848755</v>
      </c>
      <c r="S1021" s="608" t="s">
        <v>2142</v>
      </c>
      <c r="T1021" s="608">
        <f>(R1021*100)/R1028</f>
        <v>49.785257574822495</v>
      </c>
      <c r="W1021" s="114" t="s">
        <v>337</v>
      </c>
      <c r="X1021" s="114">
        <f>SUM(X1012:X1020)</f>
        <v>375.34000000000003</v>
      </c>
      <c r="Y1021" s="114"/>
      <c r="Z1021" s="114">
        <f>SUM(Z1012:Z1020)</f>
        <v>139</v>
      </c>
      <c r="AA1021" s="114">
        <f>SUM(AA1012:AA1020)</f>
        <v>3559.12</v>
      </c>
      <c r="AB1021" s="114"/>
      <c r="AC1021" s="114"/>
      <c r="AD1021" s="114"/>
      <c r="AE1021" s="114">
        <f>SUM(AE1012:AE1020)</f>
        <v>3567.1349999999993</v>
      </c>
    </row>
    <row r="1022" spans="3:31" s="29" customFormat="1" x14ac:dyDescent="0.25">
      <c r="C1022" s="990"/>
      <c r="D1022" s="990"/>
      <c r="E1022" s="990"/>
      <c r="F1022" s="991"/>
      <c r="G1022" s="991"/>
      <c r="H1022" s="991"/>
      <c r="I1022" s="991"/>
      <c r="J1022" s="991"/>
      <c r="Q1022" s="114" t="s">
        <v>2326</v>
      </c>
      <c r="R1022" s="114">
        <f>$AL$26</f>
        <v>1801.715474357886</v>
      </c>
    </row>
    <row r="1023" spans="3:31" s="29" customFormat="1" x14ac:dyDescent="0.25">
      <c r="C1023" s="990" t="s">
        <v>6</v>
      </c>
      <c r="D1023" s="990"/>
      <c r="E1023" s="990"/>
      <c r="F1023" s="991" t="s">
        <v>9</v>
      </c>
      <c r="G1023" s="991"/>
      <c r="H1023" s="991"/>
      <c r="I1023" s="991"/>
      <c r="J1023" s="991"/>
      <c r="Q1023" s="114" t="s">
        <v>2325</v>
      </c>
      <c r="R1023" s="114">
        <f>$AL$27</f>
        <v>75.599999999999994</v>
      </c>
      <c r="AA1023" s="114" t="s">
        <v>1681</v>
      </c>
      <c r="AB1023" s="114">
        <f>AE1021</f>
        <v>3567.1349999999993</v>
      </c>
      <c r="AC1023" s="608" t="s">
        <v>2142</v>
      </c>
      <c r="AD1023" s="608">
        <f>(AB1023*100)/AB1030</f>
        <v>36.79538746521996</v>
      </c>
    </row>
    <row r="1024" spans="3:31" s="29" customFormat="1" x14ac:dyDescent="0.25">
      <c r="C1024" s="990"/>
      <c r="D1024" s="990"/>
      <c r="E1024" s="990"/>
      <c r="F1024" s="991"/>
      <c r="G1024" s="991"/>
      <c r="H1024" s="991"/>
      <c r="I1024" s="991"/>
      <c r="J1024" s="991"/>
      <c r="Q1024" s="114" t="s">
        <v>1684</v>
      </c>
      <c r="R1024" s="114">
        <f>$AL$29</f>
        <v>69.543532482306858</v>
      </c>
      <c r="AA1024" s="114" t="s">
        <v>2326</v>
      </c>
      <c r="AB1024" s="114">
        <f>$AO$26/2</f>
        <v>476.87414947063905</v>
      </c>
    </row>
    <row r="1025" spans="3:31" s="29" customFormat="1" x14ac:dyDescent="0.25">
      <c r="C1025" s="990"/>
      <c r="D1025" s="990"/>
      <c r="E1025" s="990"/>
      <c r="F1025" s="991"/>
      <c r="G1025" s="991"/>
      <c r="H1025" s="991"/>
      <c r="I1025" s="991"/>
      <c r="J1025" s="991"/>
      <c r="Q1025" s="114" t="s">
        <v>1685</v>
      </c>
      <c r="R1025" s="114">
        <v>0.6</v>
      </c>
      <c r="AA1025" s="114" t="s">
        <v>2325</v>
      </c>
      <c r="AB1025" s="114">
        <f>$AO$27/4</f>
        <v>18.899999999999999</v>
      </c>
    </row>
    <row r="1026" spans="3:31" s="29" customFormat="1" x14ac:dyDescent="0.25">
      <c r="C1026" s="990" t="s">
        <v>7</v>
      </c>
      <c r="D1026" s="990"/>
      <c r="E1026" s="990"/>
      <c r="F1026" s="991" t="s">
        <v>606</v>
      </c>
      <c r="G1026" s="991"/>
      <c r="H1026" s="991"/>
      <c r="I1026" s="991"/>
      <c r="J1026" s="991"/>
      <c r="Q1026" s="114" t="s">
        <v>1708</v>
      </c>
      <c r="R1026" s="114">
        <f>(SUM(R1021:R1024)*R1025)+SUM(R1021:R1024)</f>
        <v>22295.882248524387</v>
      </c>
      <c r="AA1026" s="114" t="s">
        <v>1684</v>
      </c>
      <c r="AB1026" s="114">
        <f>$AO$29</f>
        <v>1547.3435977313275</v>
      </c>
    </row>
    <row r="1027" spans="3:31" s="29" customFormat="1" x14ac:dyDescent="0.25">
      <c r="C1027" s="990"/>
      <c r="D1027" s="990"/>
      <c r="E1027" s="990"/>
      <c r="F1027" s="991"/>
      <c r="G1027" s="991"/>
      <c r="H1027" s="991"/>
      <c r="I1027" s="991"/>
      <c r="J1027" s="991"/>
      <c r="Q1027" s="114" t="s">
        <v>2130</v>
      </c>
      <c r="R1027" s="114">
        <f>R1026*0.08</f>
        <v>1783.670579881951</v>
      </c>
      <c r="AA1027" s="114" t="s">
        <v>1685</v>
      </c>
      <c r="AB1027" s="114">
        <v>0.6</v>
      </c>
    </row>
    <row r="1028" spans="3:31" s="29" customFormat="1" x14ac:dyDescent="0.25">
      <c r="C1028" s="990"/>
      <c r="D1028" s="990"/>
      <c r="E1028" s="990"/>
      <c r="F1028" s="991"/>
      <c r="G1028" s="991"/>
      <c r="H1028" s="991"/>
      <c r="I1028" s="991"/>
      <c r="J1028" s="991"/>
      <c r="Q1028" s="114" t="s">
        <v>1686</v>
      </c>
      <c r="R1028" s="114">
        <f>SUM(R1026+R1027)</f>
        <v>24079.552828406337</v>
      </c>
      <c r="AA1028" s="114" t="s">
        <v>1708</v>
      </c>
      <c r="AB1028" s="114">
        <f>(SUM(AB1023:AB1026)*AB1027)+SUM(AB1023:AB1026)</f>
        <v>8976.4043955231464</v>
      </c>
    </row>
    <row r="1029" spans="3:31" s="29" customFormat="1" x14ac:dyDescent="0.25">
      <c r="AA1029" s="114" t="s">
        <v>2130</v>
      </c>
      <c r="AB1029" s="114">
        <f>AB1028*0.08</f>
        <v>718.11235164185177</v>
      </c>
    </row>
    <row r="1030" spans="3:31" s="29" customFormat="1" x14ac:dyDescent="0.25">
      <c r="AA1030" s="114" t="s">
        <v>1686</v>
      </c>
      <c r="AB1030" s="114">
        <f>SUM(AB1028+AB1029)</f>
        <v>9694.5167471649984</v>
      </c>
    </row>
    <row r="1031" spans="3:31" s="29" customFormat="1" x14ac:dyDescent="0.25"/>
    <row r="1032" spans="3:31" s="29" customFormat="1" x14ac:dyDescent="0.25"/>
    <row r="1033" spans="3:31" s="29" customFormat="1" x14ac:dyDescent="0.25">
      <c r="C1033" s="993" t="s">
        <v>8</v>
      </c>
      <c r="D1033" s="993"/>
      <c r="E1033" s="993"/>
      <c r="F1033" s="993"/>
      <c r="G1033" s="993"/>
      <c r="H1033" s="993"/>
      <c r="I1033" s="993"/>
      <c r="J1033" s="993"/>
    </row>
    <row r="1034" spans="3:31" s="29" customFormat="1" x14ac:dyDescent="0.25">
      <c r="C1034" s="989" t="s">
        <v>0</v>
      </c>
      <c r="D1034" s="989"/>
      <c r="E1034" s="989"/>
      <c r="F1034" s="989" t="s">
        <v>1</v>
      </c>
      <c r="G1034" s="989"/>
      <c r="H1034" s="989"/>
      <c r="I1034" s="989"/>
      <c r="J1034" s="989"/>
    </row>
    <row r="1035" spans="3:31" s="29" customFormat="1" x14ac:dyDescent="0.25">
      <c r="C1035" s="990" t="s">
        <v>2</v>
      </c>
      <c r="D1035" s="990"/>
      <c r="E1035" s="990"/>
      <c r="F1035" s="991" t="s">
        <v>109</v>
      </c>
      <c r="G1035" s="991"/>
      <c r="H1035" s="991"/>
      <c r="I1035" s="991"/>
      <c r="J1035" s="991"/>
      <c r="M1035" s="113" t="s">
        <v>336</v>
      </c>
      <c r="N1035" s="113" t="s">
        <v>174</v>
      </c>
      <c r="O1035" s="113" t="s">
        <v>248</v>
      </c>
      <c r="P1035" s="113" t="s">
        <v>176</v>
      </c>
      <c r="Q1035" s="113" t="s">
        <v>337</v>
      </c>
      <c r="R1035" s="113" t="s">
        <v>1641</v>
      </c>
      <c r="S1035" s="113" t="s">
        <v>1642</v>
      </c>
      <c r="T1035" s="113" t="s">
        <v>1643</v>
      </c>
      <c r="U1035" s="113" t="s">
        <v>1644</v>
      </c>
      <c r="W1035" s="994" t="s">
        <v>1470</v>
      </c>
      <c r="X1035" s="994"/>
      <c r="Y1035" s="994"/>
      <c r="Z1035" s="994"/>
      <c r="AA1035" s="994"/>
      <c r="AB1035" s="994"/>
      <c r="AC1035" s="994"/>
      <c r="AD1035" s="994"/>
      <c r="AE1035" s="994"/>
    </row>
    <row r="1036" spans="3:31" s="29" customFormat="1" x14ac:dyDescent="0.25">
      <c r="C1036" s="990"/>
      <c r="D1036" s="990"/>
      <c r="E1036" s="990"/>
      <c r="F1036" s="991"/>
      <c r="G1036" s="991"/>
      <c r="H1036" s="991"/>
      <c r="I1036" s="991"/>
      <c r="J1036" s="991"/>
      <c r="M1036" s="114" t="s">
        <v>344</v>
      </c>
      <c r="N1036" s="114">
        <f>E21</f>
        <v>2099.0723984875517</v>
      </c>
      <c r="O1036" s="114" t="str">
        <f>D21</f>
        <v>g</v>
      </c>
      <c r="P1036" s="114">
        <v>100</v>
      </c>
      <c r="Q1036" s="114">
        <f>N1036</f>
        <v>2099.0723984875517</v>
      </c>
      <c r="R1036" s="114">
        <v>0</v>
      </c>
      <c r="S1036" s="114">
        <f>P1036*R1036</f>
        <v>0</v>
      </c>
      <c r="T1036" s="114">
        <f>P1036-S1036</f>
        <v>100</v>
      </c>
      <c r="U1036" s="114">
        <f>Q1036+((S1036*Q1036)/P1036)</f>
        <v>2099.0723984875517</v>
      </c>
      <c r="W1036" s="113" t="s">
        <v>336</v>
      </c>
      <c r="X1036" s="113" t="s">
        <v>174</v>
      </c>
      <c r="Y1036" s="113" t="s">
        <v>248</v>
      </c>
      <c r="Z1036" s="113" t="s">
        <v>176</v>
      </c>
      <c r="AA1036" s="113" t="s">
        <v>337</v>
      </c>
      <c r="AB1036" s="113" t="s">
        <v>1641</v>
      </c>
      <c r="AC1036" s="113" t="s">
        <v>1642</v>
      </c>
      <c r="AD1036" s="113" t="s">
        <v>1643</v>
      </c>
      <c r="AE1036" s="113" t="s">
        <v>1644</v>
      </c>
    </row>
    <row r="1037" spans="3:31" s="29" customFormat="1" x14ac:dyDescent="0.25">
      <c r="C1037" s="990"/>
      <c r="D1037" s="990"/>
      <c r="E1037" s="990"/>
      <c r="F1037" s="991"/>
      <c r="G1037" s="991"/>
      <c r="H1037" s="991"/>
      <c r="I1037" s="991"/>
      <c r="J1037" s="991"/>
      <c r="M1037" s="114" t="s">
        <v>340</v>
      </c>
      <c r="N1037" s="114">
        <f>Y20</f>
        <v>0.64</v>
      </c>
      <c r="O1037" s="114" t="str">
        <f>X20</f>
        <v>g</v>
      </c>
      <c r="P1037" s="114">
        <v>2</v>
      </c>
      <c r="Q1037" s="114">
        <f t="shared" ref="Q1037:Q1043" si="228">N1037*P1037</f>
        <v>1.28</v>
      </c>
      <c r="R1037" s="114">
        <v>0</v>
      </c>
      <c r="S1037" s="114">
        <f t="shared" ref="S1037:S1042" si="229">P1037*R1037</f>
        <v>0</v>
      </c>
      <c r="T1037" s="114">
        <f t="shared" ref="T1037:T1042" si="230">P1037-S1037</f>
        <v>2</v>
      </c>
      <c r="U1037" s="114">
        <f t="shared" ref="U1037:U1042" si="231">Q1037+((S1037*Q1037)/P1037)</f>
        <v>1.28</v>
      </c>
      <c r="W1037" s="114" t="s">
        <v>550</v>
      </c>
      <c r="X1037" s="114">
        <f>AE5</f>
        <v>2.04</v>
      </c>
      <c r="Y1037" s="114" t="str">
        <f>AD5</f>
        <v>g</v>
      </c>
      <c r="Z1037" s="114">
        <v>10</v>
      </c>
      <c r="AA1037" s="114">
        <f>X1037*Z1037</f>
        <v>20.399999999999999</v>
      </c>
      <c r="AB1037" s="114">
        <v>0</v>
      </c>
      <c r="AC1037" s="114">
        <f>Z1037*AB1037</f>
        <v>0</v>
      </c>
      <c r="AD1037" s="114">
        <f>Z1037-AC1037</f>
        <v>10</v>
      </c>
      <c r="AE1037" s="114">
        <f>AA1037+((AC1037*AA1037)/Z1037)</f>
        <v>20.399999999999999</v>
      </c>
    </row>
    <row r="1038" spans="3:31" s="29" customFormat="1" x14ac:dyDescent="0.25">
      <c r="C1038" s="989" t="s">
        <v>0</v>
      </c>
      <c r="D1038" s="989"/>
      <c r="E1038" s="989"/>
      <c r="F1038" s="989" t="s">
        <v>1</v>
      </c>
      <c r="G1038" s="989"/>
      <c r="H1038" s="989"/>
      <c r="I1038" s="989"/>
      <c r="J1038" s="989"/>
      <c r="M1038" s="114" t="s">
        <v>346</v>
      </c>
      <c r="N1038" s="114">
        <f>P3</f>
        <v>7</v>
      </c>
      <c r="O1038" s="114" t="str">
        <f>O3</f>
        <v>g</v>
      </c>
      <c r="P1038" s="114">
        <v>6</v>
      </c>
      <c r="Q1038" s="114">
        <f t="shared" si="228"/>
        <v>42</v>
      </c>
      <c r="R1038" s="114">
        <f>AJ2</f>
        <v>0.23</v>
      </c>
      <c r="S1038" s="114">
        <f t="shared" si="229"/>
        <v>1.3800000000000001</v>
      </c>
      <c r="T1038" s="114">
        <f t="shared" si="230"/>
        <v>4.62</v>
      </c>
      <c r="U1038" s="114">
        <f t="shared" si="231"/>
        <v>51.660000000000004</v>
      </c>
      <c r="W1038" s="114" t="s">
        <v>551</v>
      </c>
      <c r="X1038" s="114">
        <f>V4</f>
        <v>3.08</v>
      </c>
      <c r="Y1038" s="114" t="str">
        <f>U4</f>
        <v>mL</v>
      </c>
      <c r="Z1038" s="114">
        <v>60</v>
      </c>
      <c r="AA1038" s="114">
        <f>X1038*Z1038</f>
        <v>184.8</v>
      </c>
      <c r="AB1038" s="114">
        <v>0</v>
      </c>
      <c r="AC1038" s="114">
        <f t="shared" ref="AC1038:AC1043" si="232">Z1038*AB1038</f>
        <v>0</v>
      </c>
      <c r="AD1038" s="114">
        <f t="shared" ref="AD1038:AD1043" si="233">Z1038-AC1038</f>
        <v>60</v>
      </c>
      <c r="AE1038" s="114">
        <f t="shared" ref="AE1038:AE1043" si="234">AA1038+((AC1038*AA1038)/Z1038)</f>
        <v>184.8</v>
      </c>
    </row>
    <row r="1039" spans="3:31" s="29" customFormat="1" x14ac:dyDescent="0.25">
      <c r="C1039" s="990" t="s">
        <v>3</v>
      </c>
      <c r="D1039" s="990"/>
      <c r="E1039" s="990"/>
      <c r="F1039" s="991" t="s">
        <v>114</v>
      </c>
      <c r="G1039" s="991"/>
      <c r="H1039" s="991"/>
      <c r="I1039" s="991"/>
      <c r="J1039" s="991"/>
      <c r="M1039" s="114" t="s">
        <v>433</v>
      </c>
      <c r="N1039" s="114">
        <f>Y18</f>
        <v>223.57</v>
      </c>
      <c r="O1039" s="114" t="str">
        <f>X18</f>
        <v>g</v>
      </c>
      <c r="P1039" s="114">
        <v>10</v>
      </c>
      <c r="Q1039" s="114">
        <f t="shared" si="228"/>
        <v>2235.6999999999998</v>
      </c>
      <c r="R1039" s="114">
        <v>0</v>
      </c>
      <c r="S1039" s="114">
        <f t="shared" si="229"/>
        <v>0</v>
      </c>
      <c r="T1039" s="114">
        <f t="shared" si="230"/>
        <v>10</v>
      </c>
      <c r="U1039" s="114">
        <f t="shared" si="231"/>
        <v>2235.6999999999998</v>
      </c>
      <c r="W1039" s="114" t="s">
        <v>797</v>
      </c>
      <c r="X1039" s="114">
        <f>Y20</f>
        <v>0.64</v>
      </c>
      <c r="Y1039" s="114" t="str">
        <f>X20</f>
        <v>g</v>
      </c>
      <c r="Z1039" s="114">
        <v>6</v>
      </c>
      <c r="AA1039" s="114">
        <f>X1039*Z1039</f>
        <v>3.84</v>
      </c>
      <c r="AB1039" s="114">
        <v>0</v>
      </c>
      <c r="AC1039" s="114">
        <f t="shared" si="232"/>
        <v>0</v>
      </c>
      <c r="AD1039" s="114">
        <f t="shared" si="233"/>
        <v>6</v>
      </c>
      <c r="AE1039" s="114">
        <f t="shared" si="234"/>
        <v>3.84</v>
      </c>
    </row>
    <row r="1040" spans="3:31" s="29" customFormat="1" x14ac:dyDescent="0.25">
      <c r="C1040" s="990"/>
      <c r="D1040" s="990"/>
      <c r="E1040" s="990"/>
      <c r="F1040" s="991"/>
      <c r="G1040" s="991"/>
      <c r="H1040" s="991"/>
      <c r="I1040" s="991"/>
      <c r="J1040" s="991"/>
      <c r="M1040" s="114" t="s">
        <v>503</v>
      </c>
      <c r="N1040" s="114">
        <f>AE1044</f>
        <v>2861.2690000000002</v>
      </c>
      <c r="O1040" s="114" t="s">
        <v>1388</v>
      </c>
      <c r="P1040" s="114">
        <v>120</v>
      </c>
      <c r="Q1040" s="114">
        <f>N1040</f>
        <v>2861.2690000000002</v>
      </c>
      <c r="R1040" s="114">
        <v>0</v>
      </c>
      <c r="S1040" s="114">
        <f t="shared" si="229"/>
        <v>0</v>
      </c>
      <c r="T1040" s="114">
        <f t="shared" si="230"/>
        <v>120</v>
      </c>
      <c r="U1040" s="114">
        <f t="shared" si="231"/>
        <v>2861.2690000000002</v>
      </c>
      <c r="W1040" s="114" t="s">
        <v>798</v>
      </c>
      <c r="X1040" s="114">
        <f>Y22</f>
        <v>172.22</v>
      </c>
      <c r="Y1040" s="114" t="str">
        <f>X22</f>
        <v>g</v>
      </c>
      <c r="Z1040" s="114">
        <v>1</v>
      </c>
      <c r="AA1040" s="114">
        <f>X1040*Z1040</f>
        <v>172.22</v>
      </c>
      <c r="AB1040" s="114">
        <v>0</v>
      </c>
      <c r="AC1040" s="114">
        <f t="shared" si="232"/>
        <v>0</v>
      </c>
      <c r="AD1040" s="114">
        <f t="shared" si="233"/>
        <v>1</v>
      </c>
      <c r="AE1040" s="114">
        <f t="shared" si="234"/>
        <v>172.22</v>
      </c>
    </row>
    <row r="1041" spans="3:31" s="29" customFormat="1" x14ac:dyDescent="0.25">
      <c r="C1041" s="990"/>
      <c r="D1041" s="990"/>
      <c r="E1041" s="990"/>
      <c r="F1041" s="991"/>
      <c r="G1041" s="991"/>
      <c r="H1041" s="991"/>
      <c r="I1041" s="991"/>
      <c r="J1041" s="991"/>
      <c r="M1041" s="114" t="s">
        <v>345</v>
      </c>
      <c r="N1041" s="114">
        <f>P23</f>
        <v>1.6</v>
      </c>
      <c r="O1041" s="114" t="str">
        <f>O23</f>
        <v>g</v>
      </c>
      <c r="P1041" s="114">
        <v>30</v>
      </c>
      <c r="Q1041" s="114">
        <f t="shared" si="228"/>
        <v>48</v>
      </c>
      <c r="R1041" s="114">
        <v>0</v>
      </c>
      <c r="S1041" s="114">
        <f t="shared" si="229"/>
        <v>0</v>
      </c>
      <c r="T1041" s="114">
        <f t="shared" si="230"/>
        <v>30</v>
      </c>
      <c r="U1041" s="114">
        <f t="shared" si="231"/>
        <v>48</v>
      </c>
      <c r="W1041" s="114" t="s">
        <v>493</v>
      </c>
      <c r="X1041" s="114">
        <f>P10</f>
        <v>0.7</v>
      </c>
      <c r="Y1041" s="114" t="str">
        <f>O10</f>
        <v>g</v>
      </c>
      <c r="Z1041" s="114">
        <v>25</v>
      </c>
      <c r="AA1041" s="114">
        <f>SUM(AA1037:AA1040)</f>
        <v>381.26</v>
      </c>
      <c r="AB1041" s="114">
        <f>AJ7</f>
        <v>0.15</v>
      </c>
      <c r="AC1041" s="114">
        <f t="shared" si="232"/>
        <v>3.75</v>
      </c>
      <c r="AD1041" s="114">
        <f t="shared" si="233"/>
        <v>21.25</v>
      </c>
      <c r="AE1041" s="114">
        <f t="shared" si="234"/>
        <v>438.44899999999996</v>
      </c>
    </row>
    <row r="1042" spans="3:31" s="29" customFormat="1" x14ac:dyDescent="0.25">
      <c r="C1042" s="990" t="s">
        <v>4</v>
      </c>
      <c r="D1042" s="990"/>
      <c r="E1042" s="990"/>
      <c r="F1042" s="991" t="s">
        <v>15</v>
      </c>
      <c r="G1042" s="991"/>
      <c r="H1042" s="991"/>
      <c r="I1042" s="991"/>
      <c r="J1042" s="991"/>
      <c r="M1042" s="114" t="s">
        <v>484</v>
      </c>
      <c r="N1042" s="114">
        <f>S7</f>
        <v>54</v>
      </c>
      <c r="O1042" s="114" t="str">
        <f>R7</f>
        <v>g</v>
      </c>
      <c r="P1042" s="114">
        <v>80</v>
      </c>
      <c r="Q1042" s="114">
        <f t="shared" si="228"/>
        <v>4320</v>
      </c>
      <c r="R1042" s="114">
        <f>AN2</f>
        <v>0.33</v>
      </c>
      <c r="S1042" s="114">
        <f t="shared" si="229"/>
        <v>26.400000000000002</v>
      </c>
      <c r="T1042" s="114">
        <f t="shared" si="230"/>
        <v>53.599999999999994</v>
      </c>
      <c r="U1042" s="114">
        <f t="shared" si="231"/>
        <v>5745.6</v>
      </c>
      <c r="W1042" s="114" t="s">
        <v>463</v>
      </c>
      <c r="X1042" s="114">
        <f>Y18+Y12</f>
        <v>309.89999999999998</v>
      </c>
      <c r="Y1042" s="114" t="str">
        <f>X12</f>
        <v>g</v>
      </c>
      <c r="Z1042" s="114">
        <v>10</v>
      </c>
      <c r="AA1042" s="114">
        <f>SUM(AA1038:AA1041)</f>
        <v>742.12</v>
      </c>
      <c r="AB1042" s="114">
        <v>0</v>
      </c>
      <c r="AC1042" s="114">
        <f t="shared" si="232"/>
        <v>0</v>
      </c>
      <c r="AD1042" s="114">
        <f t="shared" si="233"/>
        <v>10</v>
      </c>
      <c r="AE1042" s="114">
        <f t="shared" si="234"/>
        <v>742.12</v>
      </c>
    </row>
    <row r="1043" spans="3:31" s="29" customFormat="1" x14ac:dyDescent="0.25">
      <c r="C1043" s="990"/>
      <c r="D1043" s="990"/>
      <c r="E1043" s="990"/>
      <c r="F1043" s="991"/>
      <c r="G1043" s="991"/>
      <c r="H1043" s="991"/>
      <c r="I1043" s="991"/>
      <c r="J1043" s="991"/>
      <c r="M1043" s="114"/>
      <c r="N1043" s="114"/>
      <c r="O1043" s="114"/>
      <c r="P1043" s="114"/>
      <c r="Q1043" s="114">
        <f t="shared" si="228"/>
        <v>0</v>
      </c>
      <c r="R1043" s="114"/>
      <c r="S1043" s="114"/>
      <c r="T1043" s="114"/>
      <c r="U1043" s="114"/>
      <c r="W1043" s="114" t="s">
        <v>799</v>
      </c>
      <c r="X1043" s="114">
        <f>V12</f>
        <v>25.98</v>
      </c>
      <c r="Y1043" s="114" t="str">
        <f>U12</f>
        <v>g</v>
      </c>
      <c r="Z1043" s="114">
        <v>30</v>
      </c>
      <c r="AA1043" s="114">
        <f>SUM(AA1039:AA1042)</f>
        <v>1299.44</v>
      </c>
      <c r="AB1043" s="114">
        <v>0</v>
      </c>
      <c r="AC1043" s="114">
        <f t="shared" si="232"/>
        <v>0</v>
      </c>
      <c r="AD1043" s="114">
        <f t="shared" si="233"/>
        <v>30</v>
      </c>
      <c r="AE1043" s="114">
        <f t="shared" si="234"/>
        <v>1299.44</v>
      </c>
    </row>
    <row r="1044" spans="3:31" s="29" customFormat="1" x14ac:dyDescent="0.25">
      <c r="C1044" s="990"/>
      <c r="D1044" s="990"/>
      <c r="E1044" s="990"/>
      <c r="F1044" s="991"/>
      <c r="G1044" s="991"/>
      <c r="H1044" s="991"/>
      <c r="I1044" s="991"/>
      <c r="J1044" s="991"/>
      <c r="M1044" s="114" t="s">
        <v>337</v>
      </c>
      <c r="N1044" s="114">
        <f>SUM(N1036:N1043)</f>
        <v>5247.1513984875528</v>
      </c>
      <c r="O1044" s="114"/>
      <c r="P1044" s="114">
        <f>SUM(P1036:P1043)</f>
        <v>348</v>
      </c>
      <c r="Q1044" s="114">
        <f>SUM(Q1036:Q1043)</f>
        <v>11607.321398487551</v>
      </c>
      <c r="R1044" s="114"/>
      <c r="S1044" s="114"/>
      <c r="T1044" s="114"/>
      <c r="U1044" s="114">
        <f>SUM(U1036:U1043)</f>
        <v>13042.581398487553</v>
      </c>
      <c r="W1044" s="114" t="s">
        <v>800</v>
      </c>
      <c r="X1044" s="114">
        <f>SUM(X1037:X1043)</f>
        <v>514.55999999999995</v>
      </c>
      <c r="Y1044" s="114"/>
      <c r="Z1044" s="114">
        <f>SUM(Z1037:Z1043)</f>
        <v>142</v>
      </c>
      <c r="AA1044" s="114">
        <f>SUM(AA1037:AA1043)</f>
        <v>2804.08</v>
      </c>
      <c r="AB1044" s="114"/>
      <c r="AC1044" s="114"/>
      <c r="AD1044" s="114"/>
      <c r="AE1044" s="114">
        <f>SUM(AE1037:AE1043)</f>
        <v>2861.2690000000002</v>
      </c>
    </row>
    <row r="1045" spans="3:31" s="29" customFormat="1" x14ac:dyDescent="0.25">
      <c r="C1045" s="990" t="s">
        <v>5</v>
      </c>
      <c r="D1045" s="990"/>
      <c r="E1045" s="990"/>
      <c r="F1045" s="991" t="s">
        <v>118</v>
      </c>
      <c r="G1045" s="991"/>
      <c r="H1045" s="991"/>
      <c r="I1045" s="991"/>
      <c r="J1045" s="991"/>
    </row>
    <row r="1046" spans="3:31" s="29" customFormat="1" x14ac:dyDescent="0.25">
      <c r="C1046" s="990"/>
      <c r="D1046" s="990"/>
      <c r="E1046" s="990"/>
      <c r="F1046" s="991"/>
      <c r="G1046" s="991"/>
      <c r="H1046" s="991"/>
      <c r="I1046" s="991"/>
      <c r="J1046" s="991"/>
      <c r="Q1046" s="114" t="s">
        <v>1681</v>
      </c>
      <c r="R1046" s="114">
        <f>U1044</f>
        <v>13042.581398487553</v>
      </c>
      <c r="S1046" s="608" t="s">
        <v>2142</v>
      </c>
      <c r="T1046" s="608">
        <f>(R1046*100)/R1053</f>
        <v>50.354048964223125</v>
      </c>
      <c r="AA1046" s="114" t="s">
        <v>1681</v>
      </c>
      <c r="AB1046" s="114">
        <f>AE1044</f>
        <v>2861.2690000000002</v>
      </c>
      <c r="AC1046" s="608" t="s">
        <v>2142</v>
      </c>
      <c r="AD1046" s="608">
        <f>(AB1046*100)/AB1053</f>
        <v>33.762161365786845</v>
      </c>
    </row>
    <row r="1047" spans="3:31" s="29" customFormat="1" x14ac:dyDescent="0.25">
      <c r="C1047" s="990"/>
      <c r="D1047" s="990"/>
      <c r="E1047" s="990"/>
      <c r="F1047" s="991"/>
      <c r="G1047" s="991"/>
      <c r="H1047" s="991"/>
      <c r="I1047" s="991"/>
      <c r="J1047" s="991"/>
      <c r="Q1047" s="114" t="s">
        <v>2326</v>
      </c>
      <c r="R1047" s="114">
        <f>$AL$26</f>
        <v>1801.715474357886</v>
      </c>
      <c r="AA1047" s="114" t="s">
        <v>2326</v>
      </c>
      <c r="AB1047" s="114">
        <f>$AO$26/2</f>
        <v>476.87414947063905</v>
      </c>
    </row>
    <row r="1048" spans="3:31" s="29" customFormat="1" x14ac:dyDescent="0.25">
      <c r="C1048" s="990" t="s">
        <v>6</v>
      </c>
      <c r="D1048" s="990"/>
      <c r="E1048" s="990"/>
      <c r="F1048" s="991" t="s">
        <v>9</v>
      </c>
      <c r="G1048" s="991"/>
      <c r="H1048" s="991"/>
      <c r="I1048" s="991"/>
      <c r="J1048" s="991"/>
      <c r="Q1048" s="114" t="s">
        <v>2325</v>
      </c>
      <c r="R1048" s="114">
        <f>$AL$27</f>
        <v>75.599999999999994</v>
      </c>
      <c r="AA1048" s="114" t="s">
        <v>2325</v>
      </c>
      <c r="AB1048" s="114">
        <f>$AO$27/4</f>
        <v>18.899999999999999</v>
      </c>
    </row>
    <row r="1049" spans="3:31" s="29" customFormat="1" x14ac:dyDescent="0.25">
      <c r="C1049" s="990"/>
      <c r="D1049" s="990"/>
      <c r="E1049" s="990"/>
      <c r="F1049" s="991"/>
      <c r="G1049" s="991"/>
      <c r="H1049" s="991"/>
      <c r="I1049" s="991"/>
      <c r="J1049" s="991"/>
      <c r="Q1049" s="114" t="s">
        <v>1684</v>
      </c>
      <c r="R1049" s="114">
        <f>$AL$29</f>
        <v>69.543532482306858</v>
      </c>
      <c r="AA1049" s="114" t="s">
        <v>1684</v>
      </c>
      <c r="AB1049" s="114">
        <f>$AO$29</f>
        <v>1547.3435977313275</v>
      </c>
    </row>
    <row r="1050" spans="3:31" s="29" customFormat="1" x14ac:dyDescent="0.25">
      <c r="C1050" s="990"/>
      <c r="D1050" s="990"/>
      <c r="E1050" s="990"/>
      <c r="F1050" s="991"/>
      <c r="G1050" s="991"/>
      <c r="H1050" s="991"/>
      <c r="I1050" s="991"/>
      <c r="J1050" s="991"/>
      <c r="Q1050" s="114" t="s">
        <v>1685</v>
      </c>
      <c r="R1050" s="114">
        <v>0.6</v>
      </c>
      <c r="AA1050" s="114" t="s">
        <v>1685</v>
      </c>
      <c r="AB1050" s="114">
        <v>0.6</v>
      </c>
    </row>
    <row r="1051" spans="3:31" s="29" customFormat="1" x14ac:dyDescent="0.25">
      <c r="C1051" s="990" t="s">
        <v>7</v>
      </c>
      <c r="D1051" s="990"/>
      <c r="E1051" s="990"/>
      <c r="F1051" s="991" t="s">
        <v>608</v>
      </c>
      <c r="G1051" s="991"/>
      <c r="H1051" s="991"/>
      <c r="I1051" s="991"/>
      <c r="J1051" s="991"/>
      <c r="Q1051" s="114" t="s">
        <v>1708</v>
      </c>
      <c r="R1051" s="114">
        <f>(SUM(R1046:R1049)*R1050)+SUM(R1046:R1049)</f>
        <v>23983.104648524393</v>
      </c>
      <c r="AA1051" s="114" t="s">
        <v>1708</v>
      </c>
      <c r="AB1051" s="114">
        <f>(SUM(AB1046:AB1049)*AB1050)+SUM(AB1046:AB1049)</f>
        <v>7847.0187955231468</v>
      </c>
    </row>
    <row r="1052" spans="3:31" s="29" customFormat="1" x14ac:dyDescent="0.25">
      <c r="C1052" s="990"/>
      <c r="D1052" s="990"/>
      <c r="E1052" s="990"/>
      <c r="F1052" s="991"/>
      <c r="G1052" s="991"/>
      <c r="H1052" s="991"/>
      <c r="I1052" s="991"/>
      <c r="J1052" s="991"/>
      <c r="Q1052" s="114" t="s">
        <v>2130</v>
      </c>
      <c r="R1052" s="114">
        <f>R1051*0.08</f>
        <v>1918.6483718819516</v>
      </c>
      <c r="AA1052" s="114" t="s">
        <v>2130</v>
      </c>
      <c r="AB1052" s="114">
        <f>AB1051*0.08</f>
        <v>627.76150364185173</v>
      </c>
    </row>
    <row r="1053" spans="3:31" s="29" customFormat="1" x14ac:dyDescent="0.25">
      <c r="C1053" s="990"/>
      <c r="D1053" s="990"/>
      <c r="E1053" s="990"/>
      <c r="F1053" s="991"/>
      <c r="G1053" s="991"/>
      <c r="H1053" s="991"/>
      <c r="I1053" s="991"/>
      <c r="J1053" s="991"/>
      <c r="Q1053" s="114" t="s">
        <v>1686</v>
      </c>
      <c r="R1053" s="114">
        <f>SUM(R1051+R1052)</f>
        <v>25901.753020406344</v>
      </c>
      <c r="AA1053" s="114" t="s">
        <v>1686</v>
      </c>
      <c r="AB1053" s="114">
        <f>SUM(AB1051+AB1052)</f>
        <v>8474.7802991649987</v>
      </c>
    </row>
    <row r="1054" spans="3:31" s="29" customFormat="1" x14ac:dyDescent="0.25"/>
    <row r="1055" spans="3:31" s="29" customFormat="1" x14ac:dyDescent="0.25"/>
    <row r="1056" spans="3:31" s="29" customFormat="1" x14ac:dyDescent="0.25">
      <c r="C1056" s="993" t="s">
        <v>8</v>
      </c>
      <c r="D1056" s="993"/>
      <c r="E1056" s="993"/>
      <c r="F1056" s="993"/>
      <c r="G1056" s="993"/>
      <c r="H1056" s="993"/>
      <c r="I1056" s="993"/>
      <c r="J1056" s="993"/>
    </row>
    <row r="1057" spans="3:31" s="29" customFormat="1" x14ac:dyDescent="0.25">
      <c r="C1057" s="989" t="s">
        <v>0</v>
      </c>
      <c r="D1057" s="989"/>
      <c r="E1057" s="989"/>
      <c r="F1057" s="989" t="s">
        <v>1</v>
      </c>
      <c r="G1057" s="989"/>
      <c r="H1057" s="989"/>
      <c r="I1057" s="989"/>
      <c r="J1057" s="989"/>
    </row>
    <row r="1058" spans="3:31" s="29" customFormat="1" x14ac:dyDescent="0.25">
      <c r="C1058" s="990" t="s">
        <v>2</v>
      </c>
      <c r="D1058" s="990"/>
      <c r="E1058" s="990"/>
      <c r="F1058" s="991" t="s">
        <v>119</v>
      </c>
      <c r="G1058" s="991"/>
      <c r="H1058" s="991"/>
      <c r="I1058" s="991"/>
      <c r="J1058" s="991"/>
      <c r="M1058" s="113" t="s">
        <v>336</v>
      </c>
      <c r="N1058" s="113" t="s">
        <v>174</v>
      </c>
      <c r="O1058" s="113" t="s">
        <v>248</v>
      </c>
      <c r="P1058" s="113" t="s">
        <v>176</v>
      </c>
      <c r="Q1058" s="113" t="s">
        <v>337</v>
      </c>
      <c r="R1058" s="113" t="s">
        <v>1641</v>
      </c>
      <c r="S1058" s="113" t="s">
        <v>1642</v>
      </c>
      <c r="T1058" s="113" t="s">
        <v>1643</v>
      </c>
      <c r="U1058" s="113" t="s">
        <v>1644</v>
      </c>
      <c r="W1058" s="988" t="s">
        <v>1471</v>
      </c>
      <c r="X1058" s="988"/>
      <c r="Y1058" s="988"/>
      <c r="Z1058" s="988"/>
      <c r="AA1058" s="988"/>
      <c r="AB1058" s="988"/>
      <c r="AC1058" s="988"/>
      <c r="AD1058" s="988"/>
      <c r="AE1058" s="988"/>
    </row>
    <row r="1059" spans="3:31" s="29" customFormat="1" x14ac:dyDescent="0.25">
      <c r="C1059" s="990"/>
      <c r="D1059" s="990"/>
      <c r="E1059" s="990"/>
      <c r="F1059" s="991"/>
      <c r="G1059" s="991"/>
      <c r="H1059" s="991"/>
      <c r="I1059" s="991"/>
      <c r="J1059" s="991"/>
      <c r="M1059" s="114" t="s">
        <v>344</v>
      </c>
      <c r="N1059" s="114">
        <f>E25</f>
        <v>2099.0723984875517</v>
      </c>
      <c r="O1059" s="114" t="str">
        <f>D25</f>
        <v>g</v>
      </c>
      <c r="P1059" s="114">
        <v>100</v>
      </c>
      <c r="Q1059" s="114">
        <f>N1059</f>
        <v>2099.0723984875517</v>
      </c>
      <c r="R1059" s="114">
        <v>0</v>
      </c>
      <c r="S1059" s="114">
        <f>P1059*R1059</f>
        <v>0</v>
      </c>
      <c r="T1059" s="114">
        <f>P1059-S1059</f>
        <v>100</v>
      </c>
      <c r="U1059" s="114">
        <f>Q1059+((S1059*Q1059)/P1059)</f>
        <v>2099.0723984875517</v>
      </c>
      <c r="W1059" s="113" t="s">
        <v>336</v>
      </c>
      <c r="X1059" s="113" t="s">
        <v>174</v>
      </c>
      <c r="Y1059" s="113" t="s">
        <v>248</v>
      </c>
      <c r="Z1059" s="113" t="s">
        <v>176</v>
      </c>
      <c r="AA1059" s="113" t="s">
        <v>337</v>
      </c>
      <c r="AB1059" s="113" t="s">
        <v>1641</v>
      </c>
      <c r="AC1059" s="113" t="s">
        <v>1642</v>
      </c>
      <c r="AD1059" s="113" t="s">
        <v>1643</v>
      </c>
      <c r="AE1059" s="113" t="s">
        <v>1644</v>
      </c>
    </row>
    <row r="1060" spans="3:31" s="29" customFormat="1" x14ac:dyDescent="0.25">
      <c r="C1060" s="990"/>
      <c r="D1060" s="990"/>
      <c r="E1060" s="990"/>
      <c r="F1060" s="991"/>
      <c r="G1060" s="991"/>
      <c r="H1060" s="991"/>
      <c r="I1060" s="991"/>
      <c r="J1060" s="991"/>
      <c r="M1060" s="114" t="s">
        <v>340</v>
      </c>
      <c r="N1060" s="114">
        <f>Y20</f>
        <v>0.64</v>
      </c>
      <c r="O1060" s="114" t="str">
        <f>X20</f>
        <v>g</v>
      </c>
      <c r="P1060" s="114">
        <v>2</v>
      </c>
      <c r="Q1060" s="114">
        <f t="shared" ref="Q1060:Q1069" si="235">N1060*P1060</f>
        <v>1.28</v>
      </c>
      <c r="R1060" s="114">
        <v>0</v>
      </c>
      <c r="S1060" s="114">
        <f t="shared" ref="S1060:S1069" si="236">P1060*R1060</f>
        <v>0</v>
      </c>
      <c r="T1060" s="114">
        <f t="shared" ref="T1060:T1069" si="237">P1060-S1060</f>
        <v>2</v>
      </c>
      <c r="U1060" s="114">
        <f t="shared" ref="U1060:U1069" si="238">Q1060+((S1060*Q1060)/P1060)</f>
        <v>1.28</v>
      </c>
      <c r="W1060" s="114" t="s">
        <v>609</v>
      </c>
      <c r="X1060" s="114">
        <f>P29</f>
        <v>1.8</v>
      </c>
      <c r="Y1060" s="114" t="str">
        <f>O29</f>
        <v>g</v>
      </c>
      <c r="Z1060" s="114">
        <v>40</v>
      </c>
      <c r="AA1060" s="114">
        <f t="shared" ref="AA1060:AA1065" si="239">X1060*Z1060</f>
        <v>72</v>
      </c>
      <c r="AB1060" s="114">
        <v>0</v>
      </c>
      <c r="AC1060" s="114">
        <f>Z1060*AB1060</f>
        <v>0</v>
      </c>
      <c r="AD1060" s="114">
        <f>Z1060-AC1060</f>
        <v>40</v>
      </c>
      <c r="AE1060" s="114">
        <f>AA1060+((AC1060*AA1060)/Z1060)</f>
        <v>72</v>
      </c>
    </row>
    <row r="1061" spans="3:31" s="29" customFormat="1" x14ac:dyDescent="0.25">
      <c r="C1061" s="989" t="s">
        <v>0</v>
      </c>
      <c r="D1061" s="989"/>
      <c r="E1061" s="989"/>
      <c r="F1061" s="989" t="s">
        <v>1</v>
      </c>
      <c r="G1061" s="989"/>
      <c r="H1061" s="989"/>
      <c r="I1061" s="989"/>
      <c r="J1061" s="989"/>
      <c r="M1061" s="114" t="s">
        <v>346</v>
      </c>
      <c r="N1061" s="114">
        <f>P3</f>
        <v>7</v>
      </c>
      <c r="O1061" s="114" t="str">
        <f>O3</f>
        <v>g</v>
      </c>
      <c r="P1061" s="114">
        <v>4</v>
      </c>
      <c r="Q1061" s="114">
        <f t="shared" si="235"/>
        <v>28</v>
      </c>
      <c r="R1061" s="114">
        <f>AJ2</f>
        <v>0.23</v>
      </c>
      <c r="S1061" s="114">
        <f t="shared" si="236"/>
        <v>0.92</v>
      </c>
      <c r="T1061" s="114">
        <f t="shared" si="237"/>
        <v>3.08</v>
      </c>
      <c r="U1061" s="114">
        <f t="shared" si="238"/>
        <v>34.44</v>
      </c>
      <c r="W1061" s="114" t="s">
        <v>610</v>
      </c>
      <c r="X1061" s="114">
        <f>V7</f>
        <v>19.670000000000002</v>
      </c>
      <c r="Y1061" s="114" t="str">
        <f>U7</f>
        <v>mL</v>
      </c>
      <c r="Z1061" s="114">
        <v>50</v>
      </c>
      <c r="AA1061" s="114">
        <f t="shared" si="239"/>
        <v>983.50000000000011</v>
      </c>
      <c r="AB1061" s="114">
        <v>0</v>
      </c>
      <c r="AC1061" s="114">
        <f t="shared" ref="AC1061:AC1065" si="240">Z1061*AB1061</f>
        <v>0</v>
      </c>
      <c r="AD1061" s="114">
        <f t="shared" ref="AD1061:AD1065" si="241">Z1061-AC1061</f>
        <v>50</v>
      </c>
      <c r="AE1061" s="114">
        <f t="shared" ref="AE1061:AE1065" si="242">AA1061+((AC1061*AA1061)/Z1061)</f>
        <v>983.50000000000011</v>
      </c>
    </row>
    <row r="1062" spans="3:31" s="29" customFormat="1" x14ac:dyDescent="0.25">
      <c r="C1062" s="990" t="s">
        <v>3</v>
      </c>
      <c r="D1062" s="990"/>
      <c r="E1062" s="990"/>
      <c r="F1062" s="992" t="s">
        <v>1828</v>
      </c>
      <c r="G1062" s="991"/>
      <c r="H1062" s="991"/>
      <c r="I1062" s="991"/>
      <c r="J1062" s="991"/>
      <c r="M1062" s="114" t="s">
        <v>462</v>
      </c>
      <c r="N1062" s="114">
        <f>V12</f>
        <v>25.98</v>
      </c>
      <c r="O1062" s="114" t="str">
        <f>U12</f>
        <v>g</v>
      </c>
      <c r="P1062" s="114">
        <v>30</v>
      </c>
      <c r="Q1062" s="114">
        <f t="shared" si="235"/>
        <v>779.4</v>
      </c>
      <c r="R1062" s="114">
        <v>0</v>
      </c>
      <c r="S1062" s="114">
        <f t="shared" si="236"/>
        <v>0</v>
      </c>
      <c r="T1062" s="114">
        <f t="shared" si="237"/>
        <v>30</v>
      </c>
      <c r="U1062" s="114">
        <f t="shared" si="238"/>
        <v>779.4</v>
      </c>
      <c r="W1062" s="114" t="s">
        <v>430</v>
      </c>
      <c r="X1062" s="114">
        <f>P10</f>
        <v>0.7</v>
      </c>
      <c r="Y1062" s="114" t="str">
        <f>O10</f>
        <v>g</v>
      </c>
      <c r="Z1062" s="114">
        <v>20</v>
      </c>
      <c r="AA1062" s="114">
        <f t="shared" si="239"/>
        <v>14</v>
      </c>
      <c r="AB1062" s="114">
        <f>AJ7</f>
        <v>0.15</v>
      </c>
      <c r="AC1062" s="114">
        <f t="shared" si="240"/>
        <v>3</v>
      </c>
      <c r="AD1062" s="114">
        <f t="shared" si="241"/>
        <v>17</v>
      </c>
      <c r="AE1062" s="114">
        <f t="shared" si="242"/>
        <v>16.100000000000001</v>
      </c>
    </row>
    <row r="1063" spans="3:31" s="29" customFormat="1" x14ac:dyDescent="0.25">
      <c r="C1063" s="990"/>
      <c r="D1063" s="990"/>
      <c r="E1063" s="990"/>
      <c r="F1063" s="991"/>
      <c r="G1063" s="991"/>
      <c r="H1063" s="991"/>
      <c r="I1063" s="991"/>
      <c r="J1063" s="991"/>
      <c r="M1063" s="114" t="s">
        <v>504</v>
      </c>
      <c r="N1063" s="114">
        <f>AE1066</f>
        <v>2895.24</v>
      </c>
      <c r="O1063" s="114" t="s">
        <v>1388</v>
      </c>
      <c r="P1063" s="114">
        <v>120</v>
      </c>
      <c r="Q1063" s="114">
        <f>N1063</f>
        <v>2895.24</v>
      </c>
      <c r="R1063" s="114">
        <v>0</v>
      </c>
      <c r="S1063" s="114">
        <f t="shared" si="236"/>
        <v>0</v>
      </c>
      <c r="T1063" s="114">
        <f t="shared" si="237"/>
        <v>120</v>
      </c>
      <c r="U1063" s="114">
        <f t="shared" si="238"/>
        <v>2895.24</v>
      </c>
      <c r="W1063" s="114" t="s">
        <v>346</v>
      </c>
      <c r="X1063" s="114">
        <f>P3</f>
        <v>7</v>
      </c>
      <c r="Y1063" s="114" t="str">
        <f>O3</f>
        <v>g</v>
      </c>
      <c r="Z1063" s="114">
        <v>4</v>
      </c>
      <c r="AA1063" s="114">
        <f t="shared" si="239"/>
        <v>28</v>
      </c>
      <c r="AB1063" s="114">
        <f>AJ2</f>
        <v>0.23</v>
      </c>
      <c r="AC1063" s="114">
        <f t="shared" si="240"/>
        <v>0.92</v>
      </c>
      <c r="AD1063" s="114">
        <f t="shared" si="241"/>
        <v>3.08</v>
      </c>
      <c r="AE1063" s="114">
        <f t="shared" si="242"/>
        <v>34.44</v>
      </c>
    </row>
    <row r="1064" spans="3:31" s="29" customFormat="1" x14ac:dyDescent="0.25">
      <c r="C1064" s="990"/>
      <c r="D1064" s="990"/>
      <c r="E1064" s="990"/>
      <c r="F1064" s="991"/>
      <c r="G1064" s="991"/>
      <c r="H1064" s="991"/>
      <c r="I1064" s="991"/>
      <c r="J1064" s="991"/>
      <c r="M1064" s="114" t="s">
        <v>505</v>
      </c>
      <c r="N1064" s="114">
        <f>P24</f>
        <v>3.5</v>
      </c>
      <c r="O1064" s="114" t="str">
        <f>O24</f>
        <v>g</v>
      </c>
      <c r="P1064" s="114">
        <v>25</v>
      </c>
      <c r="Q1064" s="114">
        <f t="shared" si="235"/>
        <v>87.5</v>
      </c>
      <c r="R1064" s="114">
        <f>AJ15</f>
        <v>0.26</v>
      </c>
      <c r="S1064" s="114">
        <f t="shared" si="236"/>
        <v>6.5</v>
      </c>
      <c r="T1064" s="114">
        <f t="shared" si="237"/>
        <v>18.5</v>
      </c>
      <c r="U1064" s="114">
        <f t="shared" si="238"/>
        <v>110.25</v>
      </c>
      <c r="W1064" s="114" t="s">
        <v>433</v>
      </c>
      <c r="X1064" s="114">
        <f>Y18</f>
        <v>223.57</v>
      </c>
      <c r="Y1064" s="114" t="str">
        <f>X18</f>
        <v>g</v>
      </c>
      <c r="Z1064" s="114">
        <v>8</v>
      </c>
      <c r="AA1064" s="114">
        <f t="shared" si="239"/>
        <v>1788.56</v>
      </c>
      <c r="AB1064" s="114">
        <v>0</v>
      </c>
      <c r="AC1064" s="114">
        <f t="shared" si="240"/>
        <v>0</v>
      </c>
      <c r="AD1064" s="114">
        <f t="shared" si="241"/>
        <v>8</v>
      </c>
      <c r="AE1064" s="114">
        <f t="shared" si="242"/>
        <v>1788.56</v>
      </c>
    </row>
    <row r="1065" spans="3:31" s="29" customFormat="1" x14ac:dyDescent="0.25">
      <c r="C1065" s="990" t="s">
        <v>4</v>
      </c>
      <c r="D1065" s="990"/>
      <c r="E1065" s="990"/>
      <c r="F1065" s="991" t="s">
        <v>15</v>
      </c>
      <c r="G1065" s="991"/>
      <c r="H1065" s="991"/>
      <c r="I1065" s="991"/>
      <c r="J1065" s="991"/>
      <c r="M1065" s="114" t="s">
        <v>433</v>
      </c>
      <c r="N1065" s="114">
        <f>Y18</f>
        <v>223.57</v>
      </c>
      <c r="O1065" s="114" t="str">
        <f>X18</f>
        <v>g</v>
      </c>
      <c r="P1065" s="114">
        <v>10</v>
      </c>
      <c r="Q1065" s="114">
        <f t="shared" si="235"/>
        <v>2235.6999999999998</v>
      </c>
      <c r="R1065" s="114">
        <v>0</v>
      </c>
      <c r="S1065" s="114">
        <f t="shared" si="236"/>
        <v>0</v>
      </c>
      <c r="T1065" s="114">
        <f t="shared" si="237"/>
        <v>10</v>
      </c>
      <c r="U1065" s="114">
        <f t="shared" si="238"/>
        <v>2235.6999999999998</v>
      </c>
      <c r="W1065" s="114" t="s">
        <v>340</v>
      </c>
      <c r="X1065" s="114">
        <f>Y20</f>
        <v>0.64</v>
      </c>
      <c r="Y1065" s="114" t="str">
        <f>X20</f>
        <v>g</v>
      </c>
      <c r="Z1065" s="114">
        <v>1</v>
      </c>
      <c r="AA1065" s="114">
        <f t="shared" si="239"/>
        <v>0.64</v>
      </c>
      <c r="AB1065" s="114">
        <v>0</v>
      </c>
      <c r="AC1065" s="114">
        <f t="shared" si="240"/>
        <v>0</v>
      </c>
      <c r="AD1065" s="114">
        <f t="shared" si="241"/>
        <v>1</v>
      </c>
      <c r="AE1065" s="114">
        <f t="shared" si="242"/>
        <v>0.64</v>
      </c>
    </row>
    <row r="1066" spans="3:31" s="29" customFormat="1" x14ac:dyDescent="0.25">
      <c r="C1066" s="990"/>
      <c r="D1066" s="990"/>
      <c r="E1066" s="990"/>
      <c r="F1066" s="991"/>
      <c r="G1066" s="991"/>
      <c r="H1066" s="991"/>
      <c r="I1066" s="991"/>
      <c r="J1066" s="991"/>
      <c r="M1066" s="114" t="s">
        <v>442</v>
      </c>
      <c r="N1066" s="114">
        <f>Y3</f>
        <v>30</v>
      </c>
      <c r="O1066" s="114" t="str">
        <f>X3</f>
        <v>g</v>
      </c>
      <c r="P1066" s="114">
        <v>10</v>
      </c>
      <c r="Q1066" s="114">
        <f t="shared" si="235"/>
        <v>300</v>
      </c>
      <c r="R1066" s="114">
        <v>0</v>
      </c>
      <c r="S1066" s="114">
        <f t="shared" si="236"/>
        <v>0</v>
      </c>
      <c r="T1066" s="114">
        <f t="shared" si="237"/>
        <v>10</v>
      </c>
      <c r="U1066" s="114">
        <f t="shared" si="238"/>
        <v>300</v>
      </c>
      <c r="W1066" s="114" t="s">
        <v>337</v>
      </c>
      <c r="X1066" s="114">
        <f>SUM(X1060:X1065)</f>
        <v>253.38</v>
      </c>
      <c r="Y1066" s="114"/>
      <c r="Z1066" s="114">
        <f>SUM(Z1060:Z1065)</f>
        <v>123</v>
      </c>
      <c r="AA1066" s="114">
        <f>SUM(AA1060:AA1065)</f>
        <v>2886.7</v>
      </c>
      <c r="AB1066" s="114"/>
      <c r="AC1066" s="114"/>
      <c r="AD1066" s="114"/>
      <c r="AE1066" s="114">
        <f>SUM(AE1060:AE1065)</f>
        <v>2895.24</v>
      </c>
    </row>
    <row r="1067" spans="3:31" s="29" customFormat="1" x14ac:dyDescent="0.25">
      <c r="C1067" s="990"/>
      <c r="D1067" s="990"/>
      <c r="E1067" s="990"/>
      <c r="F1067" s="991"/>
      <c r="G1067" s="991"/>
      <c r="H1067" s="991"/>
      <c r="I1067" s="991"/>
      <c r="J1067" s="991"/>
      <c r="M1067" s="114" t="s">
        <v>445</v>
      </c>
      <c r="N1067" s="114">
        <f>Y15</f>
        <v>159</v>
      </c>
      <c r="O1067" s="114" t="str">
        <f>X15</f>
        <v>g</v>
      </c>
      <c r="P1067" s="114">
        <v>10</v>
      </c>
      <c r="Q1067" s="114">
        <f t="shared" si="235"/>
        <v>1590</v>
      </c>
      <c r="R1067" s="114">
        <v>0</v>
      </c>
      <c r="S1067" s="114">
        <f t="shared" si="236"/>
        <v>0</v>
      </c>
      <c r="T1067" s="114">
        <f t="shared" si="237"/>
        <v>10</v>
      </c>
      <c r="U1067" s="114">
        <f t="shared" si="238"/>
        <v>1590</v>
      </c>
      <c r="W1067" s="29" t="s">
        <v>611</v>
      </c>
    </row>
    <row r="1068" spans="3:31" s="29" customFormat="1" x14ac:dyDescent="0.25">
      <c r="C1068" s="990" t="s">
        <v>5</v>
      </c>
      <c r="D1068" s="990"/>
      <c r="E1068" s="990"/>
      <c r="F1068" s="991" t="s">
        <v>121</v>
      </c>
      <c r="G1068" s="991"/>
      <c r="H1068" s="991"/>
      <c r="I1068" s="991"/>
      <c r="J1068" s="991"/>
      <c r="M1068" s="114" t="s">
        <v>482</v>
      </c>
      <c r="N1068" s="114">
        <f>P18</f>
        <v>5</v>
      </c>
      <c r="O1068" s="114" t="str">
        <f>O18</f>
        <v>g</v>
      </c>
      <c r="P1068" s="114">
        <v>10</v>
      </c>
      <c r="Q1068" s="114">
        <f t="shared" si="235"/>
        <v>50</v>
      </c>
      <c r="R1068" s="114">
        <f>AJ11</f>
        <v>0.23</v>
      </c>
      <c r="S1068" s="114">
        <f t="shared" si="236"/>
        <v>2.3000000000000003</v>
      </c>
      <c r="T1068" s="114">
        <f t="shared" si="237"/>
        <v>7.6999999999999993</v>
      </c>
      <c r="U1068" s="114">
        <f t="shared" si="238"/>
        <v>61.5</v>
      </c>
      <c r="AA1068" s="114" t="s">
        <v>1681</v>
      </c>
      <c r="AB1068" s="114">
        <f>AE1066</f>
        <v>2895.24</v>
      </c>
      <c r="AC1068" s="608" t="s">
        <v>2142</v>
      </c>
      <c r="AD1068" s="608">
        <f>(AB1068*100)/AB1075</f>
        <v>33.928001916435242</v>
      </c>
    </row>
    <row r="1069" spans="3:31" s="29" customFormat="1" x14ac:dyDescent="0.25">
      <c r="C1069" s="990"/>
      <c r="D1069" s="990"/>
      <c r="E1069" s="990"/>
      <c r="F1069" s="991"/>
      <c r="G1069" s="991"/>
      <c r="H1069" s="991"/>
      <c r="I1069" s="991"/>
      <c r="J1069" s="991"/>
      <c r="M1069" s="114" t="s">
        <v>349</v>
      </c>
      <c r="N1069" s="114">
        <f>S15</f>
        <v>41</v>
      </c>
      <c r="O1069" s="114" t="str">
        <f>R15</f>
        <v>g</v>
      </c>
      <c r="P1069" s="114">
        <v>80</v>
      </c>
      <c r="Q1069" s="114">
        <f t="shared" si="235"/>
        <v>3280</v>
      </c>
      <c r="R1069" s="114">
        <f>AN3</f>
        <v>0.47</v>
      </c>
      <c r="S1069" s="114">
        <f t="shared" si="236"/>
        <v>37.599999999999994</v>
      </c>
      <c r="T1069" s="114">
        <f t="shared" si="237"/>
        <v>42.400000000000006</v>
      </c>
      <c r="U1069" s="114">
        <f t="shared" si="238"/>
        <v>4821.6000000000004</v>
      </c>
      <c r="AA1069" s="114" t="s">
        <v>2326</v>
      </c>
      <c r="AB1069" s="114">
        <f>$AO$26/2</f>
        <v>476.87414947063905</v>
      </c>
    </row>
    <row r="1070" spans="3:31" s="29" customFormat="1" x14ac:dyDescent="0.25">
      <c r="C1070" s="990"/>
      <c r="D1070" s="990"/>
      <c r="E1070" s="990"/>
      <c r="F1070" s="991"/>
      <c r="G1070" s="991"/>
      <c r="H1070" s="991"/>
      <c r="I1070" s="991"/>
      <c r="J1070" s="991"/>
      <c r="M1070" s="114" t="s">
        <v>337</v>
      </c>
      <c r="N1070" s="114">
        <f>SUM(N1059:N1069)</f>
        <v>5490.0023984875515</v>
      </c>
      <c r="O1070" s="114"/>
      <c r="P1070" s="114">
        <f>SUM(P1059:P1069)</f>
        <v>401</v>
      </c>
      <c r="Q1070" s="114">
        <f>SUM(Q1059:Q1069)</f>
        <v>13346.19239848755</v>
      </c>
      <c r="R1070" s="114"/>
      <c r="S1070" s="114"/>
      <c r="T1070" s="114"/>
      <c r="U1070" s="114">
        <f>SUM(U1059:U1069)</f>
        <v>14928.482398487553</v>
      </c>
      <c r="AA1070" s="114" t="s">
        <v>2325</v>
      </c>
      <c r="AB1070" s="114">
        <f>$AO$27/4</f>
        <v>18.899999999999999</v>
      </c>
    </row>
    <row r="1071" spans="3:31" s="29" customFormat="1" x14ac:dyDescent="0.25">
      <c r="C1071" s="990" t="s">
        <v>6</v>
      </c>
      <c r="D1071" s="990"/>
      <c r="E1071" s="990"/>
      <c r="F1071" s="991" t="s">
        <v>9</v>
      </c>
      <c r="G1071" s="991"/>
      <c r="H1071" s="991"/>
      <c r="I1071" s="991"/>
      <c r="J1071" s="991"/>
      <c r="AA1071" s="114" t="s">
        <v>1684</v>
      </c>
      <c r="AB1071" s="114">
        <f>$AO$29</f>
        <v>1547.3435977313275</v>
      </c>
    </row>
    <row r="1072" spans="3:31" s="29" customFormat="1" x14ac:dyDescent="0.25">
      <c r="C1072" s="990"/>
      <c r="D1072" s="990"/>
      <c r="E1072" s="990"/>
      <c r="F1072" s="991"/>
      <c r="G1072" s="991"/>
      <c r="H1072" s="991"/>
      <c r="I1072" s="991"/>
      <c r="J1072" s="991"/>
      <c r="Q1072" s="114" t="s">
        <v>1681</v>
      </c>
      <c r="R1072" s="114">
        <f>U1070</f>
        <v>14928.482398487553</v>
      </c>
      <c r="S1072" s="608" t="s">
        <v>2142</v>
      </c>
      <c r="T1072" s="608">
        <f>(R1072*100)/R1079</f>
        <v>51.194034225303497</v>
      </c>
      <c r="AA1072" s="114" t="s">
        <v>1685</v>
      </c>
      <c r="AB1072" s="114">
        <v>0.6</v>
      </c>
    </row>
    <row r="1073" spans="3:31" s="29" customFormat="1" x14ac:dyDescent="0.25">
      <c r="C1073" s="990"/>
      <c r="D1073" s="990"/>
      <c r="E1073" s="990"/>
      <c r="F1073" s="991"/>
      <c r="G1073" s="991"/>
      <c r="H1073" s="991"/>
      <c r="I1073" s="991"/>
      <c r="J1073" s="991"/>
      <c r="Q1073" s="114" t="s">
        <v>2326</v>
      </c>
      <c r="R1073" s="114">
        <f>$AL$26</f>
        <v>1801.715474357886</v>
      </c>
      <c r="AA1073" s="114" t="s">
        <v>1708</v>
      </c>
      <c r="AB1073" s="114">
        <f>(SUM(AB1068:AB1071)*AB1072)+SUM(AB1068:AB1071)</f>
        <v>7901.3723955231453</v>
      </c>
    </row>
    <row r="1074" spans="3:31" s="29" customFormat="1" x14ac:dyDescent="0.25">
      <c r="C1074" s="990" t="s">
        <v>7</v>
      </c>
      <c r="D1074" s="990"/>
      <c r="E1074" s="990"/>
      <c r="F1074" s="991" t="s">
        <v>612</v>
      </c>
      <c r="G1074" s="991"/>
      <c r="H1074" s="991"/>
      <c r="I1074" s="991"/>
      <c r="J1074" s="991"/>
      <c r="Q1074" s="114" t="s">
        <v>2325</v>
      </c>
      <c r="R1074" s="114">
        <f>$AL$27</f>
        <v>75.599999999999994</v>
      </c>
      <c r="AA1074" s="114" t="s">
        <v>2130</v>
      </c>
      <c r="AB1074" s="114">
        <f>AB1073*0.08</f>
        <v>632.10979164185164</v>
      </c>
    </row>
    <row r="1075" spans="3:31" s="29" customFormat="1" x14ac:dyDescent="0.25">
      <c r="C1075" s="990"/>
      <c r="D1075" s="990"/>
      <c r="E1075" s="990"/>
      <c r="F1075" s="991"/>
      <c r="G1075" s="991"/>
      <c r="H1075" s="991"/>
      <c r="I1075" s="991"/>
      <c r="J1075" s="991"/>
      <c r="Q1075" s="114" t="s">
        <v>1684</v>
      </c>
      <c r="R1075" s="114">
        <f>$AL$29</f>
        <v>69.543532482306858</v>
      </c>
      <c r="AA1075" s="114" t="s">
        <v>1686</v>
      </c>
      <c r="AB1075" s="114">
        <f>SUM(AB1073+AB1074)</f>
        <v>8533.4821871649965</v>
      </c>
    </row>
    <row r="1076" spans="3:31" s="29" customFormat="1" x14ac:dyDescent="0.25">
      <c r="C1076" s="990"/>
      <c r="D1076" s="990"/>
      <c r="E1076" s="990"/>
      <c r="F1076" s="991"/>
      <c r="G1076" s="991"/>
      <c r="H1076" s="991"/>
      <c r="I1076" s="991"/>
      <c r="J1076" s="991"/>
      <c r="Q1076" s="114" t="s">
        <v>1685</v>
      </c>
      <c r="R1076" s="114">
        <v>0.6</v>
      </c>
    </row>
    <row r="1077" spans="3:31" s="29" customFormat="1" x14ac:dyDescent="0.25">
      <c r="Q1077" s="114" t="s">
        <v>1708</v>
      </c>
      <c r="R1077" s="114">
        <f>(SUM(R1072:R1075)*R1076)+SUM(R1072:R1075)</f>
        <v>27000.546248524392</v>
      </c>
    </row>
    <row r="1078" spans="3:31" s="29" customFormat="1" x14ac:dyDescent="0.25">
      <c r="Q1078" s="114" t="s">
        <v>2130</v>
      </c>
      <c r="R1078" s="114">
        <f>R1077*0.08</f>
        <v>2160.0436998819514</v>
      </c>
    </row>
    <row r="1079" spans="3:31" s="29" customFormat="1" x14ac:dyDescent="0.25">
      <c r="Q1079" s="114" t="s">
        <v>1686</v>
      </c>
      <c r="R1079" s="114">
        <f>SUM(R1077+R1078)</f>
        <v>29160.589948406341</v>
      </c>
    </row>
    <row r="1080" spans="3:31" s="29" customFormat="1" x14ac:dyDescent="0.25"/>
    <row r="1081" spans="3:31" s="29" customFormat="1" x14ac:dyDescent="0.25">
      <c r="C1081" s="993" t="s">
        <v>8</v>
      </c>
      <c r="D1081" s="993"/>
      <c r="E1081" s="993"/>
      <c r="F1081" s="993"/>
      <c r="G1081" s="993"/>
      <c r="H1081" s="993"/>
      <c r="I1081" s="993"/>
      <c r="J1081" s="993"/>
    </row>
    <row r="1082" spans="3:31" s="29" customFormat="1" x14ac:dyDescent="0.25">
      <c r="C1082" s="989" t="s">
        <v>0</v>
      </c>
      <c r="D1082" s="989"/>
      <c r="E1082" s="989"/>
      <c r="F1082" s="989" t="s">
        <v>1</v>
      </c>
      <c r="G1082" s="989"/>
      <c r="H1082" s="989"/>
      <c r="I1082" s="989"/>
      <c r="J1082" s="989"/>
    </row>
    <row r="1083" spans="3:31" s="29" customFormat="1" x14ac:dyDescent="0.25">
      <c r="C1083" s="990" t="s">
        <v>2</v>
      </c>
      <c r="D1083" s="990"/>
      <c r="E1083" s="990"/>
      <c r="F1083" s="991" t="s">
        <v>123</v>
      </c>
      <c r="G1083" s="991"/>
      <c r="H1083" s="991"/>
      <c r="I1083" s="991"/>
      <c r="J1083" s="991"/>
      <c r="M1083" s="113" t="s">
        <v>336</v>
      </c>
      <c r="N1083" s="113" t="s">
        <v>174</v>
      </c>
      <c r="O1083" s="113" t="s">
        <v>248</v>
      </c>
      <c r="P1083" s="113" t="s">
        <v>176</v>
      </c>
      <c r="Q1083" s="113" t="s">
        <v>337</v>
      </c>
      <c r="R1083" s="113" t="s">
        <v>1641</v>
      </c>
      <c r="S1083" s="113" t="s">
        <v>1642</v>
      </c>
      <c r="T1083" s="113" t="s">
        <v>1643</v>
      </c>
      <c r="U1083" s="113" t="s">
        <v>1644</v>
      </c>
      <c r="W1083" s="994" t="s">
        <v>1469</v>
      </c>
      <c r="X1083" s="994"/>
      <c r="Y1083" s="994"/>
      <c r="Z1083" s="994"/>
      <c r="AA1083" s="994"/>
      <c r="AB1083" s="994"/>
      <c r="AC1083" s="994"/>
      <c r="AD1083" s="994"/>
      <c r="AE1083" s="994"/>
    </row>
    <row r="1084" spans="3:31" s="29" customFormat="1" x14ac:dyDescent="0.25">
      <c r="C1084" s="990"/>
      <c r="D1084" s="990"/>
      <c r="E1084" s="990"/>
      <c r="F1084" s="991"/>
      <c r="G1084" s="991"/>
      <c r="H1084" s="991"/>
      <c r="I1084" s="991"/>
      <c r="J1084" s="991"/>
      <c r="M1084" s="114" t="s">
        <v>344</v>
      </c>
      <c r="N1084" s="114">
        <f>E16</f>
        <v>2099.0723984875517</v>
      </c>
      <c r="O1084" s="114" t="str">
        <f>D16</f>
        <v>g</v>
      </c>
      <c r="P1084" s="114">
        <v>100</v>
      </c>
      <c r="Q1084" s="114">
        <f>N1084</f>
        <v>2099.0723984875517</v>
      </c>
      <c r="R1084" s="114">
        <v>0</v>
      </c>
      <c r="S1084" s="114">
        <f>P1084*R1084</f>
        <v>0</v>
      </c>
      <c r="T1084" s="114">
        <f>P1084-S1084</f>
        <v>100</v>
      </c>
      <c r="U1084" s="114">
        <f>Q1084+((S1084*Q1084)/P1084)</f>
        <v>2099.0723984875517</v>
      </c>
      <c r="W1084" s="113" t="s">
        <v>336</v>
      </c>
      <c r="X1084" s="113" t="s">
        <v>174</v>
      </c>
      <c r="Y1084" s="113" t="s">
        <v>248</v>
      </c>
      <c r="Z1084" s="113" t="s">
        <v>176</v>
      </c>
      <c r="AA1084" s="113" t="s">
        <v>337</v>
      </c>
      <c r="AB1084" s="113" t="s">
        <v>1641</v>
      </c>
      <c r="AC1084" s="113" t="s">
        <v>1642</v>
      </c>
      <c r="AD1084" s="113" t="s">
        <v>1643</v>
      </c>
      <c r="AE1084" s="113" t="s">
        <v>1644</v>
      </c>
    </row>
    <row r="1085" spans="3:31" s="29" customFormat="1" x14ac:dyDescent="0.25">
      <c r="C1085" s="990"/>
      <c r="D1085" s="990"/>
      <c r="E1085" s="990"/>
      <c r="F1085" s="991"/>
      <c r="G1085" s="991"/>
      <c r="H1085" s="991"/>
      <c r="I1085" s="991"/>
      <c r="J1085" s="991"/>
      <c r="M1085" s="114" t="s">
        <v>340</v>
      </c>
      <c r="N1085" s="114">
        <f>Y20</f>
        <v>0.64</v>
      </c>
      <c r="O1085" s="114" t="str">
        <f>X20</f>
        <v>g</v>
      </c>
      <c r="P1085" s="114">
        <v>2</v>
      </c>
      <c r="Q1085" s="114">
        <f t="shared" ref="Q1085:Q1088" si="243">N1085*P1085</f>
        <v>1.28</v>
      </c>
      <c r="R1085" s="114">
        <v>0</v>
      </c>
      <c r="S1085" s="114">
        <f>P1085*R1085</f>
        <v>0</v>
      </c>
      <c r="T1085" s="114">
        <f>P1085-S1085</f>
        <v>2</v>
      </c>
      <c r="U1085" s="114">
        <f>Q1085+((S1085*Q1085)/P1085)</f>
        <v>1.28</v>
      </c>
      <c r="W1085" s="114" t="s">
        <v>462</v>
      </c>
      <c r="X1085" s="114">
        <f>V12</f>
        <v>25.98</v>
      </c>
      <c r="Y1085" s="114" t="str">
        <f>U12</f>
        <v>g</v>
      </c>
      <c r="Z1085" s="114">
        <v>15</v>
      </c>
      <c r="AA1085" s="114">
        <f>X1085*Z1085</f>
        <v>389.7</v>
      </c>
      <c r="AB1085" s="114">
        <v>0</v>
      </c>
      <c r="AC1085" s="114">
        <f>Z1085*AB1085</f>
        <v>0</v>
      </c>
      <c r="AD1085" s="114">
        <f>Z1085-AC1085</f>
        <v>15</v>
      </c>
      <c r="AE1085" s="114">
        <f>AA1085+((AC1085*AA1085)/Z1085)</f>
        <v>389.7</v>
      </c>
    </row>
    <row r="1086" spans="3:31" s="29" customFormat="1" x14ac:dyDescent="0.25">
      <c r="C1086" s="989" t="s">
        <v>0</v>
      </c>
      <c r="D1086" s="989"/>
      <c r="E1086" s="989"/>
      <c r="F1086" s="989" t="s">
        <v>1</v>
      </c>
      <c r="G1086" s="989"/>
      <c r="H1086" s="989"/>
      <c r="I1086" s="989"/>
      <c r="J1086" s="989"/>
      <c r="M1086" s="114" t="s">
        <v>588</v>
      </c>
      <c r="N1086" s="114">
        <f>AE1094</f>
        <v>3567.1349999999993</v>
      </c>
      <c r="O1086" s="114" t="s">
        <v>1388</v>
      </c>
      <c r="P1086" s="114">
        <v>120</v>
      </c>
      <c r="Q1086" s="114">
        <f>N1086</f>
        <v>3567.1349999999993</v>
      </c>
      <c r="R1086" s="114">
        <v>0</v>
      </c>
      <c r="S1086" s="114">
        <f>P1086*R1086</f>
        <v>0</v>
      </c>
      <c r="T1086" s="114">
        <f>P1086-S1086</f>
        <v>120</v>
      </c>
      <c r="U1086" s="114">
        <f>Q1086+((S1086*Q1086)/P1086)</f>
        <v>3567.1349999999993</v>
      </c>
      <c r="W1086" s="114" t="s">
        <v>576</v>
      </c>
      <c r="X1086" s="114">
        <f>V9</f>
        <v>19.36</v>
      </c>
      <c r="Y1086" s="114" t="str">
        <f>U9</f>
        <v>g</v>
      </c>
      <c r="Z1086" s="114">
        <v>15</v>
      </c>
      <c r="AA1086" s="114">
        <f t="shared" ref="AA1086:AA1092" si="244">X1086*Z1086</f>
        <v>290.39999999999998</v>
      </c>
      <c r="AB1086" s="114">
        <v>0</v>
      </c>
      <c r="AC1086" s="114">
        <f t="shared" ref="AC1086:AC1093" si="245">Z1086*AB1086</f>
        <v>0</v>
      </c>
      <c r="AD1086" s="114">
        <f t="shared" ref="AD1086:AD1093" si="246">Z1086-AC1086</f>
        <v>15</v>
      </c>
      <c r="AE1086" s="114">
        <f t="shared" ref="AE1086:AE1093" si="247">AA1086+((AC1086*AA1086)/Z1086)</f>
        <v>290.39999999999998</v>
      </c>
    </row>
    <row r="1087" spans="3:31" s="29" customFormat="1" x14ac:dyDescent="0.25">
      <c r="C1087" s="990" t="s">
        <v>3</v>
      </c>
      <c r="D1087" s="990"/>
      <c r="E1087" s="990"/>
      <c r="F1087" s="991" t="s">
        <v>124</v>
      </c>
      <c r="G1087" s="991"/>
      <c r="H1087" s="991"/>
      <c r="I1087" s="991"/>
      <c r="J1087" s="991"/>
      <c r="M1087" s="114" t="s">
        <v>438</v>
      </c>
      <c r="N1087" s="114">
        <f>S14</f>
        <v>72.95</v>
      </c>
      <c r="O1087" s="114" t="str">
        <f>R14</f>
        <v>g</v>
      </c>
      <c r="P1087" s="114">
        <v>80</v>
      </c>
      <c r="Q1087" s="114">
        <f t="shared" si="243"/>
        <v>5836</v>
      </c>
      <c r="R1087" s="114">
        <v>0</v>
      </c>
      <c r="S1087" s="114">
        <f>P1087*R1087</f>
        <v>0</v>
      </c>
      <c r="T1087" s="114">
        <f>P1087-S1087</f>
        <v>80</v>
      </c>
      <c r="U1087" s="114">
        <f>Q1087+((S1087*Q1087)/P1087)</f>
        <v>5836</v>
      </c>
      <c r="W1087" s="114" t="s">
        <v>547</v>
      </c>
      <c r="X1087" s="114">
        <f>V13</f>
        <v>81.900000000000006</v>
      </c>
      <c r="Y1087" s="114" t="str">
        <f>U13</f>
        <v>g</v>
      </c>
      <c r="Z1087" s="114">
        <v>15</v>
      </c>
      <c r="AA1087" s="114">
        <f t="shared" si="244"/>
        <v>1228.5</v>
      </c>
      <c r="AB1087" s="114">
        <v>0</v>
      </c>
      <c r="AC1087" s="114">
        <f t="shared" si="245"/>
        <v>0</v>
      </c>
      <c r="AD1087" s="114">
        <f t="shared" si="246"/>
        <v>15</v>
      </c>
      <c r="AE1087" s="114">
        <f t="shared" si="247"/>
        <v>1228.5</v>
      </c>
    </row>
    <row r="1088" spans="3:31" s="29" customFormat="1" x14ac:dyDescent="0.25">
      <c r="C1088" s="990"/>
      <c r="D1088" s="990"/>
      <c r="E1088" s="990"/>
      <c r="F1088" s="991"/>
      <c r="G1088" s="991"/>
      <c r="H1088" s="991"/>
      <c r="I1088" s="991"/>
      <c r="J1088" s="991"/>
      <c r="M1088" s="114" t="s">
        <v>345</v>
      </c>
      <c r="N1088" s="114">
        <f>P23</f>
        <v>1.6</v>
      </c>
      <c r="O1088" s="114" t="str">
        <f>O23</f>
        <v>g</v>
      </c>
      <c r="P1088" s="114">
        <v>15</v>
      </c>
      <c r="Q1088" s="114">
        <f t="shared" si="243"/>
        <v>24</v>
      </c>
      <c r="R1088" s="114">
        <v>0</v>
      </c>
      <c r="S1088" s="114">
        <f>P1088*R1088</f>
        <v>0</v>
      </c>
      <c r="T1088" s="114">
        <f>P1088-S1088</f>
        <v>15</v>
      </c>
      <c r="U1088" s="114">
        <f>Q1088+((S1088*Q1088)/P1088)</f>
        <v>24</v>
      </c>
      <c r="W1088" s="114" t="s">
        <v>348</v>
      </c>
      <c r="X1088" s="114">
        <f>V2</f>
        <v>13.11</v>
      </c>
      <c r="Y1088" s="114" t="str">
        <f>U2</f>
        <v>g</v>
      </c>
      <c r="Z1088" s="114">
        <v>50</v>
      </c>
      <c r="AA1088" s="114">
        <f t="shared" si="244"/>
        <v>655.5</v>
      </c>
      <c r="AB1088" s="114">
        <v>0</v>
      </c>
      <c r="AC1088" s="114">
        <f t="shared" si="245"/>
        <v>0</v>
      </c>
      <c r="AD1088" s="114">
        <f t="shared" si="246"/>
        <v>50</v>
      </c>
      <c r="AE1088" s="114">
        <f t="shared" si="247"/>
        <v>655.5</v>
      </c>
    </row>
    <row r="1089" spans="3:31" s="29" customFormat="1" x14ac:dyDescent="0.25">
      <c r="C1089" s="990"/>
      <c r="D1089" s="990"/>
      <c r="E1089" s="990"/>
      <c r="F1089" s="991"/>
      <c r="G1089" s="991"/>
      <c r="H1089" s="991"/>
      <c r="I1089" s="991"/>
      <c r="J1089" s="991"/>
      <c r="M1089" s="114"/>
      <c r="N1089" s="114"/>
      <c r="O1089" s="114"/>
      <c r="P1089" s="114"/>
      <c r="Q1089" s="114"/>
      <c r="R1089" s="114"/>
      <c r="S1089" s="114"/>
      <c r="T1089" s="114"/>
      <c r="U1089" s="114"/>
      <c r="W1089" s="114" t="s">
        <v>346</v>
      </c>
      <c r="X1089" s="114">
        <f>P3</f>
        <v>7</v>
      </c>
      <c r="Y1089" s="114" t="str">
        <f>O3</f>
        <v>g</v>
      </c>
      <c r="Z1089" s="114">
        <v>4</v>
      </c>
      <c r="AA1089" s="114">
        <f t="shared" si="244"/>
        <v>28</v>
      </c>
      <c r="AB1089" s="114">
        <f>AJ2</f>
        <v>0.23</v>
      </c>
      <c r="AC1089" s="114">
        <f t="shared" si="245"/>
        <v>0.92</v>
      </c>
      <c r="AD1089" s="114">
        <f t="shared" si="246"/>
        <v>3.08</v>
      </c>
      <c r="AE1089" s="114">
        <f t="shared" si="247"/>
        <v>34.44</v>
      </c>
    </row>
    <row r="1090" spans="3:31" s="29" customFormat="1" x14ac:dyDescent="0.25">
      <c r="C1090" s="990" t="s">
        <v>4</v>
      </c>
      <c r="D1090" s="990"/>
      <c r="E1090" s="990"/>
      <c r="F1090" s="991" t="s">
        <v>15</v>
      </c>
      <c r="G1090" s="991"/>
      <c r="H1090" s="991"/>
      <c r="I1090" s="991"/>
      <c r="J1090" s="991"/>
      <c r="M1090" s="114"/>
      <c r="N1090" s="114"/>
      <c r="O1090" s="114"/>
      <c r="P1090" s="114"/>
      <c r="Q1090" s="114"/>
      <c r="R1090" s="114"/>
      <c r="S1090" s="114"/>
      <c r="T1090" s="114"/>
      <c r="U1090" s="114"/>
      <c r="W1090" s="114" t="s">
        <v>493</v>
      </c>
      <c r="X1090" s="114">
        <f>P10</f>
        <v>0.7</v>
      </c>
      <c r="Y1090" s="114" t="str">
        <f>O10</f>
        <v>g</v>
      </c>
      <c r="Z1090" s="114">
        <v>15</v>
      </c>
      <c r="AA1090" s="114">
        <f t="shared" si="244"/>
        <v>10.5</v>
      </c>
      <c r="AB1090" s="114">
        <f>AJ7</f>
        <v>0.15</v>
      </c>
      <c r="AC1090" s="114">
        <f t="shared" si="245"/>
        <v>2.25</v>
      </c>
      <c r="AD1090" s="114">
        <f t="shared" si="246"/>
        <v>12.75</v>
      </c>
      <c r="AE1090" s="114">
        <f t="shared" si="247"/>
        <v>12.074999999999999</v>
      </c>
    </row>
    <row r="1091" spans="3:31" s="29" customFormat="1" x14ac:dyDescent="0.25">
      <c r="C1091" s="990"/>
      <c r="D1091" s="990"/>
      <c r="E1091" s="990"/>
      <c r="F1091" s="991"/>
      <c r="G1091" s="991"/>
      <c r="H1091" s="991"/>
      <c r="I1091" s="991"/>
      <c r="J1091" s="991"/>
      <c r="M1091" s="114"/>
      <c r="N1091" s="114"/>
      <c r="O1091" s="114"/>
      <c r="P1091" s="114"/>
      <c r="Q1091" s="114"/>
      <c r="R1091" s="114"/>
      <c r="S1091" s="114"/>
      <c r="T1091" s="114"/>
      <c r="U1091" s="114"/>
      <c r="W1091" s="114" t="s">
        <v>354</v>
      </c>
      <c r="X1091" s="114">
        <f>V4</f>
        <v>3.08</v>
      </c>
      <c r="Y1091" s="114" t="str">
        <f>U4</f>
        <v>mL</v>
      </c>
      <c r="Z1091" s="114">
        <v>20</v>
      </c>
      <c r="AA1091" s="114">
        <f t="shared" si="244"/>
        <v>61.6</v>
      </c>
      <c r="AB1091" s="114">
        <v>0</v>
      </c>
      <c r="AC1091" s="114">
        <f t="shared" si="245"/>
        <v>0</v>
      </c>
      <c r="AD1091" s="114">
        <f t="shared" si="246"/>
        <v>20</v>
      </c>
      <c r="AE1091" s="114">
        <f t="shared" si="247"/>
        <v>61.6</v>
      </c>
    </row>
    <row r="1092" spans="3:31" s="29" customFormat="1" x14ac:dyDescent="0.25">
      <c r="C1092" s="990"/>
      <c r="D1092" s="990"/>
      <c r="E1092" s="990"/>
      <c r="F1092" s="991"/>
      <c r="G1092" s="991"/>
      <c r="H1092" s="991"/>
      <c r="I1092" s="991"/>
      <c r="J1092" s="991"/>
      <c r="M1092" s="114" t="s">
        <v>337</v>
      </c>
      <c r="N1092" s="114">
        <f>SUM(N1084:N1091)</f>
        <v>5741.3973984875511</v>
      </c>
      <c r="O1092" s="114"/>
      <c r="P1092" s="114">
        <f>SUM(P1084:P1091)</f>
        <v>317</v>
      </c>
      <c r="Q1092" s="114">
        <f>SUM(Q1084:Q1091)</f>
        <v>11527.487398487552</v>
      </c>
      <c r="R1092" s="114"/>
      <c r="S1092" s="114"/>
      <c r="T1092" s="114"/>
      <c r="U1092" s="114">
        <f>SUM(U1084:U1091)</f>
        <v>11527.487398487552</v>
      </c>
      <c r="W1092" s="114" t="s">
        <v>340</v>
      </c>
      <c r="X1092" s="114">
        <f>Y20</f>
        <v>0.64</v>
      </c>
      <c r="Y1092" s="114" t="str">
        <f>X20</f>
        <v>g</v>
      </c>
      <c r="Z1092" s="114">
        <v>1</v>
      </c>
      <c r="AA1092" s="114">
        <f t="shared" si="244"/>
        <v>0.64</v>
      </c>
      <c r="AB1092" s="114">
        <v>0</v>
      </c>
      <c r="AC1092" s="114">
        <f t="shared" si="245"/>
        <v>0</v>
      </c>
      <c r="AD1092" s="114">
        <f t="shared" si="246"/>
        <v>1</v>
      </c>
      <c r="AE1092" s="114">
        <f t="shared" si="247"/>
        <v>0.64</v>
      </c>
    </row>
    <row r="1093" spans="3:31" s="29" customFormat="1" x14ac:dyDescent="0.25">
      <c r="C1093" s="990" t="s">
        <v>5</v>
      </c>
      <c r="D1093" s="990"/>
      <c r="E1093" s="990"/>
      <c r="F1093" s="991" t="s">
        <v>125</v>
      </c>
      <c r="G1093" s="991"/>
      <c r="H1093" s="991"/>
      <c r="I1093" s="991"/>
      <c r="J1093" s="991"/>
      <c r="R1093" s="30"/>
      <c r="S1093" s="30"/>
      <c r="T1093" s="30"/>
      <c r="U1093" s="30"/>
      <c r="W1093" s="114" t="s">
        <v>433</v>
      </c>
      <c r="X1093" s="114">
        <f>Y18</f>
        <v>223.57</v>
      </c>
      <c r="Y1093" s="114" t="str">
        <f>X18</f>
        <v>g</v>
      </c>
      <c r="Z1093" s="114">
        <v>4</v>
      </c>
      <c r="AA1093" s="114">
        <f>X1093*Z1093</f>
        <v>894.28</v>
      </c>
      <c r="AB1093" s="114">
        <v>0</v>
      </c>
      <c r="AC1093" s="114">
        <f t="shared" si="245"/>
        <v>0</v>
      </c>
      <c r="AD1093" s="114">
        <f t="shared" si="246"/>
        <v>4</v>
      </c>
      <c r="AE1093" s="114">
        <f t="shared" si="247"/>
        <v>894.28</v>
      </c>
    </row>
    <row r="1094" spans="3:31" s="29" customFormat="1" x14ac:dyDescent="0.25">
      <c r="C1094" s="990"/>
      <c r="D1094" s="990"/>
      <c r="E1094" s="990"/>
      <c r="F1094" s="991"/>
      <c r="G1094" s="991"/>
      <c r="H1094" s="991"/>
      <c r="I1094" s="991"/>
      <c r="J1094" s="991"/>
      <c r="Q1094" s="114" t="s">
        <v>1681</v>
      </c>
      <c r="R1094" s="114">
        <f>U1092</f>
        <v>11527.487398487552</v>
      </c>
      <c r="S1094" s="608" t="s">
        <v>2142</v>
      </c>
      <c r="T1094" s="608">
        <f>(R1094*100)/R1101</f>
        <v>49.508892314545299</v>
      </c>
      <c r="U1094" s="30"/>
      <c r="W1094" s="114" t="s">
        <v>337</v>
      </c>
      <c r="X1094" s="114">
        <f>SUM(X1085:X1093)</f>
        <v>375.34000000000003</v>
      </c>
      <c r="Y1094" s="114"/>
      <c r="Z1094" s="114">
        <f>SUM(Z1085:Z1093)</f>
        <v>139</v>
      </c>
      <c r="AA1094" s="114">
        <f>SUM(AA1085:AA1093)</f>
        <v>3559.12</v>
      </c>
      <c r="AB1094" s="114"/>
      <c r="AC1094" s="114"/>
      <c r="AD1094" s="114"/>
      <c r="AE1094" s="114">
        <f>SUM(AE1085:AE1093)</f>
        <v>3567.1349999999993</v>
      </c>
    </row>
    <row r="1095" spans="3:31" s="29" customFormat="1" x14ac:dyDescent="0.25">
      <c r="C1095" s="990"/>
      <c r="D1095" s="990"/>
      <c r="E1095" s="990"/>
      <c r="F1095" s="991"/>
      <c r="G1095" s="991"/>
      <c r="H1095" s="991"/>
      <c r="I1095" s="991"/>
      <c r="J1095" s="991"/>
      <c r="Q1095" s="114" t="s">
        <v>2326</v>
      </c>
      <c r="R1095" s="114">
        <f>$AL$26</f>
        <v>1801.715474357886</v>
      </c>
    </row>
    <row r="1096" spans="3:31" s="29" customFormat="1" x14ac:dyDescent="0.25">
      <c r="C1096" s="990" t="s">
        <v>6</v>
      </c>
      <c r="D1096" s="990"/>
      <c r="E1096" s="990"/>
      <c r="F1096" s="991" t="s">
        <v>317</v>
      </c>
      <c r="G1096" s="991"/>
      <c r="H1096" s="991"/>
      <c r="I1096" s="991"/>
      <c r="J1096" s="991"/>
      <c r="Q1096" s="114" t="s">
        <v>2325</v>
      </c>
      <c r="R1096" s="114">
        <f>$AL$27</f>
        <v>75.599999999999994</v>
      </c>
      <c r="AA1096" s="114" t="s">
        <v>1681</v>
      </c>
      <c r="AB1096" s="114">
        <f>AE1094</f>
        <v>3567.1349999999993</v>
      </c>
      <c r="AC1096" s="608" t="s">
        <v>2142</v>
      </c>
      <c r="AD1096" s="608">
        <f>(AB1096*100)/AB1103</f>
        <v>36.79538746521996</v>
      </c>
    </row>
    <row r="1097" spans="3:31" s="29" customFormat="1" x14ac:dyDescent="0.25">
      <c r="C1097" s="990"/>
      <c r="D1097" s="990"/>
      <c r="E1097" s="990"/>
      <c r="F1097" s="991"/>
      <c r="G1097" s="991"/>
      <c r="H1097" s="991"/>
      <c r="I1097" s="991"/>
      <c r="J1097" s="991"/>
      <c r="Q1097" s="114" t="s">
        <v>1684</v>
      </c>
      <c r="R1097" s="114">
        <f>$AL$29</f>
        <v>69.543532482306858</v>
      </c>
      <c r="AA1097" s="114" t="s">
        <v>2326</v>
      </c>
      <c r="AB1097" s="114">
        <f>$AO$26/2</f>
        <v>476.87414947063905</v>
      </c>
    </row>
    <row r="1098" spans="3:31" s="29" customFormat="1" x14ac:dyDescent="0.25">
      <c r="C1098" s="990"/>
      <c r="D1098" s="990"/>
      <c r="E1098" s="990"/>
      <c r="F1098" s="991"/>
      <c r="G1098" s="991"/>
      <c r="H1098" s="991"/>
      <c r="I1098" s="991"/>
      <c r="J1098" s="991"/>
      <c r="Q1098" s="114" t="s">
        <v>1685</v>
      </c>
      <c r="R1098" s="114">
        <v>0.6</v>
      </c>
      <c r="AA1098" s="114" t="s">
        <v>2325</v>
      </c>
      <c r="AB1098" s="114">
        <f>$AO$27/4</f>
        <v>18.899999999999999</v>
      </c>
    </row>
    <row r="1099" spans="3:31" s="29" customFormat="1" x14ac:dyDescent="0.25">
      <c r="C1099" s="990" t="s">
        <v>7</v>
      </c>
      <c r="D1099" s="990"/>
      <c r="E1099" s="990"/>
      <c r="F1099" s="991" t="s">
        <v>613</v>
      </c>
      <c r="G1099" s="991"/>
      <c r="H1099" s="991"/>
      <c r="I1099" s="991"/>
      <c r="J1099" s="991"/>
      <c r="Q1099" s="114" t="s">
        <v>1708</v>
      </c>
      <c r="R1099" s="114">
        <f>(SUM(R1094:R1097)*R1098)+SUM(R1094:R1097)</f>
        <v>21558.954248524395</v>
      </c>
      <c r="AA1099" s="114" t="s">
        <v>1684</v>
      </c>
      <c r="AB1099" s="114">
        <f>$AO$29</f>
        <v>1547.3435977313275</v>
      </c>
    </row>
    <row r="1100" spans="3:31" s="29" customFormat="1" x14ac:dyDescent="0.25">
      <c r="C1100" s="990"/>
      <c r="D1100" s="990"/>
      <c r="E1100" s="990"/>
      <c r="F1100" s="991"/>
      <c r="G1100" s="991"/>
      <c r="H1100" s="991"/>
      <c r="I1100" s="991"/>
      <c r="J1100" s="991"/>
      <c r="Q1100" s="114" t="s">
        <v>2130</v>
      </c>
      <c r="R1100" s="114">
        <f>R1099*0.08</f>
        <v>1724.7163398819516</v>
      </c>
      <c r="AA1100" s="114" t="s">
        <v>1685</v>
      </c>
      <c r="AB1100" s="114">
        <v>0.6</v>
      </c>
    </row>
    <row r="1101" spans="3:31" s="29" customFormat="1" x14ac:dyDescent="0.25">
      <c r="C1101" s="990"/>
      <c r="D1101" s="990"/>
      <c r="E1101" s="990"/>
      <c r="F1101" s="991"/>
      <c r="G1101" s="991"/>
      <c r="H1101" s="991"/>
      <c r="I1101" s="991"/>
      <c r="J1101" s="991"/>
      <c r="Q1101" s="114" t="s">
        <v>1686</v>
      </c>
      <c r="R1101" s="114">
        <f>SUM(R1099+R1100)</f>
        <v>23283.670588406345</v>
      </c>
      <c r="AA1101" s="114" t="s">
        <v>1708</v>
      </c>
      <c r="AB1101" s="114">
        <f>(SUM(AB1096:AB1099)*AB1100)+SUM(AB1096:AB1099)</f>
        <v>8976.4043955231464</v>
      </c>
    </row>
    <row r="1102" spans="3:31" s="29" customFormat="1" x14ac:dyDescent="0.25">
      <c r="AA1102" s="114" t="s">
        <v>2130</v>
      </c>
      <c r="AB1102" s="114">
        <f>AB1101*0.08</f>
        <v>718.11235164185177</v>
      </c>
    </row>
    <row r="1103" spans="3:31" s="29" customFormat="1" x14ac:dyDescent="0.25">
      <c r="AA1103" s="114" t="s">
        <v>1686</v>
      </c>
      <c r="AB1103" s="114">
        <f>SUM(AB1101+AB1102)</f>
        <v>9694.5167471649984</v>
      </c>
    </row>
    <row r="1104" spans="3:31" s="29" customFormat="1" x14ac:dyDescent="0.25"/>
    <row r="1105" spans="3:24" s="29" customFormat="1" x14ac:dyDescent="0.25">
      <c r="S1105" s="30"/>
      <c r="T1105" s="30"/>
      <c r="U1105" s="30"/>
      <c r="V1105" s="30"/>
      <c r="W1105" s="30"/>
      <c r="X1105" s="30"/>
    </row>
    <row r="1106" spans="3:24" s="29" customFormat="1" x14ac:dyDescent="0.25">
      <c r="C1106" s="993" t="s">
        <v>8</v>
      </c>
      <c r="D1106" s="993"/>
      <c r="E1106" s="993"/>
      <c r="F1106" s="993"/>
      <c r="G1106" s="993"/>
      <c r="H1106" s="993"/>
      <c r="I1106" s="993"/>
      <c r="J1106" s="993"/>
      <c r="S1106" s="30"/>
      <c r="T1106" s="30"/>
      <c r="U1106" s="30"/>
      <c r="V1106" s="30"/>
      <c r="W1106" s="30"/>
      <c r="X1106" s="30"/>
    </row>
    <row r="1107" spans="3:24" s="29" customFormat="1" x14ac:dyDescent="0.25">
      <c r="C1107" s="989" t="s">
        <v>0</v>
      </c>
      <c r="D1107" s="989"/>
      <c r="E1107" s="989"/>
      <c r="F1107" s="989" t="s">
        <v>1</v>
      </c>
      <c r="G1107" s="989"/>
      <c r="H1107" s="989"/>
      <c r="I1107" s="989"/>
      <c r="J1107" s="989"/>
      <c r="S1107" s="30"/>
      <c r="T1107" s="30"/>
      <c r="U1107" s="30"/>
      <c r="V1107" s="30"/>
      <c r="W1107" s="30"/>
      <c r="X1107" s="30"/>
    </row>
    <row r="1108" spans="3:24" s="29" customFormat="1" x14ac:dyDescent="0.25">
      <c r="C1108" s="990" t="s">
        <v>2</v>
      </c>
      <c r="D1108" s="990"/>
      <c r="E1108" s="990"/>
      <c r="F1108" s="991" t="s">
        <v>126</v>
      </c>
      <c r="G1108" s="991"/>
      <c r="H1108" s="991"/>
      <c r="I1108" s="991"/>
      <c r="J1108" s="991"/>
      <c r="M1108" s="113" t="s">
        <v>336</v>
      </c>
      <c r="N1108" s="113" t="s">
        <v>174</v>
      </c>
      <c r="O1108" s="113" t="s">
        <v>248</v>
      </c>
      <c r="P1108" s="113" t="s">
        <v>176</v>
      </c>
      <c r="Q1108" s="113" t="s">
        <v>337</v>
      </c>
      <c r="R1108" s="113" t="s">
        <v>1641</v>
      </c>
      <c r="S1108" s="113" t="s">
        <v>1642</v>
      </c>
      <c r="T1108" s="113" t="s">
        <v>1643</v>
      </c>
      <c r="U1108" s="113" t="s">
        <v>1644</v>
      </c>
      <c r="V1108" s="103"/>
      <c r="W1108" s="103"/>
      <c r="X1108" s="103"/>
    </row>
    <row r="1109" spans="3:24" s="29" customFormat="1" x14ac:dyDescent="0.25">
      <c r="C1109" s="990"/>
      <c r="D1109" s="990"/>
      <c r="E1109" s="990"/>
      <c r="F1109" s="991"/>
      <c r="G1109" s="991"/>
      <c r="H1109" s="991"/>
      <c r="I1109" s="991"/>
      <c r="J1109" s="991"/>
      <c r="M1109" s="114" t="s">
        <v>508</v>
      </c>
      <c r="N1109" s="114">
        <f>P22</f>
        <v>3.4</v>
      </c>
      <c r="O1109" s="114" t="str">
        <f>O22</f>
        <v>g</v>
      </c>
      <c r="P1109" s="114">
        <v>100</v>
      </c>
      <c r="Q1109" s="114">
        <f>N1109*P1109</f>
        <v>340</v>
      </c>
      <c r="R1109" s="114">
        <v>0</v>
      </c>
      <c r="S1109" s="114">
        <f>P1109*R1109</f>
        <v>0</v>
      </c>
      <c r="T1109" s="114">
        <f>P1109-S1109</f>
        <v>100</v>
      </c>
      <c r="U1109" s="114">
        <f>Q1109+((S1109*Q1109)/P1109)</f>
        <v>340</v>
      </c>
      <c r="V1109" s="104"/>
      <c r="W1109" s="104"/>
      <c r="X1109" s="104"/>
    </row>
    <row r="1110" spans="3:24" s="29" customFormat="1" x14ac:dyDescent="0.25">
      <c r="C1110" s="990"/>
      <c r="D1110" s="990"/>
      <c r="E1110" s="990"/>
      <c r="F1110" s="991"/>
      <c r="G1110" s="991"/>
      <c r="H1110" s="991"/>
      <c r="I1110" s="991"/>
      <c r="J1110" s="991"/>
      <c r="M1110" s="114" t="s">
        <v>340</v>
      </c>
      <c r="N1110" s="114">
        <f>Y20</f>
        <v>0.64</v>
      </c>
      <c r="O1110" s="114" t="str">
        <f>X20</f>
        <v>g</v>
      </c>
      <c r="P1110" s="114">
        <v>2</v>
      </c>
      <c r="Q1110" s="114">
        <f t="shared" ref="Q1110:Q1116" si="248">N1110*P1110</f>
        <v>1.28</v>
      </c>
      <c r="R1110" s="114">
        <v>0</v>
      </c>
      <c r="S1110" s="114">
        <f t="shared" ref="S1110:S1116" si="249">P1110*R1110</f>
        <v>0</v>
      </c>
      <c r="T1110" s="114">
        <f t="shared" ref="T1110:T1116" si="250">P1110-S1110</f>
        <v>2</v>
      </c>
      <c r="U1110" s="114">
        <f t="shared" ref="U1110:U1116" si="251">Q1110+((S1110*Q1110)/P1110)</f>
        <v>1.28</v>
      </c>
      <c r="V1110" s="30"/>
      <c r="W1110" s="30"/>
      <c r="X1110" s="30"/>
    </row>
    <row r="1111" spans="3:24" s="29" customFormat="1" x14ac:dyDescent="0.25">
      <c r="C1111" s="989" t="s">
        <v>0</v>
      </c>
      <c r="D1111" s="989"/>
      <c r="E1111" s="989"/>
      <c r="F1111" s="989" t="s">
        <v>1</v>
      </c>
      <c r="G1111" s="989"/>
      <c r="H1111" s="989"/>
      <c r="I1111" s="989"/>
      <c r="J1111" s="989"/>
      <c r="M1111" s="114" t="s">
        <v>346</v>
      </c>
      <c r="N1111" s="114">
        <f>P3</f>
        <v>7</v>
      </c>
      <c r="O1111" s="114" t="str">
        <f>O3</f>
        <v>g</v>
      </c>
      <c r="P1111" s="114">
        <v>4</v>
      </c>
      <c r="Q1111" s="114">
        <f t="shared" si="248"/>
        <v>28</v>
      </c>
      <c r="R1111" s="114">
        <f>AJ2</f>
        <v>0.23</v>
      </c>
      <c r="S1111" s="114">
        <f t="shared" si="249"/>
        <v>0.92</v>
      </c>
      <c r="T1111" s="114">
        <f t="shared" si="250"/>
        <v>3.08</v>
      </c>
      <c r="U1111" s="114">
        <f t="shared" si="251"/>
        <v>34.44</v>
      </c>
      <c r="V1111" s="30"/>
      <c r="W1111" s="30"/>
      <c r="X1111" s="30"/>
    </row>
    <row r="1112" spans="3:24" s="29" customFormat="1" x14ac:dyDescent="0.25">
      <c r="C1112" s="990" t="s">
        <v>3</v>
      </c>
      <c r="D1112" s="990"/>
      <c r="E1112" s="990"/>
      <c r="F1112" s="991" t="s">
        <v>127</v>
      </c>
      <c r="G1112" s="991"/>
      <c r="H1112" s="991"/>
      <c r="I1112" s="991"/>
      <c r="J1112" s="991"/>
      <c r="M1112" s="114" t="s">
        <v>506</v>
      </c>
      <c r="N1112" s="114">
        <f>V8</f>
        <v>115.48</v>
      </c>
      <c r="O1112" s="114" t="str">
        <f>U8</f>
        <v>g</v>
      </c>
      <c r="P1112" s="114">
        <v>60</v>
      </c>
      <c r="Q1112" s="114">
        <f t="shared" si="248"/>
        <v>6928.8</v>
      </c>
      <c r="R1112" s="114">
        <v>0</v>
      </c>
      <c r="S1112" s="114">
        <f t="shared" si="249"/>
        <v>0</v>
      </c>
      <c r="T1112" s="114">
        <f t="shared" si="250"/>
        <v>60</v>
      </c>
      <c r="U1112" s="114">
        <f t="shared" si="251"/>
        <v>6928.8</v>
      </c>
      <c r="V1112" s="30"/>
      <c r="W1112" s="30"/>
      <c r="X1112" s="30"/>
    </row>
    <row r="1113" spans="3:24" s="29" customFormat="1" x14ac:dyDescent="0.25">
      <c r="C1113" s="990"/>
      <c r="D1113" s="990"/>
      <c r="E1113" s="990"/>
      <c r="F1113" s="991"/>
      <c r="G1113" s="991"/>
      <c r="H1113" s="991"/>
      <c r="I1113" s="991"/>
      <c r="J1113" s="991"/>
      <c r="M1113" s="114" t="s">
        <v>507</v>
      </c>
      <c r="N1113" s="114">
        <f>V2</f>
        <v>13.11</v>
      </c>
      <c r="O1113" s="114" t="str">
        <f>U2</f>
        <v>g</v>
      </c>
      <c r="P1113" s="114">
        <v>150</v>
      </c>
      <c r="Q1113" s="114">
        <f t="shared" si="248"/>
        <v>1966.5</v>
      </c>
      <c r="R1113" s="114">
        <v>0</v>
      </c>
      <c r="S1113" s="114">
        <f t="shared" si="249"/>
        <v>0</v>
      </c>
      <c r="T1113" s="114">
        <f t="shared" si="250"/>
        <v>150</v>
      </c>
      <c r="U1113" s="114">
        <f t="shared" si="251"/>
        <v>1966.5</v>
      </c>
      <c r="V1113" s="30"/>
      <c r="W1113" s="30"/>
      <c r="X1113" s="30"/>
    </row>
    <row r="1114" spans="3:24" s="29" customFormat="1" x14ac:dyDescent="0.25">
      <c r="C1114" s="990"/>
      <c r="D1114" s="990"/>
      <c r="E1114" s="990"/>
      <c r="F1114" s="991"/>
      <c r="G1114" s="991"/>
      <c r="H1114" s="991"/>
      <c r="I1114" s="991"/>
      <c r="J1114" s="991"/>
      <c r="M1114" s="114" t="s">
        <v>349</v>
      </c>
      <c r="N1114" s="114">
        <f>S15</f>
        <v>41</v>
      </c>
      <c r="O1114" s="114" t="str">
        <f>R15</f>
        <v>g</v>
      </c>
      <c r="P1114" s="114">
        <v>50</v>
      </c>
      <c r="Q1114" s="114">
        <f t="shared" si="248"/>
        <v>2050</v>
      </c>
      <c r="R1114" s="114">
        <f>AN3</f>
        <v>0.47</v>
      </c>
      <c r="S1114" s="114">
        <f t="shared" si="249"/>
        <v>23.5</v>
      </c>
      <c r="T1114" s="114">
        <f t="shared" si="250"/>
        <v>26.5</v>
      </c>
      <c r="U1114" s="114">
        <f t="shared" si="251"/>
        <v>3013.5</v>
      </c>
      <c r="V1114" s="30"/>
      <c r="W1114" s="30"/>
      <c r="X1114" s="30"/>
    </row>
    <row r="1115" spans="3:24" s="29" customFormat="1" x14ac:dyDescent="0.25">
      <c r="C1115" s="990" t="s">
        <v>4</v>
      </c>
      <c r="D1115" s="990"/>
      <c r="E1115" s="990"/>
      <c r="F1115" s="991" t="s">
        <v>15</v>
      </c>
      <c r="G1115" s="991"/>
      <c r="H1115" s="991"/>
      <c r="I1115" s="991"/>
      <c r="J1115" s="991"/>
      <c r="M1115" s="114" t="s">
        <v>427</v>
      </c>
      <c r="N1115" s="114">
        <f>S8</f>
        <v>59</v>
      </c>
      <c r="O1115" s="114" t="str">
        <f>R8</f>
        <v>g</v>
      </c>
      <c r="P1115" s="114">
        <v>50</v>
      </c>
      <c r="Q1115" s="114">
        <f t="shared" si="248"/>
        <v>2950</v>
      </c>
      <c r="R1115" s="114">
        <f>AN4</f>
        <v>0.41</v>
      </c>
      <c r="S1115" s="114">
        <f t="shared" si="249"/>
        <v>20.5</v>
      </c>
      <c r="T1115" s="114">
        <f t="shared" si="250"/>
        <v>29.5</v>
      </c>
      <c r="U1115" s="114">
        <f t="shared" si="251"/>
        <v>4159.5</v>
      </c>
      <c r="V1115" s="30"/>
      <c r="W1115" s="30"/>
      <c r="X1115" s="30"/>
    </row>
    <row r="1116" spans="3:24" s="29" customFormat="1" x14ac:dyDescent="0.25">
      <c r="C1116" s="990"/>
      <c r="D1116" s="990"/>
      <c r="E1116" s="990"/>
      <c r="F1116" s="991"/>
      <c r="G1116" s="991"/>
      <c r="H1116" s="991"/>
      <c r="I1116" s="991"/>
      <c r="J1116" s="991"/>
      <c r="M1116" s="114" t="s">
        <v>338</v>
      </c>
      <c r="N1116" s="153">
        <f>AE4</f>
        <v>2.25</v>
      </c>
      <c r="O1116" s="114" t="str">
        <f>AD4</f>
        <v>g</v>
      </c>
      <c r="P1116" s="114">
        <v>50</v>
      </c>
      <c r="Q1116" s="114">
        <f t="shared" si="248"/>
        <v>112.5</v>
      </c>
      <c r="R1116" s="114">
        <v>0</v>
      </c>
      <c r="S1116" s="114">
        <f t="shared" si="249"/>
        <v>0</v>
      </c>
      <c r="T1116" s="114">
        <f t="shared" si="250"/>
        <v>50</v>
      </c>
      <c r="U1116" s="114">
        <f t="shared" si="251"/>
        <v>112.5</v>
      </c>
      <c r="V1116" s="30"/>
      <c r="W1116" s="30"/>
      <c r="X1116" s="30"/>
    </row>
    <row r="1117" spans="3:24" s="29" customFormat="1" x14ac:dyDescent="0.25">
      <c r="C1117" s="990"/>
      <c r="D1117" s="990"/>
      <c r="E1117" s="990"/>
      <c r="F1117" s="991"/>
      <c r="G1117" s="991"/>
      <c r="H1117" s="991"/>
      <c r="I1117" s="991"/>
      <c r="J1117" s="991"/>
      <c r="M1117" s="114" t="s">
        <v>337</v>
      </c>
      <c r="N1117" s="114">
        <f>SUM(N1109:N1116)</f>
        <v>241.88</v>
      </c>
      <c r="O1117" s="114"/>
      <c r="P1117" s="114">
        <f>SUM(P1109:P1116)</f>
        <v>466</v>
      </c>
      <c r="Q1117" s="114">
        <f>SUM(Q1109:Q1116)</f>
        <v>14377.08</v>
      </c>
      <c r="R1117" s="114"/>
      <c r="S1117" s="114"/>
      <c r="T1117" s="114"/>
      <c r="U1117" s="114">
        <f>SUM(U1109:U1116)</f>
        <v>16556.52</v>
      </c>
      <c r="V1117" s="30"/>
      <c r="W1117" s="30"/>
      <c r="X1117" s="30"/>
    </row>
    <row r="1118" spans="3:24" s="29" customFormat="1" x14ac:dyDescent="0.25">
      <c r="C1118" s="990" t="s">
        <v>5</v>
      </c>
      <c r="D1118" s="990"/>
      <c r="E1118" s="990"/>
      <c r="F1118" s="991" t="s">
        <v>128</v>
      </c>
      <c r="G1118" s="991"/>
      <c r="H1118" s="991"/>
      <c r="I1118" s="991"/>
      <c r="J1118" s="991"/>
      <c r="S1118" s="30"/>
      <c r="T1118" s="30"/>
      <c r="U1118" s="30"/>
      <c r="V1118" s="30"/>
      <c r="W1118" s="30"/>
      <c r="X1118" s="30"/>
    </row>
    <row r="1119" spans="3:24" s="29" customFormat="1" x14ac:dyDescent="0.25">
      <c r="C1119" s="990"/>
      <c r="D1119" s="990"/>
      <c r="E1119" s="990"/>
      <c r="F1119" s="991"/>
      <c r="G1119" s="991"/>
      <c r="H1119" s="991"/>
      <c r="I1119" s="991"/>
      <c r="J1119" s="991"/>
      <c r="Q1119" s="114" t="s">
        <v>1681</v>
      </c>
      <c r="R1119" s="114">
        <f>U1117</f>
        <v>16556.52</v>
      </c>
      <c r="S1119" s="608" t="s">
        <v>2142</v>
      </c>
      <c r="T1119" s="608">
        <f>(R1119*100)/R1126</f>
        <v>51.781458083426237</v>
      </c>
      <c r="U1119" s="30"/>
      <c r="V1119" s="30"/>
      <c r="W1119" s="30"/>
      <c r="X1119" s="30"/>
    </row>
    <row r="1120" spans="3:24" s="29" customFormat="1" x14ac:dyDescent="0.25">
      <c r="C1120" s="990"/>
      <c r="D1120" s="990"/>
      <c r="E1120" s="990"/>
      <c r="F1120" s="991"/>
      <c r="G1120" s="991"/>
      <c r="H1120" s="991"/>
      <c r="I1120" s="991"/>
      <c r="J1120" s="991"/>
      <c r="Q1120" s="114" t="s">
        <v>2326</v>
      </c>
      <c r="R1120" s="114">
        <f>$AL$26</f>
        <v>1801.715474357886</v>
      </c>
    </row>
    <row r="1121" spans="3:24" s="29" customFormat="1" x14ac:dyDescent="0.25">
      <c r="C1121" s="990" t="s">
        <v>6</v>
      </c>
      <c r="D1121" s="990"/>
      <c r="E1121" s="990"/>
      <c r="F1121" s="991" t="s">
        <v>9</v>
      </c>
      <c r="G1121" s="991"/>
      <c r="H1121" s="991"/>
      <c r="I1121" s="991"/>
      <c r="J1121" s="991"/>
      <c r="Q1121" s="114" t="s">
        <v>2325</v>
      </c>
      <c r="R1121" s="114">
        <f>$AL$27</f>
        <v>75.599999999999994</v>
      </c>
    </row>
    <row r="1122" spans="3:24" s="29" customFormat="1" x14ac:dyDescent="0.25">
      <c r="C1122" s="990"/>
      <c r="D1122" s="990"/>
      <c r="E1122" s="990"/>
      <c r="F1122" s="991"/>
      <c r="G1122" s="991"/>
      <c r="H1122" s="991"/>
      <c r="I1122" s="991"/>
      <c r="J1122" s="991"/>
      <c r="Q1122" s="114" t="s">
        <v>1684</v>
      </c>
      <c r="R1122" s="114">
        <f>$AL$29</f>
        <v>69.543532482306858</v>
      </c>
    </row>
    <row r="1123" spans="3:24" s="29" customFormat="1" x14ac:dyDescent="0.25">
      <c r="C1123" s="990"/>
      <c r="D1123" s="990"/>
      <c r="E1123" s="990"/>
      <c r="F1123" s="991"/>
      <c r="G1123" s="991"/>
      <c r="H1123" s="991"/>
      <c r="I1123" s="991"/>
      <c r="J1123" s="991"/>
      <c r="Q1123" s="114" t="s">
        <v>1685</v>
      </c>
      <c r="R1123" s="114">
        <v>0.6</v>
      </c>
    </row>
    <row r="1124" spans="3:24" s="29" customFormat="1" x14ac:dyDescent="0.25">
      <c r="C1124" s="990" t="s">
        <v>7</v>
      </c>
      <c r="D1124" s="990"/>
      <c r="E1124" s="990"/>
      <c r="F1124" s="991" t="s">
        <v>614</v>
      </c>
      <c r="G1124" s="991"/>
      <c r="H1124" s="991"/>
      <c r="I1124" s="991"/>
      <c r="J1124" s="991"/>
      <c r="Q1124" s="114" t="s">
        <v>1708</v>
      </c>
      <c r="R1124" s="114">
        <f>(SUM(R1119:R1122)*R1123)+SUM(R1119:R1122)</f>
        <v>29605.40641094431</v>
      </c>
    </row>
    <row r="1125" spans="3:24" s="29" customFormat="1" x14ac:dyDescent="0.25">
      <c r="C1125" s="990"/>
      <c r="D1125" s="990"/>
      <c r="E1125" s="990"/>
      <c r="F1125" s="991"/>
      <c r="G1125" s="991"/>
      <c r="H1125" s="991"/>
      <c r="I1125" s="991"/>
      <c r="J1125" s="991"/>
      <c r="Q1125" s="114" t="s">
        <v>2130</v>
      </c>
      <c r="R1125" s="114">
        <f>R1124*0.08</f>
        <v>2368.4325128755449</v>
      </c>
    </row>
    <row r="1126" spans="3:24" s="29" customFormat="1" x14ac:dyDescent="0.25">
      <c r="C1126" s="990"/>
      <c r="D1126" s="990"/>
      <c r="E1126" s="990"/>
      <c r="F1126" s="991"/>
      <c r="G1126" s="991"/>
      <c r="H1126" s="991"/>
      <c r="I1126" s="991"/>
      <c r="J1126" s="991"/>
      <c r="Q1126" s="114" t="s">
        <v>1686</v>
      </c>
      <c r="R1126" s="114">
        <f>SUM(R1124+R1125)</f>
        <v>31973.838923819854</v>
      </c>
    </row>
    <row r="1127" spans="3:24" s="29" customFormat="1" x14ac:dyDescent="0.25"/>
    <row r="1128" spans="3:24" s="29" customFormat="1" x14ac:dyDescent="0.25"/>
    <row r="1129" spans="3:24" s="29" customFormat="1" x14ac:dyDescent="0.25">
      <c r="C1129" s="993" t="s">
        <v>8</v>
      </c>
      <c r="D1129" s="993"/>
      <c r="E1129" s="993"/>
      <c r="F1129" s="993"/>
      <c r="G1129" s="993"/>
      <c r="H1129" s="993"/>
      <c r="I1129" s="993"/>
      <c r="J1129" s="993"/>
    </row>
    <row r="1130" spans="3:24" s="29" customFormat="1" x14ac:dyDescent="0.25">
      <c r="C1130" s="989" t="s">
        <v>0</v>
      </c>
      <c r="D1130" s="989"/>
      <c r="E1130" s="989"/>
      <c r="F1130" s="989" t="s">
        <v>1</v>
      </c>
      <c r="G1130" s="989"/>
      <c r="H1130" s="989"/>
      <c r="I1130" s="989"/>
      <c r="J1130" s="989"/>
    </row>
    <row r="1131" spans="3:24" s="29" customFormat="1" x14ac:dyDescent="0.25">
      <c r="C1131" s="990" t="s">
        <v>2</v>
      </c>
      <c r="D1131" s="990"/>
      <c r="E1131" s="990"/>
      <c r="F1131" s="991" t="s">
        <v>318</v>
      </c>
      <c r="G1131" s="991"/>
      <c r="H1131" s="991"/>
      <c r="I1131" s="991"/>
      <c r="J1131" s="991"/>
      <c r="M1131" s="113" t="s">
        <v>336</v>
      </c>
      <c r="N1131" s="113" t="s">
        <v>174</v>
      </c>
      <c r="O1131" s="113" t="s">
        <v>248</v>
      </c>
      <c r="P1131" s="113" t="s">
        <v>176</v>
      </c>
      <c r="Q1131" s="113" t="s">
        <v>337</v>
      </c>
      <c r="R1131" s="113" t="s">
        <v>1641</v>
      </c>
      <c r="S1131" s="113" t="s">
        <v>1642</v>
      </c>
      <c r="T1131" s="113" t="s">
        <v>1643</v>
      </c>
      <c r="U1131" s="113" t="s">
        <v>1644</v>
      </c>
      <c r="V1131" s="103"/>
      <c r="W1131" s="103"/>
      <c r="X1131" s="103"/>
    </row>
    <row r="1132" spans="3:24" s="29" customFormat="1" x14ac:dyDescent="0.25">
      <c r="C1132" s="990"/>
      <c r="D1132" s="990"/>
      <c r="E1132" s="990"/>
      <c r="F1132" s="991"/>
      <c r="G1132" s="991"/>
      <c r="H1132" s="991"/>
      <c r="I1132" s="991"/>
      <c r="J1132" s="991"/>
      <c r="M1132" s="114" t="s">
        <v>344</v>
      </c>
      <c r="N1132" s="114">
        <f>E5</f>
        <v>2099.0723984875517</v>
      </c>
      <c r="O1132" s="114" t="str">
        <f>D5</f>
        <v>g</v>
      </c>
      <c r="P1132" s="114">
        <v>100</v>
      </c>
      <c r="Q1132" s="114">
        <f>N1132</f>
        <v>2099.0723984875517</v>
      </c>
      <c r="R1132" s="114">
        <v>0</v>
      </c>
      <c r="S1132" s="114">
        <f>P1132*R1132</f>
        <v>0</v>
      </c>
      <c r="T1132" s="114">
        <f>P1132-S1132</f>
        <v>100</v>
      </c>
      <c r="U1132" s="114">
        <f>Q1132+((S1132*Q1132)/P1132)</f>
        <v>2099.0723984875517</v>
      </c>
      <c r="V1132" s="104"/>
      <c r="W1132" s="104"/>
      <c r="X1132" s="104"/>
    </row>
    <row r="1133" spans="3:24" s="29" customFormat="1" x14ac:dyDescent="0.25">
      <c r="C1133" s="990"/>
      <c r="D1133" s="990"/>
      <c r="E1133" s="990"/>
      <c r="F1133" s="991"/>
      <c r="G1133" s="991"/>
      <c r="H1133" s="991"/>
      <c r="I1133" s="991"/>
      <c r="J1133" s="991"/>
      <c r="M1133" s="114" t="s">
        <v>340</v>
      </c>
      <c r="N1133" s="114">
        <f>Y20</f>
        <v>0.64</v>
      </c>
      <c r="O1133" s="114" t="str">
        <f>X20</f>
        <v>g</v>
      </c>
      <c r="P1133" s="114">
        <v>2</v>
      </c>
      <c r="Q1133" s="114">
        <f t="shared" ref="Q1133:Q1143" si="252">N1133*P1133</f>
        <v>1.28</v>
      </c>
      <c r="R1133" s="114">
        <v>0</v>
      </c>
      <c r="S1133" s="114">
        <f t="shared" ref="S1133:S1143" si="253">P1133*R1133</f>
        <v>0</v>
      </c>
      <c r="T1133" s="114">
        <f t="shared" ref="T1133:T1143" si="254">P1133-S1133</f>
        <v>2</v>
      </c>
      <c r="U1133" s="114">
        <f t="shared" ref="U1133:U1143" si="255">Q1133+((S1133*Q1133)/P1133)</f>
        <v>1.28</v>
      </c>
      <c r="V1133" s="30"/>
      <c r="W1133" s="30"/>
      <c r="X1133" s="30"/>
    </row>
    <row r="1134" spans="3:24" s="29" customFormat="1" x14ac:dyDescent="0.25">
      <c r="C1134" s="989" t="s">
        <v>0</v>
      </c>
      <c r="D1134" s="989"/>
      <c r="E1134" s="989"/>
      <c r="F1134" s="989" t="s">
        <v>1</v>
      </c>
      <c r="G1134" s="989"/>
      <c r="H1134" s="989"/>
      <c r="I1134" s="989"/>
      <c r="J1134" s="989"/>
      <c r="M1134" s="114" t="s">
        <v>346</v>
      </c>
      <c r="N1134" s="114">
        <f>P3</f>
        <v>7</v>
      </c>
      <c r="O1134" s="114" t="str">
        <f>O3</f>
        <v>g</v>
      </c>
      <c r="P1134" s="114">
        <v>4</v>
      </c>
      <c r="Q1134" s="114">
        <f t="shared" si="252"/>
        <v>28</v>
      </c>
      <c r="R1134" s="114">
        <f>AJ2</f>
        <v>0.23</v>
      </c>
      <c r="S1134" s="114">
        <f t="shared" si="253"/>
        <v>0.92</v>
      </c>
      <c r="T1134" s="114">
        <f t="shared" si="254"/>
        <v>3.08</v>
      </c>
      <c r="U1134" s="114">
        <f t="shared" si="255"/>
        <v>34.44</v>
      </c>
      <c r="V1134" s="30"/>
      <c r="W1134" s="30"/>
      <c r="X1134" s="30"/>
    </row>
    <row r="1135" spans="3:24" s="29" customFormat="1" x14ac:dyDescent="0.25">
      <c r="C1135" s="990" t="s">
        <v>3</v>
      </c>
      <c r="D1135" s="990"/>
      <c r="E1135" s="990"/>
      <c r="F1135" s="992" t="s">
        <v>318</v>
      </c>
      <c r="G1135" s="991"/>
      <c r="H1135" s="991"/>
      <c r="I1135" s="991"/>
      <c r="J1135" s="991"/>
      <c r="M1135" s="114" t="s">
        <v>436</v>
      </c>
      <c r="N1135" s="114">
        <f>P31</f>
        <v>2.6</v>
      </c>
      <c r="O1135" s="114" t="str">
        <f>O31</f>
        <v>g</v>
      </c>
      <c r="P1135" s="114">
        <v>30</v>
      </c>
      <c r="Q1135" s="114">
        <f t="shared" si="252"/>
        <v>78</v>
      </c>
      <c r="R1135" s="114">
        <f>AJ19</f>
        <v>0.37</v>
      </c>
      <c r="S1135" s="114">
        <f t="shared" si="253"/>
        <v>11.1</v>
      </c>
      <c r="T1135" s="114">
        <f t="shared" si="254"/>
        <v>18.899999999999999</v>
      </c>
      <c r="U1135" s="114">
        <f t="shared" si="255"/>
        <v>106.86</v>
      </c>
      <c r="V1135" s="30"/>
      <c r="W1135" s="30"/>
      <c r="X1135" s="30"/>
    </row>
    <row r="1136" spans="3:24" s="29" customFormat="1" x14ac:dyDescent="0.25">
      <c r="C1136" s="990"/>
      <c r="D1136" s="990"/>
      <c r="E1136" s="990"/>
      <c r="F1136" s="991"/>
      <c r="G1136" s="991"/>
      <c r="H1136" s="991"/>
      <c r="I1136" s="991"/>
      <c r="J1136" s="991"/>
      <c r="M1136" s="114" t="s">
        <v>435</v>
      </c>
      <c r="N1136" s="114">
        <f>P5</f>
        <v>2.5</v>
      </c>
      <c r="O1136" s="114" t="str">
        <f>O5</f>
        <v>g</v>
      </c>
      <c r="P1136" s="114">
        <v>15</v>
      </c>
      <c r="Q1136" s="114">
        <f t="shared" si="252"/>
        <v>37.5</v>
      </c>
      <c r="R1136" s="114">
        <f>AJ3</f>
        <v>0.37</v>
      </c>
      <c r="S1136" s="114">
        <f t="shared" si="253"/>
        <v>5.55</v>
      </c>
      <c r="T1136" s="114">
        <f t="shared" si="254"/>
        <v>9.4499999999999993</v>
      </c>
      <c r="U1136" s="114">
        <f t="shared" si="255"/>
        <v>51.375</v>
      </c>
      <c r="V1136" s="30"/>
      <c r="W1136" s="30"/>
      <c r="X1136" s="30"/>
    </row>
    <row r="1137" spans="3:24" s="29" customFormat="1" x14ac:dyDescent="0.25">
      <c r="C1137" s="990"/>
      <c r="D1137" s="990"/>
      <c r="E1137" s="990"/>
      <c r="F1137" s="991"/>
      <c r="G1137" s="991"/>
      <c r="H1137" s="991"/>
      <c r="I1137" s="991"/>
      <c r="J1137" s="991"/>
      <c r="M1137" s="114" t="s">
        <v>490</v>
      </c>
      <c r="N1137" s="114">
        <f>P6</f>
        <v>7.8</v>
      </c>
      <c r="O1137" s="114" t="str">
        <f>O6</f>
        <v>g</v>
      </c>
      <c r="P1137" s="114">
        <v>10</v>
      </c>
      <c r="Q1137" s="114">
        <f t="shared" si="252"/>
        <v>78</v>
      </c>
      <c r="R1137" s="114">
        <f>AJ4</f>
        <v>0.55000000000000004</v>
      </c>
      <c r="S1137" s="114">
        <f t="shared" si="253"/>
        <v>5.5</v>
      </c>
      <c r="T1137" s="114">
        <f t="shared" si="254"/>
        <v>4.5</v>
      </c>
      <c r="U1137" s="114">
        <f t="shared" si="255"/>
        <v>120.9</v>
      </c>
      <c r="V1137" s="30"/>
      <c r="W1137" s="30"/>
      <c r="X1137" s="30"/>
    </row>
    <row r="1138" spans="3:24" s="29" customFormat="1" x14ac:dyDescent="0.25">
      <c r="C1138" s="990" t="s">
        <v>4</v>
      </c>
      <c r="D1138" s="990"/>
      <c r="E1138" s="990"/>
      <c r="F1138" s="991" t="s">
        <v>15</v>
      </c>
      <c r="G1138" s="991"/>
      <c r="H1138" s="991"/>
      <c r="I1138" s="991"/>
      <c r="J1138" s="991"/>
      <c r="M1138" s="114" t="s">
        <v>510</v>
      </c>
      <c r="N1138" s="114">
        <f>P21</f>
        <v>1.6</v>
      </c>
      <c r="O1138" s="114" t="str">
        <f>O21</f>
        <v>g</v>
      </c>
      <c r="P1138" s="114">
        <v>20</v>
      </c>
      <c r="Q1138" s="114">
        <f t="shared" si="252"/>
        <v>32</v>
      </c>
      <c r="R1138" s="114">
        <f>AJ12</f>
        <v>0</v>
      </c>
      <c r="S1138" s="114">
        <f t="shared" si="253"/>
        <v>0</v>
      </c>
      <c r="T1138" s="114">
        <f t="shared" si="254"/>
        <v>20</v>
      </c>
      <c r="U1138" s="114">
        <f t="shared" si="255"/>
        <v>32</v>
      </c>
      <c r="V1138" s="30"/>
      <c r="W1138" s="30"/>
      <c r="X1138" s="30"/>
    </row>
    <row r="1139" spans="3:24" s="29" customFormat="1" x14ac:dyDescent="0.25">
      <c r="C1139" s="990"/>
      <c r="D1139" s="990"/>
      <c r="E1139" s="990"/>
      <c r="F1139" s="991"/>
      <c r="G1139" s="991"/>
      <c r="H1139" s="991"/>
      <c r="I1139" s="991"/>
      <c r="J1139" s="991"/>
      <c r="M1139" s="114" t="s">
        <v>430</v>
      </c>
      <c r="N1139" s="114">
        <f>P11</f>
        <v>1.4</v>
      </c>
      <c r="O1139" s="114" t="str">
        <f>O11</f>
        <v>g</v>
      </c>
      <c r="P1139" s="114">
        <v>30</v>
      </c>
      <c r="Q1139" s="114">
        <f t="shared" si="252"/>
        <v>42</v>
      </c>
      <c r="R1139" s="114">
        <f>AJ8</f>
        <v>0.59</v>
      </c>
      <c r="S1139" s="114">
        <f t="shared" si="253"/>
        <v>17.7</v>
      </c>
      <c r="T1139" s="114">
        <f t="shared" si="254"/>
        <v>12.3</v>
      </c>
      <c r="U1139" s="114">
        <f t="shared" si="255"/>
        <v>66.78</v>
      </c>
      <c r="V1139" s="30"/>
      <c r="W1139" s="30"/>
      <c r="X1139" s="30"/>
    </row>
    <row r="1140" spans="3:24" s="29" customFormat="1" x14ac:dyDescent="0.25">
      <c r="C1140" s="990"/>
      <c r="D1140" s="990"/>
      <c r="E1140" s="990"/>
      <c r="F1140" s="991"/>
      <c r="G1140" s="991"/>
      <c r="H1140" s="991"/>
      <c r="I1140" s="991"/>
      <c r="J1140" s="991"/>
      <c r="M1140" s="114" t="s">
        <v>511</v>
      </c>
      <c r="N1140" s="114">
        <f>P15</f>
        <v>8</v>
      </c>
      <c r="O1140" s="114" t="str">
        <f>O15</f>
        <v>g</v>
      </c>
      <c r="P1140" s="114">
        <v>10</v>
      </c>
      <c r="Q1140" s="114">
        <f t="shared" si="252"/>
        <v>80</v>
      </c>
      <c r="R1140" s="114">
        <v>0</v>
      </c>
      <c r="S1140" s="114">
        <f t="shared" si="253"/>
        <v>0</v>
      </c>
      <c r="T1140" s="114">
        <f t="shared" si="254"/>
        <v>10</v>
      </c>
      <c r="U1140" s="114">
        <f t="shared" si="255"/>
        <v>80</v>
      </c>
    </row>
    <row r="1141" spans="3:24" s="29" customFormat="1" x14ac:dyDescent="0.25">
      <c r="C1141" s="990" t="s">
        <v>5</v>
      </c>
      <c r="D1141" s="990"/>
      <c r="E1141" s="990"/>
      <c r="F1141" s="991" t="s">
        <v>130</v>
      </c>
      <c r="G1141" s="991"/>
      <c r="H1141" s="991"/>
      <c r="I1141" s="991"/>
      <c r="J1141" s="991"/>
      <c r="M1141" s="114" t="s">
        <v>349</v>
      </c>
      <c r="N1141" s="114">
        <f>S15</f>
        <v>41</v>
      </c>
      <c r="O1141" s="114" t="str">
        <f>R15</f>
        <v>g</v>
      </c>
      <c r="P1141" s="114">
        <v>30</v>
      </c>
      <c r="Q1141" s="114">
        <f t="shared" si="252"/>
        <v>1230</v>
      </c>
      <c r="R1141" s="114">
        <f>AN3</f>
        <v>0.47</v>
      </c>
      <c r="S1141" s="114">
        <f t="shared" si="253"/>
        <v>14.1</v>
      </c>
      <c r="T1141" s="114">
        <f t="shared" si="254"/>
        <v>15.9</v>
      </c>
      <c r="U1141" s="114">
        <f t="shared" si="255"/>
        <v>1808.1</v>
      </c>
    </row>
    <row r="1142" spans="3:24" s="29" customFormat="1" x14ac:dyDescent="0.25">
      <c r="C1142" s="990"/>
      <c r="D1142" s="990"/>
      <c r="E1142" s="990"/>
      <c r="F1142" s="991"/>
      <c r="G1142" s="991"/>
      <c r="H1142" s="991"/>
      <c r="I1142" s="991"/>
      <c r="J1142" s="991"/>
      <c r="M1142" s="114" t="s">
        <v>427</v>
      </c>
      <c r="N1142" s="114">
        <f>S8</f>
        <v>59</v>
      </c>
      <c r="O1142" s="114" t="str">
        <f>R8</f>
        <v>g</v>
      </c>
      <c r="P1142" s="114">
        <v>30</v>
      </c>
      <c r="Q1142" s="114">
        <f t="shared" si="252"/>
        <v>1770</v>
      </c>
      <c r="R1142" s="114">
        <f>AN4</f>
        <v>0.41</v>
      </c>
      <c r="S1142" s="114">
        <f t="shared" si="253"/>
        <v>12.299999999999999</v>
      </c>
      <c r="T1142" s="114">
        <f t="shared" si="254"/>
        <v>17.700000000000003</v>
      </c>
      <c r="U1142" s="114">
        <f t="shared" si="255"/>
        <v>2495.6999999999998</v>
      </c>
    </row>
    <row r="1143" spans="3:24" s="29" customFormat="1" x14ac:dyDescent="0.25">
      <c r="C1143" s="990"/>
      <c r="D1143" s="990"/>
      <c r="E1143" s="990"/>
      <c r="F1143" s="991"/>
      <c r="G1143" s="991"/>
      <c r="H1143" s="991"/>
      <c r="I1143" s="991"/>
      <c r="J1143" s="991"/>
      <c r="M1143" s="114" t="s">
        <v>802</v>
      </c>
      <c r="N1143" s="114">
        <f>AE17</f>
        <v>34.270000000000003</v>
      </c>
      <c r="O1143" s="114" t="s">
        <v>342</v>
      </c>
      <c r="P1143" s="114">
        <v>200</v>
      </c>
      <c r="Q1143" s="114">
        <f t="shared" si="252"/>
        <v>6854.0000000000009</v>
      </c>
      <c r="R1143" s="114">
        <v>0</v>
      </c>
      <c r="S1143" s="114">
        <f t="shared" si="253"/>
        <v>0</v>
      </c>
      <c r="T1143" s="114">
        <f t="shared" si="254"/>
        <v>200</v>
      </c>
      <c r="U1143" s="114">
        <f t="shared" si="255"/>
        <v>6854.0000000000009</v>
      </c>
    </row>
    <row r="1144" spans="3:24" s="29" customFormat="1" x14ac:dyDescent="0.25">
      <c r="C1144" s="990" t="s">
        <v>6</v>
      </c>
      <c r="D1144" s="990"/>
      <c r="E1144" s="990"/>
      <c r="F1144" s="991" t="s">
        <v>9</v>
      </c>
      <c r="G1144" s="991"/>
      <c r="H1144" s="991"/>
      <c r="I1144" s="991"/>
      <c r="J1144" s="991"/>
      <c r="M1144" s="114" t="s">
        <v>337</v>
      </c>
      <c r="N1144" s="114">
        <f>SUM(N1132:N1143)</f>
        <v>2264.8823984875517</v>
      </c>
      <c r="O1144" s="114" t="str">
        <f>AD17</f>
        <v>g</v>
      </c>
      <c r="P1144" s="114">
        <f>SUM(P1132:P1143)</f>
        <v>481</v>
      </c>
      <c r="Q1144" s="114">
        <f>SUM(Q1132:Q1143)</f>
        <v>12329.852398487554</v>
      </c>
      <c r="R1144" s="114"/>
      <c r="S1144" s="114"/>
      <c r="T1144" s="114"/>
      <c r="U1144" s="114">
        <f>SUM(U1132:U1143)</f>
        <v>13750.507398487553</v>
      </c>
    </row>
    <row r="1145" spans="3:24" s="29" customFormat="1" x14ac:dyDescent="0.25">
      <c r="C1145" s="990"/>
      <c r="D1145" s="990"/>
      <c r="E1145" s="990"/>
      <c r="F1145" s="991"/>
      <c r="G1145" s="991"/>
      <c r="H1145" s="991"/>
      <c r="I1145" s="991"/>
      <c r="J1145" s="991"/>
    </row>
    <row r="1146" spans="3:24" s="29" customFormat="1" x14ac:dyDescent="0.25">
      <c r="C1146" s="990"/>
      <c r="D1146" s="990"/>
      <c r="E1146" s="990"/>
      <c r="F1146" s="991"/>
      <c r="G1146" s="991"/>
      <c r="H1146" s="991"/>
      <c r="I1146" s="991"/>
      <c r="J1146" s="991"/>
      <c r="Q1146" s="114" t="s">
        <v>1681</v>
      </c>
      <c r="R1146" s="114">
        <f>U1144</f>
        <v>13750.507398487553</v>
      </c>
      <c r="S1146" s="608" t="s">
        <v>2142</v>
      </c>
      <c r="T1146" s="608">
        <f>(R1146*100)/R1153</f>
        <v>50.693022981288955</v>
      </c>
    </row>
    <row r="1147" spans="3:24" s="29" customFormat="1" x14ac:dyDescent="0.25">
      <c r="C1147" s="990" t="s">
        <v>7</v>
      </c>
      <c r="D1147" s="990"/>
      <c r="E1147" s="990"/>
      <c r="F1147" s="991" t="s">
        <v>509</v>
      </c>
      <c r="G1147" s="991"/>
      <c r="H1147" s="991"/>
      <c r="I1147" s="991"/>
      <c r="J1147" s="991"/>
      <c r="Q1147" s="114" t="s">
        <v>2326</v>
      </c>
      <c r="R1147" s="114">
        <f>$AL$26</f>
        <v>1801.715474357886</v>
      </c>
    </row>
    <row r="1148" spans="3:24" s="29" customFormat="1" x14ac:dyDescent="0.25">
      <c r="C1148" s="990"/>
      <c r="D1148" s="990"/>
      <c r="E1148" s="990"/>
      <c r="F1148" s="991"/>
      <c r="G1148" s="991"/>
      <c r="H1148" s="991"/>
      <c r="I1148" s="991"/>
      <c r="J1148" s="991"/>
      <c r="Q1148" s="114" t="s">
        <v>2325</v>
      </c>
      <c r="R1148" s="114">
        <f>$AL$27</f>
        <v>75.599999999999994</v>
      </c>
    </row>
    <row r="1149" spans="3:24" s="29" customFormat="1" x14ac:dyDescent="0.25">
      <c r="C1149" s="990"/>
      <c r="D1149" s="990"/>
      <c r="E1149" s="990"/>
      <c r="F1149" s="991"/>
      <c r="G1149" s="991"/>
      <c r="H1149" s="991"/>
      <c r="I1149" s="991"/>
      <c r="J1149" s="991"/>
      <c r="Q1149" s="114" t="s">
        <v>1684</v>
      </c>
      <c r="R1149" s="114">
        <f>$AL$29</f>
        <v>69.543532482306858</v>
      </c>
    </row>
    <row r="1150" spans="3:24" s="29" customFormat="1" x14ac:dyDescent="0.25">
      <c r="Q1150" s="114" t="s">
        <v>1685</v>
      </c>
      <c r="R1150" s="114">
        <v>0.6</v>
      </c>
    </row>
    <row r="1151" spans="3:24" s="29" customFormat="1" x14ac:dyDescent="0.25">
      <c r="Q1151" s="114" t="s">
        <v>1708</v>
      </c>
      <c r="R1151" s="114">
        <f>(SUM(R1146:R1149)*R1150)+SUM(R1146:R1149)</f>
        <v>25115.786248524393</v>
      </c>
    </row>
    <row r="1152" spans="3:24" s="29" customFormat="1" x14ac:dyDescent="0.25">
      <c r="Q1152" s="114" t="s">
        <v>2130</v>
      </c>
      <c r="R1152" s="114">
        <f>R1151*0.08</f>
        <v>2009.2628998819514</v>
      </c>
    </row>
    <row r="1153" spans="3:24" s="29" customFormat="1" x14ac:dyDescent="0.25">
      <c r="Q1153" s="114" t="s">
        <v>1686</v>
      </c>
      <c r="R1153" s="114">
        <f>SUM(R1151+R1152)</f>
        <v>27125.049148406346</v>
      </c>
    </row>
    <row r="1154" spans="3:24" s="29" customFormat="1" x14ac:dyDescent="0.25"/>
    <row r="1155" spans="3:24" s="29" customFormat="1" x14ac:dyDescent="0.25"/>
    <row r="1156" spans="3:24" s="29" customFormat="1" x14ac:dyDescent="0.25">
      <c r="C1156" s="993" t="s">
        <v>8</v>
      </c>
      <c r="D1156" s="993"/>
      <c r="E1156" s="993"/>
      <c r="F1156" s="993"/>
      <c r="G1156" s="993"/>
      <c r="H1156" s="993"/>
      <c r="I1156" s="993"/>
      <c r="J1156" s="993"/>
    </row>
    <row r="1157" spans="3:24" s="29" customFormat="1" x14ac:dyDescent="0.25">
      <c r="C1157" s="989" t="s">
        <v>0</v>
      </c>
      <c r="D1157" s="989"/>
      <c r="E1157" s="989"/>
      <c r="F1157" s="989" t="s">
        <v>1</v>
      </c>
      <c r="G1157" s="989"/>
      <c r="H1157" s="989"/>
      <c r="I1157" s="989"/>
      <c r="J1157" s="989"/>
      <c r="T1157" s="30"/>
      <c r="U1157" s="30"/>
      <c r="V1157" s="30"/>
      <c r="W1157" s="30"/>
      <c r="X1157" s="30"/>
    </row>
    <row r="1158" spans="3:24" s="29" customFormat="1" x14ac:dyDescent="0.25">
      <c r="C1158" s="990" t="s">
        <v>2</v>
      </c>
      <c r="D1158" s="990"/>
      <c r="E1158" s="990"/>
      <c r="F1158" s="991" t="s">
        <v>512</v>
      </c>
      <c r="G1158" s="991"/>
      <c r="H1158" s="991"/>
      <c r="I1158" s="991"/>
      <c r="J1158" s="991"/>
      <c r="M1158" s="113" t="s">
        <v>336</v>
      </c>
      <c r="N1158" s="113" t="s">
        <v>174</v>
      </c>
      <c r="O1158" s="113" t="s">
        <v>248</v>
      </c>
      <c r="P1158" s="113" t="s">
        <v>176</v>
      </c>
      <c r="Q1158" s="113" t="s">
        <v>337</v>
      </c>
      <c r="R1158" s="113" t="s">
        <v>1641</v>
      </c>
      <c r="S1158" s="113" t="s">
        <v>1642</v>
      </c>
      <c r="T1158" s="113" t="s">
        <v>1643</v>
      </c>
      <c r="U1158" s="113" t="s">
        <v>1644</v>
      </c>
      <c r="V1158" s="103"/>
      <c r="W1158" s="103"/>
      <c r="X1158" s="103"/>
    </row>
    <row r="1159" spans="3:24" s="29" customFormat="1" x14ac:dyDescent="0.25">
      <c r="C1159" s="990"/>
      <c r="D1159" s="990"/>
      <c r="E1159" s="990"/>
      <c r="F1159" s="991"/>
      <c r="G1159" s="991"/>
      <c r="H1159" s="991"/>
      <c r="I1159" s="991"/>
      <c r="J1159" s="991"/>
      <c r="M1159" s="114" t="s">
        <v>344</v>
      </c>
      <c r="N1159" s="114">
        <f>E5</f>
        <v>2099.0723984875517</v>
      </c>
      <c r="O1159" s="114" t="str">
        <f>D5</f>
        <v>g</v>
      </c>
      <c r="P1159" s="114">
        <v>100</v>
      </c>
      <c r="Q1159" s="114">
        <f>N1159</f>
        <v>2099.0723984875517</v>
      </c>
      <c r="R1159" s="114">
        <v>0</v>
      </c>
      <c r="S1159" s="114">
        <f>P1159*R1159</f>
        <v>0</v>
      </c>
      <c r="T1159" s="114">
        <f>P1159-S1159</f>
        <v>100</v>
      </c>
      <c r="U1159" s="114">
        <f>Q1159+((S1159*Q1159)/P1159)</f>
        <v>2099.0723984875517</v>
      </c>
      <c r="V1159" s="104"/>
      <c r="W1159" s="104"/>
      <c r="X1159" s="104"/>
    </row>
    <row r="1160" spans="3:24" s="29" customFormat="1" x14ac:dyDescent="0.25">
      <c r="C1160" s="990"/>
      <c r="D1160" s="990"/>
      <c r="E1160" s="990"/>
      <c r="F1160" s="991"/>
      <c r="G1160" s="991"/>
      <c r="H1160" s="991"/>
      <c r="I1160" s="991"/>
      <c r="J1160" s="991"/>
      <c r="M1160" s="114" t="s">
        <v>340</v>
      </c>
      <c r="N1160" s="114">
        <f>Y20</f>
        <v>0.64</v>
      </c>
      <c r="O1160" s="114" t="str">
        <f>X20</f>
        <v>g</v>
      </c>
      <c r="P1160" s="114">
        <v>2</v>
      </c>
      <c r="Q1160" s="114">
        <f t="shared" ref="Q1160:Q1166" si="256">N1160*P1160</f>
        <v>1.28</v>
      </c>
      <c r="R1160" s="114">
        <v>0</v>
      </c>
      <c r="S1160" s="114">
        <f t="shared" ref="S1160:S1166" si="257">P1160*R1160</f>
        <v>0</v>
      </c>
      <c r="T1160" s="114">
        <f t="shared" ref="T1160:T1166" si="258">P1160-S1160</f>
        <v>2</v>
      </c>
      <c r="U1160" s="114">
        <f t="shared" ref="U1160:U1166" si="259">Q1160+((S1160*Q1160)/P1160)</f>
        <v>1.28</v>
      </c>
      <c r="V1160" s="30"/>
      <c r="W1160" s="30"/>
      <c r="X1160" s="30"/>
    </row>
    <row r="1161" spans="3:24" s="29" customFormat="1" x14ac:dyDescent="0.25">
      <c r="C1161" s="989" t="s">
        <v>0</v>
      </c>
      <c r="D1161" s="989"/>
      <c r="E1161" s="989"/>
      <c r="F1161" s="989" t="s">
        <v>1</v>
      </c>
      <c r="G1161" s="989"/>
      <c r="H1161" s="989"/>
      <c r="I1161" s="989"/>
      <c r="J1161" s="989"/>
      <c r="M1161" s="114" t="s">
        <v>514</v>
      </c>
      <c r="N1161" s="114">
        <f>AB3</f>
        <v>4.3</v>
      </c>
      <c r="O1161" s="114" t="str">
        <f>AA3</f>
        <v>g</v>
      </c>
      <c r="P1161" s="114">
        <v>70</v>
      </c>
      <c r="Q1161" s="114">
        <f t="shared" si="256"/>
        <v>301</v>
      </c>
      <c r="R1161" s="114">
        <v>0</v>
      </c>
      <c r="S1161" s="114">
        <f t="shared" si="257"/>
        <v>0</v>
      </c>
      <c r="T1161" s="114">
        <f t="shared" si="258"/>
        <v>70</v>
      </c>
      <c r="U1161" s="114">
        <f t="shared" si="259"/>
        <v>301</v>
      </c>
      <c r="V1161" s="30"/>
      <c r="W1161" s="30"/>
      <c r="X1161" s="30"/>
    </row>
    <row r="1162" spans="3:24" s="29" customFormat="1" x14ac:dyDescent="0.25">
      <c r="C1162" s="990" t="s">
        <v>3</v>
      </c>
      <c r="D1162" s="990"/>
      <c r="E1162" s="990"/>
      <c r="F1162" s="992" t="s">
        <v>319</v>
      </c>
      <c r="G1162" s="991"/>
      <c r="H1162" s="991"/>
      <c r="I1162" s="991"/>
      <c r="J1162" s="991"/>
      <c r="M1162" s="114" t="s">
        <v>515</v>
      </c>
      <c r="N1162" s="114">
        <f>P6</f>
        <v>7.8</v>
      </c>
      <c r="O1162" s="114" t="str">
        <f>O6</f>
        <v>g</v>
      </c>
      <c r="P1162" s="114">
        <v>30</v>
      </c>
      <c r="Q1162" s="114">
        <f t="shared" si="256"/>
        <v>234</v>
      </c>
      <c r="R1162" s="114">
        <f>AJ4</f>
        <v>0.55000000000000004</v>
      </c>
      <c r="S1162" s="114">
        <f t="shared" si="257"/>
        <v>16.5</v>
      </c>
      <c r="T1162" s="114">
        <f t="shared" si="258"/>
        <v>13.5</v>
      </c>
      <c r="U1162" s="114">
        <f t="shared" si="259"/>
        <v>362.7</v>
      </c>
      <c r="V1162" s="30"/>
      <c r="W1162" s="30"/>
      <c r="X1162" s="30"/>
    </row>
    <row r="1163" spans="3:24" s="29" customFormat="1" x14ac:dyDescent="0.25">
      <c r="C1163" s="990"/>
      <c r="D1163" s="990"/>
      <c r="E1163" s="990"/>
      <c r="F1163" s="991"/>
      <c r="G1163" s="991"/>
      <c r="H1163" s="991"/>
      <c r="I1163" s="991"/>
      <c r="J1163" s="991"/>
      <c r="M1163" s="114" t="s">
        <v>346</v>
      </c>
      <c r="N1163" s="114">
        <f>P3</f>
        <v>7</v>
      </c>
      <c r="O1163" s="114" t="str">
        <f>O3</f>
        <v>g</v>
      </c>
      <c r="P1163" s="114">
        <v>6</v>
      </c>
      <c r="Q1163" s="114">
        <f t="shared" si="256"/>
        <v>42</v>
      </c>
      <c r="R1163" s="114">
        <f>AJ2</f>
        <v>0.23</v>
      </c>
      <c r="S1163" s="114">
        <f t="shared" si="257"/>
        <v>1.3800000000000001</v>
      </c>
      <c r="T1163" s="114">
        <f t="shared" si="258"/>
        <v>4.62</v>
      </c>
      <c r="U1163" s="114">
        <f t="shared" si="259"/>
        <v>51.660000000000004</v>
      </c>
      <c r="V1163" s="30"/>
      <c r="W1163" s="30"/>
      <c r="X1163" s="30"/>
    </row>
    <row r="1164" spans="3:24" s="29" customFormat="1" x14ac:dyDescent="0.25">
      <c r="C1164" s="990"/>
      <c r="D1164" s="990"/>
      <c r="E1164" s="990"/>
      <c r="F1164" s="991"/>
      <c r="G1164" s="991"/>
      <c r="H1164" s="991"/>
      <c r="I1164" s="991"/>
      <c r="J1164" s="991"/>
      <c r="M1164" s="114" t="s">
        <v>430</v>
      </c>
      <c r="N1164" s="114">
        <f>P11</f>
        <v>1.4</v>
      </c>
      <c r="O1164" s="114" t="str">
        <f>O11</f>
        <v>g</v>
      </c>
      <c r="P1164" s="114">
        <v>40</v>
      </c>
      <c r="Q1164" s="114">
        <f t="shared" si="256"/>
        <v>56</v>
      </c>
      <c r="R1164" s="114">
        <f>AJ7</f>
        <v>0.15</v>
      </c>
      <c r="S1164" s="114">
        <f t="shared" si="257"/>
        <v>6</v>
      </c>
      <c r="T1164" s="114">
        <f t="shared" si="258"/>
        <v>34</v>
      </c>
      <c r="U1164" s="114">
        <f t="shared" si="259"/>
        <v>64.400000000000006</v>
      </c>
      <c r="V1164" s="30"/>
      <c r="W1164" s="30"/>
      <c r="X1164" s="30"/>
    </row>
    <row r="1165" spans="3:24" s="29" customFormat="1" x14ac:dyDescent="0.25">
      <c r="C1165" s="990" t="s">
        <v>4</v>
      </c>
      <c r="D1165" s="990"/>
      <c r="E1165" s="990"/>
      <c r="F1165" s="991" t="s">
        <v>15</v>
      </c>
      <c r="G1165" s="991"/>
      <c r="H1165" s="991"/>
      <c r="I1165" s="991"/>
      <c r="J1165" s="991"/>
      <c r="M1165" s="114" t="s">
        <v>349</v>
      </c>
      <c r="N1165" s="114">
        <f>S15</f>
        <v>41</v>
      </c>
      <c r="O1165" s="114" t="str">
        <f>R15</f>
        <v>g</v>
      </c>
      <c r="P1165" s="114">
        <v>60</v>
      </c>
      <c r="Q1165" s="114">
        <f t="shared" si="256"/>
        <v>2460</v>
      </c>
      <c r="R1165" s="114">
        <f>AN3</f>
        <v>0.47</v>
      </c>
      <c r="S1165" s="114">
        <f t="shared" si="257"/>
        <v>28.2</v>
      </c>
      <c r="T1165" s="114">
        <f t="shared" si="258"/>
        <v>31.8</v>
      </c>
      <c r="U1165" s="114">
        <f t="shared" si="259"/>
        <v>3616.2</v>
      </c>
      <c r="V1165" s="30"/>
      <c r="W1165" s="30"/>
      <c r="X1165" s="30"/>
    </row>
    <row r="1166" spans="3:24" s="29" customFormat="1" x14ac:dyDescent="0.25">
      <c r="C1166" s="990"/>
      <c r="D1166" s="990"/>
      <c r="E1166" s="990"/>
      <c r="F1166" s="991"/>
      <c r="G1166" s="991"/>
      <c r="H1166" s="991"/>
      <c r="I1166" s="991"/>
      <c r="J1166" s="991"/>
      <c r="M1166" s="114" t="s">
        <v>427</v>
      </c>
      <c r="N1166" s="114">
        <f>S8</f>
        <v>59</v>
      </c>
      <c r="O1166" s="114" t="str">
        <f>R8</f>
        <v>g</v>
      </c>
      <c r="P1166" s="114">
        <v>60</v>
      </c>
      <c r="Q1166" s="114">
        <f t="shared" si="256"/>
        <v>3540</v>
      </c>
      <c r="R1166" s="114">
        <f>AN4</f>
        <v>0.41</v>
      </c>
      <c r="S1166" s="114">
        <f t="shared" si="257"/>
        <v>24.599999999999998</v>
      </c>
      <c r="T1166" s="114">
        <f t="shared" si="258"/>
        <v>35.400000000000006</v>
      </c>
      <c r="U1166" s="114">
        <f t="shared" si="259"/>
        <v>4991.3999999999996</v>
      </c>
    </row>
    <row r="1167" spans="3:24" s="29" customFormat="1" x14ac:dyDescent="0.25">
      <c r="C1167" s="990"/>
      <c r="D1167" s="990"/>
      <c r="E1167" s="990"/>
      <c r="F1167" s="991"/>
      <c r="G1167" s="991"/>
      <c r="H1167" s="991"/>
      <c r="I1167" s="991"/>
      <c r="J1167" s="991"/>
      <c r="M1167" s="114"/>
      <c r="N1167" s="114"/>
      <c r="O1167" s="114"/>
      <c r="P1167" s="114"/>
      <c r="Q1167" s="114"/>
      <c r="R1167" s="114"/>
      <c r="S1167" s="114"/>
      <c r="T1167" s="114"/>
      <c r="U1167" s="114"/>
    </row>
    <row r="1168" spans="3:24" s="29" customFormat="1" x14ac:dyDescent="0.25">
      <c r="C1168" s="990" t="s">
        <v>5</v>
      </c>
      <c r="D1168" s="990"/>
      <c r="E1168" s="990"/>
      <c r="F1168" s="991" t="s">
        <v>131</v>
      </c>
      <c r="G1168" s="991"/>
      <c r="H1168" s="991"/>
      <c r="I1168" s="991"/>
      <c r="J1168" s="991"/>
      <c r="M1168" s="114" t="s">
        <v>337</v>
      </c>
      <c r="N1168" s="114">
        <f>SUM(N1159:N1167)</f>
        <v>2220.212398487552</v>
      </c>
      <c r="O1168" s="114"/>
      <c r="P1168" s="114">
        <f>SUM(P1159:P1167)</f>
        <v>368</v>
      </c>
      <c r="Q1168" s="114">
        <f>SUM(Q1159:Q1167)</f>
        <v>8733.3523984875519</v>
      </c>
      <c r="R1168" s="114"/>
      <c r="S1168" s="114"/>
      <c r="T1168" s="114"/>
      <c r="U1168" s="114">
        <f>SUM(U1159:U1167)</f>
        <v>11487.712398487551</v>
      </c>
    </row>
    <row r="1169" spans="3:31" s="29" customFormat="1" x14ac:dyDescent="0.25">
      <c r="C1169" s="990"/>
      <c r="D1169" s="990"/>
      <c r="E1169" s="990"/>
      <c r="F1169" s="991"/>
      <c r="G1169" s="991"/>
      <c r="H1169" s="991"/>
      <c r="I1169" s="991"/>
      <c r="J1169" s="991"/>
    </row>
    <row r="1170" spans="3:31" s="29" customFormat="1" x14ac:dyDescent="0.25">
      <c r="C1170" s="990"/>
      <c r="D1170" s="990"/>
      <c r="E1170" s="990"/>
      <c r="F1170" s="991"/>
      <c r="G1170" s="991"/>
      <c r="H1170" s="991"/>
      <c r="I1170" s="991"/>
      <c r="J1170" s="991"/>
      <c r="Q1170" s="114" t="s">
        <v>1681</v>
      </c>
      <c r="R1170" s="114">
        <f>U1168</f>
        <v>11487.712398487551</v>
      </c>
      <c r="S1170" s="608" t="s">
        <v>2142</v>
      </c>
      <c r="T1170" s="608">
        <f>(R1170*100)/R1177</f>
        <v>49.484136944266893</v>
      </c>
    </row>
    <row r="1171" spans="3:31" s="29" customFormat="1" x14ac:dyDescent="0.25">
      <c r="C1171" s="990" t="s">
        <v>6</v>
      </c>
      <c r="D1171" s="990"/>
      <c r="E1171" s="990"/>
      <c r="F1171" s="991" t="s">
        <v>9</v>
      </c>
      <c r="G1171" s="991"/>
      <c r="H1171" s="991"/>
      <c r="I1171" s="991"/>
      <c r="J1171" s="991"/>
      <c r="Q1171" s="114" t="s">
        <v>2326</v>
      </c>
      <c r="R1171" s="114">
        <f>$AL$26</f>
        <v>1801.715474357886</v>
      </c>
    </row>
    <row r="1172" spans="3:31" s="29" customFormat="1" x14ac:dyDescent="0.25">
      <c r="C1172" s="990"/>
      <c r="D1172" s="990"/>
      <c r="E1172" s="990"/>
      <c r="F1172" s="991"/>
      <c r="G1172" s="991"/>
      <c r="H1172" s="991"/>
      <c r="I1172" s="991"/>
      <c r="J1172" s="991"/>
      <c r="Q1172" s="114" t="s">
        <v>2325</v>
      </c>
      <c r="R1172" s="114">
        <f>$AL$27</f>
        <v>75.599999999999994</v>
      </c>
    </row>
    <row r="1173" spans="3:31" s="29" customFormat="1" x14ac:dyDescent="0.25">
      <c r="C1173" s="990"/>
      <c r="D1173" s="990"/>
      <c r="E1173" s="990"/>
      <c r="F1173" s="991"/>
      <c r="G1173" s="991"/>
      <c r="H1173" s="991"/>
      <c r="I1173" s="991"/>
      <c r="J1173" s="991"/>
      <c r="Q1173" s="114" t="s">
        <v>1684</v>
      </c>
      <c r="R1173" s="114">
        <f>$AL$29</f>
        <v>69.543532482306858</v>
      </c>
    </row>
    <row r="1174" spans="3:31" s="29" customFormat="1" x14ac:dyDescent="0.25">
      <c r="C1174" s="990" t="s">
        <v>7</v>
      </c>
      <c r="D1174" s="990"/>
      <c r="E1174" s="990"/>
      <c r="F1174" s="991" t="s">
        <v>513</v>
      </c>
      <c r="G1174" s="991"/>
      <c r="H1174" s="991"/>
      <c r="I1174" s="991"/>
      <c r="J1174" s="991"/>
      <c r="Q1174" s="114" t="s">
        <v>1685</v>
      </c>
      <c r="R1174" s="114">
        <v>0.6</v>
      </c>
    </row>
    <row r="1175" spans="3:31" s="29" customFormat="1" x14ac:dyDescent="0.25">
      <c r="C1175" s="990"/>
      <c r="D1175" s="990"/>
      <c r="E1175" s="990"/>
      <c r="F1175" s="991"/>
      <c r="G1175" s="991"/>
      <c r="H1175" s="991"/>
      <c r="I1175" s="991"/>
      <c r="J1175" s="991"/>
      <c r="Q1175" s="114" t="s">
        <v>1708</v>
      </c>
      <c r="R1175" s="114">
        <f>(SUM(R1170:R1173)*R1174)+SUM(R1170:R1173)</f>
        <v>21495.314248524392</v>
      </c>
    </row>
    <row r="1176" spans="3:31" s="29" customFormat="1" x14ac:dyDescent="0.25">
      <c r="C1176" s="990"/>
      <c r="D1176" s="990"/>
      <c r="E1176" s="990"/>
      <c r="F1176" s="991"/>
      <c r="G1176" s="991"/>
      <c r="H1176" s="991"/>
      <c r="I1176" s="991"/>
      <c r="J1176" s="991"/>
      <c r="Q1176" s="114" t="s">
        <v>2130</v>
      </c>
      <c r="R1176" s="114">
        <f>R1175*0.08</f>
        <v>1719.6251398819513</v>
      </c>
    </row>
    <row r="1177" spans="3:31" s="29" customFormat="1" x14ac:dyDescent="0.25">
      <c r="Q1177" s="114" t="s">
        <v>1686</v>
      </c>
      <c r="R1177" s="114">
        <f>SUM(R1175+R1176)</f>
        <v>23214.939388406343</v>
      </c>
    </row>
    <row r="1178" spans="3:31" s="29" customFormat="1" x14ac:dyDescent="0.25"/>
    <row r="1179" spans="3:31" s="29" customFormat="1" x14ac:dyDescent="0.25">
      <c r="C1179" s="993" t="s">
        <v>8</v>
      </c>
      <c r="D1179" s="993"/>
      <c r="E1179" s="993"/>
      <c r="F1179" s="993"/>
      <c r="G1179" s="993"/>
      <c r="H1179" s="993"/>
      <c r="I1179" s="993"/>
      <c r="J1179" s="993"/>
    </row>
    <row r="1180" spans="3:31" s="29" customFormat="1" x14ac:dyDescent="0.25">
      <c r="C1180" s="989" t="s">
        <v>0</v>
      </c>
      <c r="D1180" s="989"/>
      <c r="E1180" s="989"/>
      <c r="F1180" s="989" t="s">
        <v>1</v>
      </c>
      <c r="G1180" s="989"/>
      <c r="H1180" s="989"/>
      <c r="I1180" s="989"/>
      <c r="J1180" s="989"/>
    </row>
    <row r="1181" spans="3:31" s="29" customFormat="1" x14ac:dyDescent="0.25">
      <c r="C1181" s="990" t="s">
        <v>2</v>
      </c>
      <c r="D1181" s="990"/>
      <c r="E1181" s="990"/>
      <c r="F1181" s="991" t="s">
        <v>139</v>
      </c>
      <c r="G1181" s="991"/>
      <c r="H1181" s="991"/>
      <c r="I1181" s="991"/>
      <c r="J1181" s="991"/>
      <c r="M1181" s="113" t="s">
        <v>336</v>
      </c>
      <c r="N1181" s="113" t="s">
        <v>174</v>
      </c>
      <c r="O1181" s="113" t="s">
        <v>248</v>
      </c>
      <c r="P1181" s="113" t="s">
        <v>176</v>
      </c>
      <c r="Q1181" s="113" t="s">
        <v>337</v>
      </c>
      <c r="R1181" s="113" t="s">
        <v>1641</v>
      </c>
      <c r="S1181" s="113" t="s">
        <v>1642</v>
      </c>
      <c r="T1181" s="113" t="s">
        <v>1643</v>
      </c>
      <c r="U1181" s="113" t="s">
        <v>1644</v>
      </c>
      <c r="W1181" s="988" t="s">
        <v>1456</v>
      </c>
      <c r="X1181" s="988"/>
      <c r="Y1181" s="988"/>
      <c r="Z1181" s="988"/>
      <c r="AA1181" s="988"/>
      <c r="AB1181" s="988"/>
      <c r="AC1181" s="988"/>
      <c r="AD1181" s="988"/>
      <c r="AE1181" s="988"/>
    </row>
    <row r="1182" spans="3:31" s="29" customFormat="1" x14ac:dyDescent="0.25">
      <c r="C1182" s="990"/>
      <c r="D1182" s="990"/>
      <c r="E1182" s="990"/>
      <c r="F1182" s="991"/>
      <c r="G1182" s="991"/>
      <c r="H1182" s="991"/>
      <c r="I1182" s="991"/>
      <c r="J1182" s="991"/>
      <c r="M1182" s="114" t="s">
        <v>344</v>
      </c>
      <c r="N1182" s="114">
        <f>E15</f>
        <v>2099.0723984875517</v>
      </c>
      <c r="O1182" s="114" t="str">
        <f>D15</f>
        <v>g</v>
      </c>
      <c r="P1182" s="114">
        <v>80</v>
      </c>
      <c r="Q1182" s="114">
        <f>N1182</f>
        <v>2099.0723984875517</v>
      </c>
      <c r="R1182" s="114">
        <v>0</v>
      </c>
      <c r="S1182" s="114">
        <f>P1182*R1182</f>
        <v>0</v>
      </c>
      <c r="T1182" s="114">
        <f>P1182-S1182</f>
        <v>80</v>
      </c>
      <c r="U1182" s="114">
        <f>Q1182+((S1182*Q1182)/P1182)</f>
        <v>2099.0723984875517</v>
      </c>
      <c r="W1182" s="113" t="s">
        <v>336</v>
      </c>
      <c r="X1182" s="113" t="s">
        <v>174</v>
      </c>
      <c r="Y1182" s="113" t="s">
        <v>248</v>
      </c>
      <c r="Z1182" s="113" t="s">
        <v>176</v>
      </c>
      <c r="AA1182" s="113" t="s">
        <v>337</v>
      </c>
      <c r="AB1182" s="113" t="s">
        <v>1641</v>
      </c>
      <c r="AC1182" s="113" t="s">
        <v>1642</v>
      </c>
      <c r="AD1182" s="113" t="s">
        <v>1643</v>
      </c>
      <c r="AE1182" s="113" t="s">
        <v>1644</v>
      </c>
    </row>
    <row r="1183" spans="3:31" s="29" customFormat="1" x14ac:dyDescent="0.25">
      <c r="C1183" s="990"/>
      <c r="D1183" s="990"/>
      <c r="E1183" s="990"/>
      <c r="F1183" s="991"/>
      <c r="G1183" s="991"/>
      <c r="H1183" s="991"/>
      <c r="I1183" s="991"/>
      <c r="J1183" s="991"/>
      <c r="M1183" s="114" t="s">
        <v>340</v>
      </c>
      <c r="N1183" s="114">
        <f>Y20</f>
        <v>0.64</v>
      </c>
      <c r="O1183" s="114" t="str">
        <f>X20</f>
        <v>g</v>
      </c>
      <c r="P1183" s="114">
        <v>2</v>
      </c>
      <c r="Q1183" s="114">
        <f t="shared" ref="Q1183:Q1190" si="260">N1183*P1183</f>
        <v>1.28</v>
      </c>
      <c r="R1183" s="114">
        <v>0</v>
      </c>
      <c r="S1183" s="114">
        <f t="shared" ref="S1183:S1190" si="261">P1183*R1183</f>
        <v>0</v>
      </c>
      <c r="T1183" s="114">
        <f t="shared" ref="T1183:T1190" si="262">P1183-S1183</f>
        <v>2</v>
      </c>
      <c r="U1183" s="114">
        <f t="shared" ref="U1183:U1190" si="263">Q1183+((S1183*Q1183)/P1183)</f>
        <v>1.28</v>
      </c>
      <c r="W1183" s="114" t="s">
        <v>347</v>
      </c>
      <c r="X1183" s="114">
        <f>V6</f>
        <v>28.76</v>
      </c>
      <c r="Y1183" s="114" t="str">
        <f>U6</f>
        <v>g</v>
      </c>
      <c r="Z1183" s="114">
        <v>30</v>
      </c>
      <c r="AA1183" s="114">
        <f>X1183*Z1183</f>
        <v>862.80000000000007</v>
      </c>
      <c r="AB1183" s="114">
        <v>0</v>
      </c>
      <c r="AC1183" s="114">
        <f>Z1183*AB1183</f>
        <v>0</v>
      </c>
      <c r="AD1183" s="114">
        <f>Z1183-AC1183</f>
        <v>30</v>
      </c>
      <c r="AE1183" s="114">
        <f>AA1183+((AC1183*AA1183)/Z1183)</f>
        <v>862.80000000000007</v>
      </c>
    </row>
    <row r="1184" spans="3:31" s="29" customFormat="1" x14ac:dyDescent="0.25">
      <c r="C1184" s="989" t="s">
        <v>0</v>
      </c>
      <c r="D1184" s="989"/>
      <c r="E1184" s="989"/>
      <c r="F1184" s="989" t="s">
        <v>1</v>
      </c>
      <c r="G1184" s="989"/>
      <c r="H1184" s="989"/>
      <c r="I1184" s="989"/>
      <c r="J1184" s="989"/>
      <c r="M1184" s="114" t="s">
        <v>349</v>
      </c>
      <c r="N1184" s="114">
        <f>S15</f>
        <v>41</v>
      </c>
      <c r="O1184" s="114" t="str">
        <f>R15</f>
        <v>g</v>
      </c>
      <c r="P1184" s="114">
        <v>80</v>
      </c>
      <c r="Q1184" s="114">
        <f t="shared" si="260"/>
        <v>3280</v>
      </c>
      <c r="R1184" s="114">
        <f>AN3</f>
        <v>0.47</v>
      </c>
      <c r="S1184" s="114">
        <f t="shared" si="261"/>
        <v>37.599999999999994</v>
      </c>
      <c r="T1184" s="114">
        <f t="shared" si="262"/>
        <v>42.400000000000006</v>
      </c>
      <c r="U1184" s="114">
        <f t="shared" si="263"/>
        <v>4821.6000000000004</v>
      </c>
      <c r="W1184" s="114" t="s">
        <v>546</v>
      </c>
      <c r="X1184" s="114">
        <f>AE3</f>
        <v>49.18</v>
      </c>
      <c r="Y1184" s="114" t="str">
        <f>AD3</f>
        <v>mL</v>
      </c>
      <c r="Z1184" s="114">
        <v>5</v>
      </c>
      <c r="AA1184" s="114">
        <f t="shared" ref="AA1184:AA1189" si="264">X1184*Z1184</f>
        <v>245.9</v>
      </c>
      <c r="AB1184" s="114">
        <v>0</v>
      </c>
      <c r="AC1184" s="114">
        <f t="shared" ref="AC1184:AC1189" si="265">Z1184*AB1184</f>
        <v>0</v>
      </c>
      <c r="AD1184" s="114">
        <f t="shared" ref="AD1184:AD1189" si="266">Z1184-AC1184</f>
        <v>5</v>
      </c>
      <c r="AE1184" s="114">
        <f t="shared" ref="AE1184:AE1189" si="267">AA1184+((AC1184*AA1184)/Z1184)</f>
        <v>245.9</v>
      </c>
    </row>
    <row r="1185" spans="3:31" s="29" customFormat="1" x14ac:dyDescent="0.25">
      <c r="C1185" s="990" t="s">
        <v>3</v>
      </c>
      <c r="D1185" s="990"/>
      <c r="E1185" s="990"/>
      <c r="F1185" s="991" t="s">
        <v>147</v>
      </c>
      <c r="G1185" s="991"/>
      <c r="H1185" s="991"/>
      <c r="I1185" s="991"/>
      <c r="J1185" s="991"/>
      <c r="M1185" s="114" t="s">
        <v>462</v>
      </c>
      <c r="N1185" s="114">
        <f>V12</f>
        <v>25.98</v>
      </c>
      <c r="O1185" s="114" t="str">
        <f>U12</f>
        <v>g</v>
      </c>
      <c r="P1185" s="114">
        <v>30</v>
      </c>
      <c r="Q1185" s="114">
        <f t="shared" si="260"/>
        <v>779.4</v>
      </c>
      <c r="R1185" s="114">
        <v>0</v>
      </c>
      <c r="S1185" s="114">
        <f t="shared" si="261"/>
        <v>0</v>
      </c>
      <c r="T1185" s="114">
        <f t="shared" si="262"/>
        <v>30</v>
      </c>
      <c r="U1185" s="114">
        <f t="shared" si="263"/>
        <v>779.4</v>
      </c>
      <c r="W1185" s="114" t="s">
        <v>346</v>
      </c>
      <c r="X1185" s="114">
        <f>P3</f>
        <v>7</v>
      </c>
      <c r="Y1185" s="114" t="str">
        <f>O3</f>
        <v>g</v>
      </c>
      <c r="Z1185" s="114">
        <v>12</v>
      </c>
      <c r="AA1185" s="114">
        <f t="shared" si="264"/>
        <v>84</v>
      </c>
      <c r="AB1185" s="114">
        <v>0</v>
      </c>
      <c r="AC1185" s="114">
        <f t="shared" si="265"/>
        <v>0</v>
      </c>
      <c r="AD1185" s="114">
        <f t="shared" si="266"/>
        <v>12</v>
      </c>
      <c r="AE1185" s="114">
        <f t="shared" si="267"/>
        <v>84</v>
      </c>
    </row>
    <row r="1186" spans="3:31" s="29" customFormat="1" x14ac:dyDescent="0.25">
      <c r="C1186" s="990"/>
      <c r="D1186" s="990"/>
      <c r="E1186" s="990"/>
      <c r="F1186" s="991"/>
      <c r="G1186" s="991"/>
      <c r="H1186" s="991"/>
      <c r="I1186" s="991"/>
      <c r="J1186" s="991"/>
      <c r="M1186" s="114" t="s">
        <v>353</v>
      </c>
      <c r="N1186" s="114">
        <f>AE1190</f>
        <v>5925.46</v>
      </c>
      <c r="O1186" s="114" t="s">
        <v>1388</v>
      </c>
      <c r="P1186" s="114">
        <v>120</v>
      </c>
      <c r="Q1186" s="114">
        <f>N1186</f>
        <v>5925.46</v>
      </c>
      <c r="R1186" s="114">
        <v>0</v>
      </c>
      <c r="S1186" s="114">
        <f t="shared" si="261"/>
        <v>0</v>
      </c>
      <c r="T1186" s="114">
        <f t="shared" si="262"/>
        <v>120</v>
      </c>
      <c r="U1186" s="114">
        <f t="shared" si="263"/>
        <v>5925.46</v>
      </c>
      <c r="W1186" s="114" t="s">
        <v>348</v>
      </c>
      <c r="X1186" s="114">
        <f>V2</f>
        <v>13.11</v>
      </c>
      <c r="Y1186" s="114" t="str">
        <f>U2</f>
        <v>g</v>
      </c>
      <c r="Z1186" s="114">
        <v>60</v>
      </c>
      <c r="AA1186" s="114">
        <f t="shared" si="264"/>
        <v>786.59999999999991</v>
      </c>
      <c r="AB1186" s="114">
        <v>0</v>
      </c>
      <c r="AC1186" s="114">
        <f t="shared" si="265"/>
        <v>0</v>
      </c>
      <c r="AD1186" s="114">
        <f t="shared" si="266"/>
        <v>60</v>
      </c>
      <c r="AE1186" s="114">
        <f t="shared" si="267"/>
        <v>786.59999999999991</v>
      </c>
    </row>
    <row r="1187" spans="3:31" s="29" customFormat="1" x14ac:dyDescent="0.25">
      <c r="C1187" s="990"/>
      <c r="D1187" s="990"/>
      <c r="E1187" s="990"/>
      <c r="F1187" s="991"/>
      <c r="G1187" s="991"/>
      <c r="H1187" s="991"/>
      <c r="I1187" s="991"/>
      <c r="J1187" s="991"/>
      <c r="M1187" s="114" t="s">
        <v>429</v>
      </c>
      <c r="N1187" s="114">
        <f>P29</f>
        <v>1.8</v>
      </c>
      <c r="O1187" s="114" t="str">
        <f>O29</f>
        <v>g</v>
      </c>
      <c r="P1187" s="114">
        <v>30</v>
      </c>
      <c r="Q1187" s="114">
        <f t="shared" si="260"/>
        <v>54</v>
      </c>
      <c r="R1187" s="114">
        <f>AJ18</f>
        <v>0.05</v>
      </c>
      <c r="S1187" s="114">
        <f t="shared" si="261"/>
        <v>1.5</v>
      </c>
      <c r="T1187" s="114">
        <f t="shared" si="262"/>
        <v>28.5</v>
      </c>
      <c r="U1187" s="114">
        <f t="shared" si="263"/>
        <v>56.7</v>
      </c>
      <c r="W1187" s="114" t="s">
        <v>433</v>
      </c>
      <c r="X1187" s="114">
        <f>Y18</f>
        <v>223.57</v>
      </c>
      <c r="Y1187" s="114" t="str">
        <f>X18</f>
        <v>g</v>
      </c>
      <c r="Z1187" s="114">
        <v>8</v>
      </c>
      <c r="AA1187" s="114">
        <f t="shared" si="264"/>
        <v>1788.56</v>
      </c>
      <c r="AB1187" s="114">
        <v>0</v>
      </c>
      <c r="AC1187" s="114">
        <f t="shared" si="265"/>
        <v>0</v>
      </c>
      <c r="AD1187" s="114">
        <f t="shared" si="266"/>
        <v>8</v>
      </c>
      <c r="AE1187" s="114">
        <f t="shared" si="267"/>
        <v>1788.56</v>
      </c>
    </row>
    <row r="1188" spans="3:31" s="29" customFormat="1" x14ac:dyDescent="0.25">
      <c r="C1188" s="990" t="s">
        <v>4</v>
      </c>
      <c r="D1188" s="990"/>
      <c r="E1188" s="990"/>
      <c r="F1188" s="991" t="s">
        <v>15</v>
      </c>
      <c r="G1188" s="991"/>
      <c r="H1188" s="991"/>
      <c r="I1188" s="991"/>
      <c r="J1188" s="991"/>
      <c r="M1188" s="114" t="s">
        <v>430</v>
      </c>
      <c r="N1188" s="114">
        <f>P10</f>
        <v>0.7</v>
      </c>
      <c r="O1188" s="114" t="str">
        <f>O10</f>
        <v>g</v>
      </c>
      <c r="P1188" s="114">
        <v>30</v>
      </c>
      <c r="Q1188" s="114">
        <f t="shared" si="260"/>
        <v>21</v>
      </c>
      <c r="R1188" s="114">
        <f>AJ7</f>
        <v>0.15</v>
      </c>
      <c r="S1188" s="114">
        <f t="shared" si="261"/>
        <v>4.5</v>
      </c>
      <c r="T1188" s="114">
        <f t="shared" si="262"/>
        <v>25.5</v>
      </c>
      <c r="U1188" s="114">
        <f t="shared" si="263"/>
        <v>24.15</v>
      </c>
      <c r="W1188" s="114" t="s">
        <v>547</v>
      </c>
      <c r="X1188" s="114">
        <f>V13</f>
        <v>81.900000000000006</v>
      </c>
      <c r="Y1188" s="114" t="str">
        <f>U13</f>
        <v>g</v>
      </c>
      <c r="Z1188" s="114">
        <v>20</v>
      </c>
      <c r="AA1188" s="114">
        <f t="shared" si="264"/>
        <v>1638</v>
      </c>
      <c r="AB1188" s="114">
        <v>0</v>
      </c>
      <c r="AC1188" s="114">
        <f t="shared" si="265"/>
        <v>0</v>
      </c>
      <c r="AD1188" s="114">
        <f t="shared" si="266"/>
        <v>20</v>
      </c>
      <c r="AE1188" s="114">
        <f t="shared" si="267"/>
        <v>1638</v>
      </c>
    </row>
    <row r="1189" spans="3:31" s="29" customFormat="1" x14ac:dyDescent="0.25">
      <c r="C1189" s="990"/>
      <c r="D1189" s="990"/>
      <c r="E1189" s="990"/>
      <c r="F1189" s="991"/>
      <c r="G1189" s="991"/>
      <c r="H1189" s="991"/>
      <c r="I1189" s="991"/>
      <c r="J1189" s="991"/>
      <c r="M1189" s="114" t="s">
        <v>463</v>
      </c>
      <c r="N1189" s="114">
        <f>Y13+Y19+Y21</f>
        <v>447.4</v>
      </c>
      <c r="O1189" s="114" t="str">
        <f>X21</f>
        <v>g</v>
      </c>
      <c r="P1189" s="114">
        <v>25</v>
      </c>
      <c r="Q1189" s="114">
        <f t="shared" si="260"/>
        <v>11185</v>
      </c>
      <c r="R1189" s="114">
        <v>0</v>
      </c>
      <c r="S1189" s="114">
        <f t="shared" si="261"/>
        <v>0</v>
      </c>
      <c r="T1189" s="114">
        <f t="shared" si="262"/>
        <v>25</v>
      </c>
      <c r="U1189" s="114">
        <f t="shared" si="263"/>
        <v>11185</v>
      </c>
      <c r="W1189" s="114" t="s">
        <v>462</v>
      </c>
      <c r="X1189" s="114">
        <f>V12</f>
        <v>25.98</v>
      </c>
      <c r="Y1189" s="114" t="str">
        <f>U12</f>
        <v>g</v>
      </c>
      <c r="Z1189" s="114">
        <v>20</v>
      </c>
      <c r="AA1189" s="114">
        <f t="shared" si="264"/>
        <v>519.6</v>
      </c>
      <c r="AB1189" s="114">
        <v>0</v>
      </c>
      <c r="AC1189" s="114">
        <f t="shared" si="265"/>
        <v>0</v>
      </c>
      <c r="AD1189" s="114">
        <f t="shared" si="266"/>
        <v>20</v>
      </c>
      <c r="AE1189" s="114">
        <f t="shared" si="267"/>
        <v>519.6</v>
      </c>
    </row>
    <row r="1190" spans="3:31" s="29" customFormat="1" x14ac:dyDescent="0.25">
      <c r="C1190" s="990"/>
      <c r="D1190" s="990"/>
      <c r="E1190" s="990"/>
      <c r="F1190" s="991"/>
      <c r="G1190" s="991"/>
      <c r="H1190" s="991"/>
      <c r="I1190" s="991"/>
      <c r="J1190" s="991"/>
      <c r="M1190" s="114" t="s">
        <v>458</v>
      </c>
      <c r="N1190" s="114">
        <f>S10</f>
        <v>32.46</v>
      </c>
      <c r="O1190" s="114" t="str">
        <f>R10</f>
        <v>g</v>
      </c>
      <c r="P1190" s="114">
        <v>40</v>
      </c>
      <c r="Q1190" s="114">
        <f t="shared" si="260"/>
        <v>1298.4000000000001</v>
      </c>
      <c r="R1190" s="114">
        <v>0</v>
      </c>
      <c r="S1190" s="114">
        <f t="shared" si="261"/>
        <v>0</v>
      </c>
      <c r="T1190" s="114">
        <f t="shared" si="262"/>
        <v>40</v>
      </c>
      <c r="U1190" s="114">
        <f t="shared" si="263"/>
        <v>1298.4000000000001</v>
      </c>
      <c r="W1190" s="114" t="s">
        <v>337</v>
      </c>
      <c r="X1190" s="114">
        <f>SUM(X1183:X1189)</f>
        <v>429.5</v>
      </c>
      <c r="Y1190" s="114"/>
      <c r="Z1190" s="114">
        <f>SUM(Z1183:Z1189)</f>
        <v>155</v>
      </c>
      <c r="AA1190" s="114">
        <f>SUM(AA1183:AA1189)</f>
        <v>5925.46</v>
      </c>
      <c r="AB1190" s="114"/>
      <c r="AC1190" s="114"/>
      <c r="AD1190" s="114"/>
      <c r="AE1190" s="114">
        <f>SUM(AE1183:AE1189)</f>
        <v>5925.46</v>
      </c>
    </row>
    <row r="1191" spans="3:31" s="29" customFormat="1" x14ac:dyDescent="0.25">
      <c r="C1191" s="990" t="s">
        <v>5</v>
      </c>
      <c r="D1191" s="990"/>
      <c r="E1191" s="990"/>
      <c r="F1191" s="991" t="s">
        <v>1005</v>
      </c>
      <c r="G1191" s="991"/>
      <c r="H1191" s="991"/>
      <c r="I1191" s="991"/>
      <c r="J1191" s="991"/>
      <c r="M1191" s="114"/>
      <c r="N1191" s="114"/>
      <c r="O1191" s="114" t="s">
        <v>342</v>
      </c>
      <c r="P1191" s="114"/>
      <c r="Q1191" s="114"/>
      <c r="R1191" s="114"/>
      <c r="S1191" s="114"/>
      <c r="T1191" s="114"/>
      <c r="U1191" s="114"/>
    </row>
    <row r="1192" spans="3:31" s="29" customFormat="1" x14ac:dyDescent="0.25">
      <c r="C1192" s="990"/>
      <c r="D1192" s="990"/>
      <c r="E1192" s="990"/>
      <c r="F1192" s="991"/>
      <c r="G1192" s="991"/>
      <c r="H1192" s="991"/>
      <c r="I1192" s="991"/>
      <c r="J1192" s="991"/>
      <c r="M1192" s="114" t="s">
        <v>337</v>
      </c>
      <c r="N1192" s="114">
        <f>SUM(N1182:N1191)</f>
        <v>8574.5123984875499</v>
      </c>
      <c r="O1192" s="114"/>
      <c r="P1192" s="114">
        <f>SUM(P1182:P1191)</f>
        <v>437</v>
      </c>
      <c r="Q1192" s="114">
        <f>SUM(Q1182:Q1191)</f>
        <v>24643.612398487552</v>
      </c>
      <c r="R1192" s="114"/>
      <c r="S1192" s="114"/>
      <c r="T1192" s="114"/>
      <c r="U1192" s="114">
        <f>SUM(U1182:U1191)</f>
        <v>26191.062398487556</v>
      </c>
      <c r="AA1192" s="114" t="s">
        <v>1681</v>
      </c>
      <c r="AB1192" s="114">
        <f>AE1190</f>
        <v>5925.46</v>
      </c>
      <c r="AC1192" s="608" t="s">
        <v>2142</v>
      </c>
      <c r="AD1192" s="608">
        <f>(AB1192*100)/AB1199</f>
        <v>43.032593229729294</v>
      </c>
    </row>
    <row r="1193" spans="3:31" s="29" customFormat="1" x14ac:dyDescent="0.25">
      <c r="C1193" s="990"/>
      <c r="D1193" s="990"/>
      <c r="E1193" s="990"/>
      <c r="F1193" s="991"/>
      <c r="G1193" s="991"/>
      <c r="H1193" s="991"/>
      <c r="I1193" s="991"/>
      <c r="J1193" s="991"/>
      <c r="AA1193" s="114" t="s">
        <v>2326</v>
      </c>
      <c r="AB1193" s="114">
        <f>$AO$26/2</f>
        <v>476.87414947063905</v>
      </c>
    </row>
    <row r="1194" spans="3:31" s="29" customFormat="1" x14ac:dyDescent="0.25">
      <c r="C1194" s="990" t="s">
        <v>6</v>
      </c>
      <c r="D1194" s="990"/>
      <c r="E1194" s="990"/>
      <c r="F1194" s="991" t="s">
        <v>9</v>
      </c>
      <c r="G1194" s="991"/>
      <c r="H1194" s="991"/>
      <c r="I1194" s="991"/>
      <c r="J1194" s="991"/>
      <c r="Q1194" s="114" t="s">
        <v>1681</v>
      </c>
      <c r="R1194" s="114">
        <f>U1192</f>
        <v>26191.062398487556</v>
      </c>
      <c r="S1194" s="608" t="s">
        <v>2142</v>
      </c>
      <c r="T1194" s="608">
        <f>(R1194*100)/R1201</f>
        <v>53.866327208767082</v>
      </c>
      <c r="AA1194" s="114" t="s">
        <v>2325</v>
      </c>
      <c r="AB1194" s="114">
        <f>$AO$27/4</f>
        <v>18.899999999999999</v>
      </c>
    </row>
    <row r="1195" spans="3:31" s="29" customFormat="1" x14ac:dyDescent="0.25">
      <c r="C1195" s="990"/>
      <c r="D1195" s="990"/>
      <c r="E1195" s="990"/>
      <c r="F1195" s="991"/>
      <c r="G1195" s="991"/>
      <c r="H1195" s="991"/>
      <c r="I1195" s="991"/>
      <c r="J1195" s="991"/>
      <c r="Q1195" s="114" t="s">
        <v>2326</v>
      </c>
      <c r="R1195" s="114">
        <f>$AL$26</f>
        <v>1801.715474357886</v>
      </c>
      <c r="AA1195" s="114" t="s">
        <v>1684</v>
      </c>
      <c r="AB1195" s="114">
        <f>$AO$29</f>
        <v>1547.3435977313275</v>
      </c>
    </row>
    <row r="1196" spans="3:31" s="29" customFormat="1" x14ac:dyDescent="0.25">
      <c r="C1196" s="990"/>
      <c r="D1196" s="990"/>
      <c r="E1196" s="990"/>
      <c r="F1196" s="991"/>
      <c r="G1196" s="991"/>
      <c r="H1196" s="991"/>
      <c r="I1196" s="991"/>
      <c r="J1196" s="991"/>
      <c r="Q1196" s="114" t="s">
        <v>2325</v>
      </c>
      <c r="R1196" s="114">
        <f>$AL$27</f>
        <v>75.599999999999994</v>
      </c>
      <c r="AA1196" s="114" t="s">
        <v>1685</v>
      </c>
      <c r="AB1196" s="114">
        <v>0.6</v>
      </c>
    </row>
    <row r="1197" spans="3:31" s="29" customFormat="1" x14ac:dyDescent="0.25">
      <c r="C1197" s="990" t="s">
        <v>7</v>
      </c>
      <c r="D1197" s="990"/>
      <c r="E1197" s="990"/>
      <c r="F1197" s="991" t="s">
        <v>954</v>
      </c>
      <c r="G1197" s="991"/>
      <c r="H1197" s="991"/>
      <c r="I1197" s="991"/>
      <c r="J1197" s="991"/>
      <c r="Q1197" s="114" t="s">
        <v>1684</v>
      </c>
      <c r="R1197" s="114">
        <f>$AL$29</f>
        <v>69.543532482306858</v>
      </c>
      <c r="AA1197" s="114" t="s">
        <v>1708</v>
      </c>
      <c r="AB1197" s="114">
        <f>(SUM(AB1192:AB1195)*AB1196)+SUM(AB1192:AB1195)</f>
        <v>12749.724395523146</v>
      </c>
    </row>
    <row r="1198" spans="3:31" s="29" customFormat="1" x14ac:dyDescent="0.25">
      <c r="C1198" s="990"/>
      <c r="D1198" s="990"/>
      <c r="E1198" s="990"/>
      <c r="F1198" s="991"/>
      <c r="G1198" s="991"/>
      <c r="H1198" s="991"/>
      <c r="I1198" s="991"/>
      <c r="J1198" s="991"/>
      <c r="Q1198" s="114" t="s">
        <v>1685</v>
      </c>
      <c r="R1198" s="114">
        <v>0.6</v>
      </c>
      <c r="AA1198" s="114" t="s">
        <v>2130</v>
      </c>
      <c r="AB1198" s="114">
        <f>AB1197*0.08</f>
        <v>1019.9779516418517</v>
      </c>
    </row>
    <row r="1199" spans="3:31" s="29" customFormat="1" x14ac:dyDescent="0.25">
      <c r="C1199" s="990"/>
      <c r="D1199" s="990"/>
      <c r="E1199" s="990"/>
      <c r="F1199" s="991"/>
      <c r="G1199" s="991"/>
      <c r="H1199" s="991"/>
      <c r="I1199" s="991"/>
      <c r="J1199" s="991"/>
      <c r="Q1199" s="114" t="s">
        <v>1708</v>
      </c>
      <c r="R1199" s="114">
        <f>(SUM(R1194:R1197)*R1198)+SUM(R1194:R1197)</f>
        <v>45020.674248524403</v>
      </c>
      <c r="AA1199" s="114" t="s">
        <v>1686</v>
      </c>
      <c r="AB1199" s="114">
        <f>SUM(AB1197+AB1198)</f>
        <v>13769.702347164997</v>
      </c>
    </row>
    <row r="1200" spans="3:31" s="29" customFormat="1" x14ac:dyDescent="0.25">
      <c r="Q1200" s="114" t="s">
        <v>2130</v>
      </c>
      <c r="R1200" s="114">
        <f>R1199*0.08</f>
        <v>3601.6539398819523</v>
      </c>
    </row>
    <row r="1201" spans="3:41" s="29" customFormat="1" x14ac:dyDescent="0.25">
      <c r="Q1201" s="114" t="s">
        <v>1686</v>
      </c>
      <c r="R1201" s="114">
        <f>SUM(R1199+R1200)</f>
        <v>48622.328188406354</v>
      </c>
    </row>
    <row r="1202" spans="3:41" s="29" customFormat="1" x14ac:dyDescent="0.25"/>
    <row r="1203" spans="3:41" s="29" customFormat="1" x14ac:dyDescent="0.25">
      <c r="C1203" s="993" t="s">
        <v>8</v>
      </c>
      <c r="D1203" s="993"/>
      <c r="E1203" s="993"/>
      <c r="F1203" s="993"/>
      <c r="G1203" s="993"/>
      <c r="H1203" s="993"/>
      <c r="I1203" s="993"/>
      <c r="J1203" s="993"/>
    </row>
    <row r="1204" spans="3:41" s="29" customFormat="1" x14ac:dyDescent="0.25">
      <c r="C1204" s="989" t="s">
        <v>0</v>
      </c>
      <c r="D1204" s="989"/>
      <c r="E1204" s="989"/>
      <c r="F1204" s="989" t="s">
        <v>1</v>
      </c>
      <c r="G1204" s="989"/>
      <c r="H1204" s="989"/>
      <c r="I1204" s="989"/>
      <c r="J1204" s="989"/>
    </row>
    <row r="1205" spans="3:41" s="29" customFormat="1" x14ac:dyDescent="0.25">
      <c r="C1205" s="990" t="s">
        <v>2</v>
      </c>
      <c r="D1205" s="990"/>
      <c r="E1205" s="990"/>
      <c r="F1205" s="991" t="s">
        <v>140</v>
      </c>
      <c r="G1205" s="991"/>
      <c r="H1205" s="991"/>
      <c r="I1205" s="991"/>
      <c r="J1205" s="991"/>
      <c r="M1205" s="113" t="s">
        <v>336</v>
      </c>
      <c r="N1205" s="113" t="s">
        <v>174</v>
      </c>
      <c r="O1205" s="113" t="s">
        <v>248</v>
      </c>
      <c r="P1205" s="113" t="s">
        <v>176</v>
      </c>
      <c r="Q1205" s="113" t="s">
        <v>337</v>
      </c>
      <c r="R1205" s="113" t="s">
        <v>1641</v>
      </c>
      <c r="S1205" s="113" t="s">
        <v>1642</v>
      </c>
      <c r="T1205" s="113" t="s">
        <v>1643</v>
      </c>
      <c r="U1205" s="113" t="s">
        <v>1644</v>
      </c>
      <c r="W1205" s="988" t="s">
        <v>1482</v>
      </c>
      <c r="X1205" s="988"/>
      <c r="Y1205" s="988"/>
      <c r="Z1205" s="988"/>
      <c r="AA1205" s="988"/>
      <c r="AB1205" s="988"/>
      <c r="AC1205" s="988"/>
      <c r="AD1205" s="988"/>
      <c r="AE1205" s="988"/>
      <c r="AG1205" s="985" t="s">
        <v>1459</v>
      </c>
      <c r="AH1205" s="986"/>
      <c r="AI1205" s="986"/>
      <c r="AJ1205" s="986"/>
      <c r="AK1205" s="986"/>
      <c r="AL1205" s="986"/>
      <c r="AM1205" s="986"/>
      <c r="AN1205" s="986"/>
      <c r="AO1205" s="987"/>
    </row>
    <row r="1206" spans="3:41" s="29" customFormat="1" x14ac:dyDescent="0.25">
      <c r="C1206" s="990"/>
      <c r="D1206" s="990"/>
      <c r="E1206" s="990"/>
      <c r="F1206" s="991"/>
      <c r="G1206" s="991"/>
      <c r="H1206" s="991"/>
      <c r="I1206" s="991"/>
      <c r="J1206" s="991"/>
      <c r="M1206" s="114" t="s">
        <v>344</v>
      </c>
      <c r="N1206" s="114">
        <f>E15</f>
        <v>2099.0723984875517</v>
      </c>
      <c r="O1206" s="114" t="str">
        <f>D15</f>
        <v>g</v>
      </c>
      <c r="P1206" s="114">
        <v>80</v>
      </c>
      <c r="Q1206" s="114">
        <f>N1206</f>
        <v>2099.0723984875517</v>
      </c>
      <c r="R1206" s="114">
        <v>0</v>
      </c>
      <c r="S1206" s="114">
        <f>P1206*R1206</f>
        <v>0</v>
      </c>
      <c r="T1206" s="114">
        <f>P1206-S1206</f>
        <v>80</v>
      </c>
      <c r="U1206" s="114">
        <f>Q1206+((S1206*Q1206)/P1206)</f>
        <v>2099.0723984875517</v>
      </c>
      <c r="W1206" s="113" t="s">
        <v>336</v>
      </c>
      <c r="X1206" s="113" t="s">
        <v>174</v>
      </c>
      <c r="Y1206" s="113" t="s">
        <v>248</v>
      </c>
      <c r="Z1206" s="113" t="s">
        <v>176</v>
      </c>
      <c r="AA1206" s="113" t="s">
        <v>337</v>
      </c>
      <c r="AB1206" s="113" t="s">
        <v>1641</v>
      </c>
      <c r="AC1206" s="113" t="s">
        <v>1642</v>
      </c>
      <c r="AD1206" s="113" t="s">
        <v>1643</v>
      </c>
      <c r="AE1206" s="113" t="s">
        <v>1644</v>
      </c>
      <c r="AG1206" s="113" t="s">
        <v>336</v>
      </c>
      <c r="AH1206" s="113" t="s">
        <v>174</v>
      </c>
      <c r="AI1206" s="113" t="s">
        <v>248</v>
      </c>
      <c r="AJ1206" s="113" t="s">
        <v>176</v>
      </c>
      <c r="AK1206" s="113" t="s">
        <v>337</v>
      </c>
      <c r="AL1206" s="113" t="s">
        <v>1641</v>
      </c>
      <c r="AM1206" s="113" t="s">
        <v>1642</v>
      </c>
      <c r="AN1206" s="113" t="s">
        <v>1643</v>
      </c>
      <c r="AO1206" s="113" t="s">
        <v>1644</v>
      </c>
    </row>
    <row r="1207" spans="3:41" s="29" customFormat="1" x14ac:dyDescent="0.25">
      <c r="C1207" s="990"/>
      <c r="D1207" s="990"/>
      <c r="E1207" s="990"/>
      <c r="F1207" s="991"/>
      <c r="G1207" s="991"/>
      <c r="H1207" s="991"/>
      <c r="I1207" s="991"/>
      <c r="J1207" s="991"/>
      <c r="M1207" s="114" t="s">
        <v>340</v>
      </c>
      <c r="N1207" s="114">
        <f>Y20</f>
        <v>0.64</v>
      </c>
      <c r="O1207" s="114" t="str">
        <f>X20</f>
        <v>g</v>
      </c>
      <c r="P1207" s="114">
        <v>2</v>
      </c>
      <c r="Q1207" s="114">
        <f t="shared" ref="Q1207:Q1213" si="268">N1207*P1207</f>
        <v>1.28</v>
      </c>
      <c r="R1207" s="114">
        <v>0</v>
      </c>
      <c r="S1207" s="114">
        <f t="shared" ref="S1207:S1213" si="269">P1207*R1207</f>
        <v>0</v>
      </c>
      <c r="T1207" s="114">
        <f t="shared" ref="T1207:T1213" si="270">P1207-S1207</f>
        <v>2</v>
      </c>
      <c r="U1207" s="114">
        <f t="shared" ref="U1207:U1213" si="271">Q1207+((S1207*Q1207)/P1207)</f>
        <v>1.28</v>
      </c>
      <c r="W1207" s="114" t="s">
        <v>347</v>
      </c>
      <c r="X1207" s="114">
        <f>V6</f>
        <v>28.76</v>
      </c>
      <c r="Y1207" s="114" t="str">
        <f>U6</f>
        <v>g</v>
      </c>
      <c r="Z1207" s="114">
        <v>30</v>
      </c>
      <c r="AA1207" s="114">
        <f>X1207*Z1207</f>
        <v>862.80000000000007</v>
      </c>
      <c r="AB1207" s="114">
        <v>0</v>
      </c>
      <c r="AC1207" s="114">
        <f>Z1207*AB1207</f>
        <v>0</v>
      </c>
      <c r="AD1207" s="114">
        <f>Z1207-AC1207</f>
        <v>30</v>
      </c>
      <c r="AE1207" s="114">
        <f>AA1207+((AC1207*AA1207)/Z1207)</f>
        <v>862.80000000000007</v>
      </c>
      <c r="AG1207" s="114" t="s">
        <v>430</v>
      </c>
      <c r="AH1207" s="114">
        <f>P10</f>
        <v>0.7</v>
      </c>
      <c r="AI1207" s="114" t="str">
        <f>O10</f>
        <v>g</v>
      </c>
      <c r="AJ1207" s="114">
        <v>20</v>
      </c>
      <c r="AK1207" s="114">
        <f t="shared" ref="AK1207:AK1212" si="272">AH1207*AJ1207</f>
        <v>14</v>
      </c>
      <c r="AL1207" s="114">
        <f>AJ7</f>
        <v>0.15</v>
      </c>
      <c r="AM1207" s="114">
        <f>AJ1207*AL1207</f>
        <v>3</v>
      </c>
      <c r="AN1207" s="114">
        <f>AJ1207-AM1207</f>
        <v>17</v>
      </c>
      <c r="AO1207" s="114">
        <f>AK1207+((AM1207*AK1207)/AJ1207)</f>
        <v>16.100000000000001</v>
      </c>
    </row>
    <row r="1208" spans="3:41" s="29" customFormat="1" x14ac:dyDescent="0.25">
      <c r="C1208" s="989" t="s">
        <v>0</v>
      </c>
      <c r="D1208" s="989"/>
      <c r="E1208" s="989"/>
      <c r="F1208" s="989" t="s">
        <v>1</v>
      </c>
      <c r="G1208" s="989"/>
      <c r="H1208" s="989"/>
      <c r="I1208" s="989"/>
      <c r="J1208" s="989"/>
      <c r="M1208" s="114" t="s">
        <v>349</v>
      </c>
      <c r="N1208" s="114">
        <f>S15</f>
        <v>41</v>
      </c>
      <c r="O1208" s="114" t="str">
        <f>R15</f>
        <v>g</v>
      </c>
      <c r="P1208" s="114">
        <v>60</v>
      </c>
      <c r="Q1208" s="114">
        <f t="shared" si="268"/>
        <v>2460</v>
      </c>
      <c r="R1208" s="114">
        <f>AN3</f>
        <v>0.47</v>
      </c>
      <c r="S1208" s="114">
        <f t="shared" si="269"/>
        <v>28.2</v>
      </c>
      <c r="T1208" s="114">
        <f t="shared" si="270"/>
        <v>31.8</v>
      </c>
      <c r="U1208" s="114">
        <f t="shared" si="271"/>
        <v>3616.2</v>
      </c>
      <c r="W1208" s="114" t="s">
        <v>546</v>
      </c>
      <c r="X1208" s="114">
        <f>AE3</f>
        <v>49.18</v>
      </c>
      <c r="Y1208" s="114" t="str">
        <f>AD3</f>
        <v>mL</v>
      </c>
      <c r="Z1208" s="114">
        <v>5</v>
      </c>
      <c r="AA1208" s="114">
        <f t="shared" ref="AA1208:AA1213" si="273">X1208*Z1208</f>
        <v>245.9</v>
      </c>
      <c r="AB1208" s="114">
        <v>0</v>
      </c>
      <c r="AC1208" s="114">
        <f t="shared" ref="AC1208:AC1213" si="274">Z1208*AB1208</f>
        <v>0</v>
      </c>
      <c r="AD1208" s="114">
        <f t="shared" ref="AD1208:AD1213" si="275">Z1208-AC1208</f>
        <v>5</v>
      </c>
      <c r="AE1208" s="114">
        <f t="shared" ref="AE1208:AE1213" si="276">AA1208+((AC1208*AA1208)/Z1208)</f>
        <v>245.9</v>
      </c>
      <c r="AG1208" s="114" t="s">
        <v>436</v>
      </c>
      <c r="AH1208" s="114">
        <f>P31</f>
        <v>2.6</v>
      </c>
      <c r="AI1208" s="114" t="str">
        <f>O31</f>
        <v>g</v>
      </c>
      <c r="AJ1208" s="114">
        <v>15</v>
      </c>
      <c r="AK1208" s="114">
        <f t="shared" si="272"/>
        <v>39</v>
      </c>
      <c r="AL1208" s="114">
        <f>AJ19</f>
        <v>0.37</v>
      </c>
      <c r="AM1208" s="114">
        <f t="shared" ref="AM1208:AM1212" si="277">AJ1208*AL1208</f>
        <v>5.55</v>
      </c>
      <c r="AN1208" s="114">
        <f t="shared" ref="AN1208:AN1212" si="278">AJ1208-AM1208</f>
        <v>9.4499999999999993</v>
      </c>
      <c r="AO1208" s="114">
        <f t="shared" ref="AO1208:AO1212" si="279">AK1208+((AM1208*AK1208)/AJ1208)</f>
        <v>53.43</v>
      </c>
    </row>
    <row r="1209" spans="3:41" s="29" customFormat="1" x14ac:dyDescent="0.25">
      <c r="C1209" s="990" t="s">
        <v>3</v>
      </c>
      <c r="D1209" s="990"/>
      <c r="E1209" s="990"/>
      <c r="F1209" s="991" t="s">
        <v>148</v>
      </c>
      <c r="G1209" s="991"/>
      <c r="H1209" s="991"/>
      <c r="I1209" s="991"/>
      <c r="J1209" s="991"/>
      <c r="M1209" s="114" t="s">
        <v>427</v>
      </c>
      <c r="N1209" s="114">
        <f>S8</f>
        <v>59</v>
      </c>
      <c r="O1209" s="114" t="str">
        <f>R8</f>
        <v>g</v>
      </c>
      <c r="P1209" s="114">
        <v>60</v>
      </c>
      <c r="Q1209" s="114">
        <f t="shared" si="268"/>
        <v>3540</v>
      </c>
      <c r="R1209" s="114">
        <f>AN4</f>
        <v>0.41</v>
      </c>
      <c r="S1209" s="114">
        <f t="shared" si="269"/>
        <v>24.599999999999998</v>
      </c>
      <c r="T1209" s="114">
        <f t="shared" si="270"/>
        <v>35.400000000000006</v>
      </c>
      <c r="U1209" s="114">
        <f t="shared" si="271"/>
        <v>4991.3999999999996</v>
      </c>
      <c r="W1209" s="114" t="s">
        <v>346</v>
      </c>
      <c r="X1209" s="114">
        <f>P3</f>
        <v>7</v>
      </c>
      <c r="Y1209" s="114" t="str">
        <f>O3</f>
        <v>g</v>
      </c>
      <c r="Z1209" s="114">
        <v>12</v>
      </c>
      <c r="AA1209" s="114">
        <f t="shared" si="273"/>
        <v>84</v>
      </c>
      <c r="AB1209" s="114">
        <f>AJ2</f>
        <v>0.23</v>
      </c>
      <c r="AC1209" s="114">
        <f t="shared" si="274"/>
        <v>2.7600000000000002</v>
      </c>
      <c r="AD1209" s="114">
        <f t="shared" si="275"/>
        <v>9.24</v>
      </c>
      <c r="AE1209" s="114">
        <f t="shared" si="276"/>
        <v>103.32000000000001</v>
      </c>
      <c r="AG1209" s="114" t="s">
        <v>435</v>
      </c>
      <c r="AH1209" s="114">
        <f>P5</f>
        <v>2.5</v>
      </c>
      <c r="AI1209" s="114" t="str">
        <f>O5</f>
        <v>g</v>
      </c>
      <c r="AJ1209" s="114">
        <v>8</v>
      </c>
      <c r="AK1209" s="114">
        <f t="shared" si="272"/>
        <v>20</v>
      </c>
      <c r="AL1209" s="114">
        <f>AJ3</f>
        <v>0.37</v>
      </c>
      <c r="AM1209" s="114">
        <f t="shared" si="277"/>
        <v>2.96</v>
      </c>
      <c r="AN1209" s="114">
        <f t="shared" si="278"/>
        <v>5.04</v>
      </c>
      <c r="AO1209" s="114">
        <f t="shared" si="279"/>
        <v>27.4</v>
      </c>
    </row>
    <row r="1210" spans="3:41" s="29" customFormat="1" x14ac:dyDescent="0.25">
      <c r="C1210" s="990"/>
      <c r="D1210" s="990"/>
      <c r="E1210" s="990"/>
      <c r="F1210" s="991"/>
      <c r="G1210" s="991"/>
      <c r="H1210" s="991"/>
      <c r="I1210" s="991"/>
      <c r="J1210" s="991"/>
      <c r="M1210" s="114" t="s">
        <v>604</v>
      </c>
      <c r="N1210" s="153">
        <f>V15</f>
        <v>24.63</v>
      </c>
      <c r="O1210" s="114" t="str">
        <f>U15</f>
        <v>g</v>
      </c>
      <c r="P1210" s="114">
        <v>30</v>
      </c>
      <c r="Q1210" s="114">
        <f t="shared" si="268"/>
        <v>738.9</v>
      </c>
      <c r="R1210" s="114">
        <v>0</v>
      </c>
      <c r="S1210" s="114">
        <f t="shared" si="269"/>
        <v>0</v>
      </c>
      <c r="T1210" s="114">
        <f t="shared" si="270"/>
        <v>30</v>
      </c>
      <c r="U1210" s="114">
        <f t="shared" si="271"/>
        <v>738.9</v>
      </c>
      <c r="W1210" s="114" t="s">
        <v>348</v>
      </c>
      <c r="X1210" s="114">
        <f>V2</f>
        <v>13.11</v>
      </c>
      <c r="Y1210" s="114" t="str">
        <f>U2</f>
        <v>g</v>
      </c>
      <c r="Z1210" s="114">
        <v>60</v>
      </c>
      <c r="AA1210" s="114">
        <f t="shared" si="273"/>
        <v>786.59999999999991</v>
      </c>
      <c r="AB1210" s="114">
        <v>0</v>
      </c>
      <c r="AC1210" s="114">
        <f t="shared" si="274"/>
        <v>0</v>
      </c>
      <c r="AD1210" s="114">
        <f t="shared" si="275"/>
        <v>60</v>
      </c>
      <c r="AE1210" s="114">
        <f t="shared" si="276"/>
        <v>786.59999999999991</v>
      </c>
      <c r="AG1210" s="114" t="s">
        <v>429</v>
      </c>
      <c r="AH1210" s="114">
        <f>P29</f>
        <v>1.8</v>
      </c>
      <c r="AI1210" s="114" t="str">
        <f>O29</f>
        <v>g</v>
      </c>
      <c r="AJ1210" s="114">
        <v>40</v>
      </c>
      <c r="AK1210" s="114">
        <f t="shared" si="272"/>
        <v>72</v>
      </c>
      <c r="AL1210" s="114">
        <f>AJ18</f>
        <v>0.05</v>
      </c>
      <c r="AM1210" s="114">
        <f t="shared" si="277"/>
        <v>2</v>
      </c>
      <c r="AN1210" s="114">
        <f t="shared" si="278"/>
        <v>38</v>
      </c>
      <c r="AO1210" s="114">
        <f t="shared" si="279"/>
        <v>75.599999999999994</v>
      </c>
    </row>
    <row r="1211" spans="3:41" s="29" customFormat="1" x14ac:dyDescent="0.25">
      <c r="C1211" s="990"/>
      <c r="D1211" s="990"/>
      <c r="E1211" s="990"/>
      <c r="F1211" s="991"/>
      <c r="G1211" s="991"/>
      <c r="H1211" s="991"/>
      <c r="I1211" s="991"/>
      <c r="J1211" s="991"/>
      <c r="M1211" s="114" t="s">
        <v>501</v>
      </c>
      <c r="N1211" s="114">
        <f>AE1214</f>
        <v>5944.7800000000007</v>
      </c>
      <c r="O1211" s="114" t="s">
        <v>1388</v>
      </c>
      <c r="P1211" s="114">
        <v>120</v>
      </c>
      <c r="Q1211" s="114">
        <f>N1211</f>
        <v>5944.7800000000007</v>
      </c>
      <c r="R1211" s="114">
        <v>0</v>
      </c>
      <c r="S1211" s="114">
        <f t="shared" si="269"/>
        <v>0</v>
      </c>
      <c r="T1211" s="114">
        <f t="shared" si="270"/>
        <v>120</v>
      </c>
      <c r="U1211" s="114">
        <f t="shared" si="271"/>
        <v>5944.7800000000007</v>
      </c>
      <c r="W1211" s="114" t="s">
        <v>433</v>
      </c>
      <c r="X1211" s="114">
        <f>Y18</f>
        <v>223.57</v>
      </c>
      <c r="Y1211" s="114" t="str">
        <f>X18</f>
        <v>g</v>
      </c>
      <c r="Z1211" s="114">
        <v>8</v>
      </c>
      <c r="AA1211" s="114">
        <f t="shared" si="273"/>
        <v>1788.56</v>
      </c>
      <c r="AB1211" s="114">
        <v>0</v>
      </c>
      <c r="AC1211" s="114">
        <f t="shared" si="274"/>
        <v>0</v>
      </c>
      <c r="AD1211" s="114">
        <f t="shared" si="275"/>
        <v>8</v>
      </c>
      <c r="AE1211" s="114">
        <f t="shared" si="276"/>
        <v>1788.56</v>
      </c>
      <c r="AG1211" s="114" t="s">
        <v>432</v>
      </c>
      <c r="AH1211" s="114">
        <f>S8</f>
        <v>59</v>
      </c>
      <c r="AI1211" s="114" t="str">
        <f>R8</f>
        <v>g</v>
      </c>
      <c r="AJ1211" s="114">
        <v>35</v>
      </c>
      <c r="AK1211" s="114">
        <f t="shared" si="272"/>
        <v>2065</v>
      </c>
      <c r="AL1211" s="114">
        <f>AN4</f>
        <v>0.41</v>
      </c>
      <c r="AM1211" s="114">
        <f t="shared" si="277"/>
        <v>14.35</v>
      </c>
      <c r="AN1211" s="114">
        <f t="shared" si="278"/>
        <v>20.65</v>
      </c>
      <c r="AO1211" s="114">
        <f t="shared" si="279"/>
        <v>2911.65</v>
      </c>
    </row>
    <row r="1212" spans="3:41" s="29" customFormat="1" x14ac:dyDescent="0.25">
      <c r="C1212" s="990" t="s">
        <v>4</v>
      </c>
      <c r="D1212" s="990"/>
      <c r="E1212" s="990"/>
      <c r="F1212" s="991" t="s">
        <v>15</v>
      </c>
      <c r="G1212" s="991"/>
      <c r="H1212" s="991"/>
      <c r="I1212" s="991"/>
      <c r="J1212" s="991"/>
      <c r="M1212" s="114" t="s">
        <v>516</v>
      </c>
      <c r="N1212" s="114">
        <f>AO1214</f>
        <v>4123.38</v>
      </c>
      <c r="O1212" s="114" t="s">
        <v>1388</v>
      </c>
      <c r="P1212" s="114">
        <v>120</v>
      </c>
      <c r="Q1212" s="114">
        <f>N1212</f>
        <v>4123.38</v>
      </c>
      <c r="R1212" s="114">
        <v>0</v>
      </c>
      <c r="S1212" s="114">
        <f t="shared" si="269"/>
        <v>0</v>
      </c>
      <c r="T1212" s="114">
        <f t="shared" si="270"/>
        <v>120</v>
      </c>
      <c r="U1212" s="114">
        <f t="shared" si="271"/>
        <v>4123.38</v>
      </c>
      <c r="W1212" s="114" t="s">
        <v>547</v>
      </c>
      <c r="X1212" s="114">
        <f>V13</f>
        <v>81.900000000000006</v>
      </c>
      <c r="Y1212" s="114" t="str">
        <f>U13</f>
        <v>g</v>
      </c>
      <c r="Z1212" s="114">
        <v>20</v>
      </c>
      <c r="AA1212" s="114">
        <f t="shared" si="273"/>
        <v>1638</v>
      </c>
      <c r="AB1212" s="114">
        <v>0</v>
      </c>
      <c r="AC1212" s="114">
        <f t="shared" si="274"/>
        <v>0</v>
      </c>
      <c r="AD1212" s="114">
        <f t="shared" si="275"/>
        <v>20</v>
      </c>
      <c r="AE1212" s="114">
        <f t="shared" si="276"/>
        <v>1638</v>
      </c>
      <c r="AG1212" s="114" t="s">
        <v>455</v>
      </c>
      <c r="AH1212" s="114">
        <f>AE15</f>
        <v>51.96</v>
      </c>
      <c r="AI1212" s="114" t="str">
        <f>AD15</f>
        <v>mL</v>
      </c>
      <c r="AJ1212" s="114">
        <v>20</v>
      </c>
      <c r="AK1212" s="114">
        <f t="shared" si="272"/>
        <v>1039.2</v>
      </c>
      <c r="AL1212" s="114">
        <v>0</v>
      </c>
      <c r="AM1212" s="114">
        <f t="shared" si="277"/>
        <v>0</v>
      </c>
      <c r="AN1212" s="114">
        <f t="shared" si="278"/>
        <v>20</v>
      </c>
      <c r="AO1212" s="114">
        <f t="shared" si="279"/>
        <v>1039.2</v>
      </c>
    </row>
    <row r="1213" spans="3:41" s="29" customFormat="1" x14ac:dyDescent="0.25">
      <c r="C1213" s="990"/>
      <c r="D1213" s="990"/>
      <c r="E1213" s="990"/>
      <c r="F1213" s="991"/>
      <c r="G1213" s="991"/>
      <c r="H1213" s="991"/>
      <c r="I1213" s="991"/>
      <c r="J1213" s="991"/>
      <c r="M1213" s="114" t="s">
        <v>458</v>
      </c>
      <c r="N1213" s="114">
        <f>S10</f>
        <v>32.46</v>
      </c>
      <c r="O1213" s="114" t="str">
        <f>R10</f>
        <v>g</v>
      </c>
      <c r="P1213" s="114">
        <v>30</v>
      </c>
      <c r="Q1213" s="114">
        <f t="shared" si="268"/>
        <v>973.80000000000007</v>
      </c>
      <c r="R1213" s="114">
        <v>0</v>
      </c>
      <c r="S1213" s="114">
        <f t="shared" si="269"/>
        <v>0</v>
      </c>
      <c r="T1213" s="114">
        <f t="shared" si="270"/>
        <v>30</v>
      </c>
      <c r="U1213" s="114">
        <f t="shared" si="271"/>
        <v>973.80000000000007</v>
      </c>
      <c r="W1213" s="114" t="s">
        <v>462</v>
      </c>
      <c r="X1213" s="114">
        <f>V12</f>
        <v>25.98</v>
      </c>
      <c r="Y1213" s="114" t="str">
        <f>U12</f>
        <v>g</v>
      </c>
      <c r="Z1213" s="114">
        <v>20</v>
      </c>
      <c r="AA1213" s="114">
        <f t="shared" si="273"/>
        <v>519.6</v>
      </c>
      <c r="AB1213" s="114">
        <v>0</v>
      </c>
      <c r="AC1213" s="114">
        <f t="shared" si="274"/>
        <v>0</v>
      </c>
      <c r="AD1213" s="114">
        <f t="shared" si="275"/>
        <v>20</v>
      </c>
      <c r="AE1213" s="114">
        <f t="shared" si="276"/>
        <v>519.6</v>
      </c>
      <c r="AG1213" s="114"/>
      <c r="AH1213" s="114"/>
      <c r="AI1213" s="114"/>
      <c r="AJ1213" s="114"/>
      <c r="AK1213" s="114"/>
      <c r="AL1213" s="114"/>
      <c r="AM1213" s="114"/>
      <c r="AN1213" s="114"/>
      <c r="AO1213" s="114"/>
    </row>
    <row r="1214" spans="3:41" s="29" customFormat="1" x14ac:dyDescent="0.25">
      <c r="C1214" s="990"/>
      <c r="D1214" s="990"/>
      <c r="E1214" s="990"/>
      <c r="F1214" s="991"/>
      <c r="G1214" s="991"/>
      <c r="H1214" s="991"/>
      <c r="I1214" s="991"/>
      <c r="J1214" s="991"/>
      <c r="M1214" s="114"/>
      <c r="N1214" s="114"/>
      <c r="O1214" s="114"/>
      <c r="P1214" s="114"/>
      <c r="Q1214" s="114"/>
      <c r="R1214" s="114"/>
      <c r="S1214" s="114"/>
      <c r="T1214" s="114"/>
      <c r="U1214" s="114"/>
      <c r="W1214" s="114" t="s">
        <v>337</v>
      </c>
      <c r="X1214" s="114">
        <f>SUM(X1207:X1213)</f>
        <v>429.5</v>
      </c>
      <c r="Y1214" s="114"/>
      <c r="Z1214" s="114">
        <f>SUM(Z1207:Z1213)</f>
        <v>155</v>
      </c>
      <c r="AA1214" s="114">
        <f>SUM(AA1207:AA1213)</f>
        <v>5925.46</v>
      </c>
      <c r="AB1214" s="114"/>
      <c r="AC1214" s="114"/>
      <c r="AD1214" s="114"/>
      <c r="AE1214" s="114">
        <f>SUM(AE1207:AE1213)</f>
        <v>5944.7800000000007</v>
      </c>
      <c r="AG1214" s="114" t="s">
        <v>337</v>
      </c>
      <c r="AH1214" s="114">
        <f>SUM(AH1207:AH1213)</f>
        <v>118.56</v>
      </c>
      <c r="AI1214" s="114"/>
      <c r="AJ1214" s="114">
        <f>SUM(AJ1207:AJ1213)</f>
        <v>138</v>
      </c>
      <c r="AK1214" s="114">
        <f>SUM(AK1207:AK1213)</f>
        <v>3249.2</v>
      </c>
      <c r="AL1214" s="114"/>
      <c r="AM1214" s="114"/>
      <c r="AN1214" s="114"/>
      <c r="AO1214" s="114">
        <f>SUM(AO1207:AO1213)</f>
        <v>4123.38</v>
      </c>
    </row>
    <row r="1215" spans="3:41" s="29" customFormat="1" x14ac:dyDescent="0.25">
      <c r="C1215" s="990" t="s">
        <v>5</v>
      </c>
      <c r="D1215" s="990"/>
      <c r="E1215" s="990"/>
      <c r="F1215" s="991" t="s">
        <v>1006</v>
      </c>
      <c r="G1215" s="991"/>
      <c r="H1215" s="991"/>
      <c r="I1215" s="991"/>
      <c r="J1215" s="991"/>
      <c r="M1215" s="114" t="s">
        <v>337</v>
      </c>
      <c r="N1215" s="114">
        <f>SUM(N1206:N1214)</f>
        <v>12324.962398487551</v>
      </c>
      <c r="O1215" s="114"/>
      <c r="P1215" s="114">
        <f>SUM(P1206:P1214)</f>
        <v>502</v>
      </c>
      <c r="Q1215" s="114">
        <f>SUM(Q1206:Q1214)</f>
        <v>19881.212398487551</v>
      </c>
      <c r="R1215" s="114"/>
      <c r="S1215" s="114"/>
      <c r="T1215" s="114"/>
      <c r="U1215" s="114">
        <f>SUM(U1206:U1214)</f>
        <v>22488.812398487553</v>
      </c>
    </row>
    <row r="1216" spans="3:41" s="29" customFormat="1" x14ac:dyDescent="0.25">
      <c r="C1216" s="990"/>
      <c r="D1216" s="990"/>
      <c r="E1216" s="990"/>
      <c r="F1216" s="991"/>
      <c r="G1216" s="991"/>
      <c r="H1216" s="991"/>
      <c r="I1216" s="991"/>
      <c r="J1216" s="991"/>
      <c r="AA1216" s="114" t="s">
        <v>1681</v>
      </c>
      <c r="AB1216" s="114">
        <f>AE1214</f>
        <v>5944.7800000000007</v>
      </c>
      <c r="AC1216" s="608" t="s">
        <v>2142</v>
      </c>
      <c r="AD1216" s="608">
        <f>(AB1216*100)/AB1223</f>
        <v>43.068480751506549</v>
      </c>
      <c r="AK1216" s="114" t="s">
        <v>1681</v>
      </c>
      <c r="AL1216" s="114">
        <f>AO1214</f>
        <v>4123.38</v>
      </c>
      <c r="AM1216" s="608" t="s">
        <v>2142</v>
      </c>
      <c r="AN1216" s="608">
        <f>(AL1216*100)/AL1223</f>
        <v>38.69644286922049</v>
      </c>
    </row>
    <row r="1217" spans="3:41" s="29" customFormat="1" x14ac:dyDescent="0.25">
      <c r="C1217" s="990"/>
      <c r="D1217" s="990"/>
      <c r="E1217" s="990"/>
      <c r="F1217" s="991"/>
      <c r="G1217" s="991"/>
      <c r="H1217" s="991"/>
      <c r="I1217" s="991"/>
      <c r="J1217" s="991"/>
      <c r="Q1217" s="114" t="s">
        <v>1681</v>
      </c>
      <c r="R1217" s="114">
        <f>U1215</f>
        <v>22488.812398487553</v>
      </c>
      <c r="S1217" s="608" t="s">
        <v>2142</v>
      </c>
      <c r="T1217" s="608">
        <f>(R1217*100)/R1224</f>
        <v>53.259674395789169</v>
      </c>
      <c r="AA1217" s="114" t="s">
        <v>2326</v>
      </c>
      <c r="AB1217" s="114">
        <f>$AO$26/2</f>
        <v>476.87414947063905</v>
      </c>
      <c r="AK1217" s="114" t="s">
        <v>2326</v>
      </c>
      <c r="AL1217" s="114">
        <f>$AO$26/2</f>
        <v>476.87414947063905</v>
      </c>
    </row>
    <row r="1218" spans="3:41" s="29" customFormat="1" x14ac:dyDescent="0.25">
      <c r="C1218" s="990" t="s">
        <v>6</v>
      </c>
      <c r="D1218" s="990"/>
      <c r="E1218" s="990"/>
      <c r="F1218" s="991" t="s">
        <v>9</v>
      </c>
      <c r="G1218" s="991"/>
      <c r="H1218" s="991"/>
      <c r="I1218" s="991"/>
      <c r="J1218" s="991"/>
      <c r="Q1218" s="114" t="s">
        <v>2326</v>
      </c>
      <c r="R1218" s="114">
        <f>$AL$26</f>
        <v>1801.715474357886</v>
      </c>
      <c r="AA1218" s="114" t="s">
        <v>2325</v>
      </c>
      <c r="AB1218" s="114">
        <f>$AO$27/4</f>
        <v>18.899999999999999</v>
      </c>
      <c r="AK1218" s="114" t="s">
        <v>2325</v>
      </c>
      <c r="AL1218" s="114">
        <f>$AO$27/4</f>
        <v>18.899999999999999</v>
      </c>
    </row>
    <row r="1219" spans="3:41" s="29" customFormat="1" x14ac:dyDescent="0.25">
      <c r="C1219" s="990"/>
      <c r="D1219" s="990"/>
      <c r="E1219" s="990"/>
      <c r="F1219" s="991"/>
      <c r="G1219" s="991"/>
      <c r="H1219" s="991"/>
      <c r="I1219" s="991"/>
      <c r="J1219" s="991"/>
      <c r="Q1219" s="114" t="s">
        <v>2325</v>
      </c>
      <c r="R1219" s="114">
        <f>$AL$27</f>
        <v>75.599999999999994</v>
      </c>
      <c r="AA1219" s="114" t="s">
        <v>1684</v>
      </c>
      <c r="AB1219" s="114">
        <f>$AO$29</f>
        <v>1547.3435977313275</v>
      </c>
      <c r="AK1219" s="114" t="s">
        <v>1684</v>
      </c>
      <c r="AL1219" s="114">
        <f>$AO$29</f>
        <v>1547.3435977313275</v>
      </c>
    </row>
    <row r="1220" spans="3:41" s="29" customFormat="1" x14ac:dyDescent="0.25">
      <c r="C1220" s="990"/>
      <c r="D1220" s="990"/>
      <c r="E1220" s="990"/>
      <c r="F1220" s="991"/>
      <c r="G1220" s="991"/>
      <c r="H1220" s="991"/>
      <c r="I1220" s="991"/>
      <c r="J1220" s="991"/>
      <c r="Q1220" s="114" t="s">
        <v>1684</v>
      </c>
      <c r="R1220" s="114">
        <f>$AL$29</f>
        <v>69.543532482306858</v>
      </c>
      <c r="AA1220" s="114" t="s">
        <v>1685</v>
      </c>
      <c r="AB1220" s="114">
        <v>0.6</v>
      </c>
      <c r="AK1220" s="114" t="s">
        <v>1685</v>
      </c>
      <c r="AL1220" s="114">
        <v>0.6</v>
      </c>
    </row>
    <row r="1221" spans="3:41" s="29" customFormat="1" x14ac:dyDescent="0.25">
      <c r="C1221" s="990" t="s">
        <v>7</v>
      </c>
      <c r="D1221" s="990"/>
      <c r="E1221" s="990"/>
      <c r="F1221" s="991" t="s">
        <v>955</v>
      </c>
      <c r="G1221" s="991"/>
      <c r="H1221" s="991"/>
      <c r="I1221" s="991"/>
      <c r="J1221" s="991"/>
      <c r="Q1221" s="114" t="s">
        <v>1685</v>
      </c>
      <c r="R1221" s="114">
        <v>0.6</v>
      </c>
      <c r="AA1221" s="114" t="s">
        <v>1708</v>
      </c>
      <c r="AB1221" s="114">
        <f>(SUM(AB1216:AB1219)*AB1220)+SUM(AB1216:AB1219)</f>
        <v>12780.636395523146</v>
      </c>
      <c r="AK1221" s="114" t="s">
        <v>1708</v>
      </c>
      <c r="AL1221" s="114">
        <f>(SUM(AL1216:AL1219)*AL1220)+SUM(AL1216:AL1219)</f>
        <v>9866.3963955231466</v>
      </c>
    </row>
    <row r="1222" spans="3:41" s="29" customFormat="1" x14ac:dyDescent="0.25">
      <c r="C1222" s="990"/>
      <c r="D1222" s="990"/>
      <c r="E1222" s="990"/>
      <c r="F1222" s="991"/>
      <c r="G1222" s="991"/>
      <c r="H1222" s="991"/>
      <c r="I1222" s="991"/>
      <c r="J1222" s="991"/>
      <c r="Q1222" s="114" t="s">
        <v>1708</v>
      </c>
      <c r="R1222" s="114">
        <f>(SUM(R1217:R1220)*R1221)+SUM(R1217:R1220)</f>
        <v>39097.074248524397</v>
      </c>
      <c r="AA1222" s="114" t="s">
        <v>2130</v>
      </c>
      <c r="AB1222" s="114">
        <f>AB1221*0.08</f>
        <v>1022.4509116418517</v>
      </c>
      <c r="AK1222" s="114" t="s">
        <v>2130</v>
      </c>
      <c r="AL1222" s="114">
        <f>AL1221*0.08</f>
        <v>789.31171164185173</v>
      </c>
    </row>
    <row r="1223" spans="3:41" s="29" customFormat="1" x14ac:dyDescent="0.25">
      <c r="C1223" s="990"/>
      <c r="D1223" s="990"/>
      <c r="E1223" s="990"/>
      <c r="F1223" s="991"/>
      <c r="G1223" s="991"/>
      <c r="H1223" s="991"/>
      <c r="I1223" s="991"/>
      <c r="J1223" s="991"/>
      <c r="Q1223" s="114" t="s">
        <v>2130</v>
      </c>
      <c r="R1223" s="114">
        <f>R1222*0.08</f>
        <v>3127.7659398819519</v>
      </c>
      <c r="AA1223" s="114" t="s">
        <v>1686</v>
      </c>
      <c r="AB1223" s="114">
        <f>SUM(AB1221+AB1222)</f>
        <v>13803.087307164998</v>
      </c>
      <c r="AK1223" s="114" t="s">
        <v>1686</v>
      </c>
      <c r="AL1223" s="114">
        <f>SUM(AL1221+AL1222)</f>
        <v>10655.708107164999</v>
      </c>
    </row>
    <row r="1224" spans="3:41" s="29" customFormat="1" x14ac:dyDescent="0.25">
      <c r="Q1224" s="114" t="s">
        <v>1686</v>
      </c>
      <c r="R1224" s="114">
        <f>SUM(R1222+R1223)</f>
        <v>42224.84018840635</v>
      </c>
    </row>
    <row r="1225" spans="3:41" s="29" customFormat="1" x14ac:dyDescent="0.25"/>
    <row r="1226" spans="3:41" s="29" customFormat="1" x14ac:dyDescent="0.25">
      <c r="C1226" s="993" t="s">
        <v>8</v>
      </c>
      <c r="D1226" s="993"/>
      <c r="E1226" s="993"/>
      <c r="F1226" s="993"/>
      <c r="G1226" s="993"/>
      <c r="H1226" s="993"/>
      <c r="I1226" s="993"/>
      <c r="J1226" s="993"/>
    </row>
    <row r="1227" spans="3:41" s="29" customFormat="1" x14ac:dyDescent="0.25">
      <c r="C1227" s="989" t="s">
        <v>0</v>
      </c>
      <c r="D1227" s="989"/>
      <c r="E1227" s="989"/>
      <c r="F1227" s="989" t="s">
        <v>1</v>
      </c>
      <c r="G1227" s="989"/>
      <c r="H1227" s="989"/>
      <c r="I1227" s="989"/>
      <c r="J1227" s="989"/>
    </row>
    <row r="1228" spans="3:41" s="29" customFormat="1" x14ac:dyDescent="0.25">
      <c r="C1228" s="990" t="s">
        <v>2</v>
      </c>
      <c r="D1228" s="990"/>
      <c r="E1228" s="990"/>
      <c r="F1228" s="991" t="s">
        <v>141</v>
      </c>
      <c r="G1228" s="991"/>
      <c r="H1228" s="991"/>
      <c r="I1228" s="991"/>
      <c r="J1228" s="991"/>
      <c r="M1228" s="113" t="s">
        <v>336</v>
      </c>
      <c r="N1228" s="113" t="s">
        <v>174</v>
      </c>
      <c r="O1228" s="113" t="s">
        <v>248</v>
      </c>
      <c r="P1228" s="113" t="s">
        <v>176</v>
      </c>
      <c r="Q1228" s="113" t="s">
        <v>337</v>
      </c>
      <c r="R1228" s="113" t="s">
        <v>1641</v>
      </c>
      <c r="S1228" s="113" t="s">
        <v>1642</v>
      </c>
      <c r="T1228" s="113" t="s">
        <v>1643</v>
      </c>
      <c r="U1228" s="113" t="s">
        <v>1644</v>
      </c>
      <c r="W1228" s="988" t="s">
        <v>1459</v>
      </c>
      <c r="X1228" s="988"/>
      <c r="Y1228" s="988"/>
      <c r="Z1228" s="988"/>
      <c r="AA1228" s="988"/>
      <c r="AB1228" s="988"/>
      <c r="AC1228" s="988"/>
      <c r="AD1228" s="988"/>
      <c r="AE1228" s="988"/>
      <c r="AG1228" s="985" t="s">
        <v>1458</v>
      </c>
      <c r="AH1228" s="986"/>
      <c r="AI1228" s="986"/>
      <c r="AJ1228" s="986"/>
      <c r="AK1228" s="986"/>
      <c r="AL1228" s="986"/>
      <c r="AM1228" s="986"/>
      <c r="AN1228" s="986"/>
      <c r="AO1228" s="987"/>
    </row>
    <row r="1229" spans="3:41" s="29" customFormat="1" x14ac:dyDescent="0.25">
      <c r="C1229" s="990"/>
      <c r="D1229" s="990"/>
      <c r="E1229" s="990"/>
      <c r="F1229" s="991"/>
      <c r="G1229" s="991"/>
      <c r="H1229" s="991"/>
      <c r="I1229" s="991"/>
      <c r="J1229" s="991"/>
      <c r="M1229" s="114" t="s">
        <v>344</v>
      </c>
      <c r="N1229" s="114">
        <f>E15</f>
        <v>2099.0723984875517</v>
      </c>
      <c r="O1229" s="114" t="str">
        <f>D15</f>
        <v>g</v>
      </c>
      <c r="P1229" s="114">
        <v>80</v>
      </c>
      <c r="Q1229" s="114">
        <f>N1229</f>
        <v>2099.0723984875517</v>
      </c>
      <c r="R1229" s="114">
        <v>0</v>
      </c>
      <c r="S1229" s="114">
        <f t="shared" ref="S1229:S1234" si="280">P1229*R1229</f>
        <v>0</v>
      </c>
      <c r="T1229" s="114">
        <f t="shared" ref="T1229:T1234" si="281">P1229-S1229</f>
        <v>80</v>
      </c>
      <c r="U1229" s="114">
        <f>Q1229+((S1229*Q1229)/P1229)</f>
        <v>2099.0723984875517</v>
      </c>
      <c r="W1229" s="113" t="s">
        <v>336</v>
      </c>
      <c r="X1229" s="113" t="s">
        <v>174</v>
      </c>
      <c r="Y1229" s="113" t="s">
        <v>248</v>
      </c>
      <c r="Z1229" s="113" t="s">
        <v>176</v>
      </c>
      <c r="AA1229" s="113" t="s">
        <v>337</v>
      </c>
      <c r="AB1229" s="113" t="s">
        <v>1641</v>
      </c>
      <c r="AC1229" s="113" t="s">
        <v>1642</v>
      </c>
      <c r="AD1229" s="113" t="s">
        <v>1643</v>
      </c>
      <c r="AE1229" s="113" t="s">
        <v>1644</v>
      </c>
      <c r="AG1229" s="113" t="s">
        <v>336</v>
      </c>
      <c r="AH1229" s="113" t="s">
        <v>174</v>
      </c>
      <c r="AI1229" s="113" t="s">
        <v>248</v>
      </c>
      <c r="AJ1229" s="113" t="s">
        <v>176</v>
      </c>
      <c r="AK1229" s="113" t="s">
        <v>337</v>
      </c>
      <c r="AL1229" s="113" t="s">
        <v>1641</v>
      </c>
      <c r="AM1229" s="113" t="s">
        <v>1642</v>
      </c>
      <c r="AN1229" s="113" t="s">
        <v>1643</v>
      </c>
      <c r="AO1229" s="113" t="s">
        <v>1644</v>
      </c>
    </row>
    <row r="1230" spans="3:41" s="29" customFormat="1" x14ac:dyDescent="0.25">
      <c r="C1230" s="990"/>
      <c r="D1230" s="990"/>
      <c r="E1230" s="990"/>
      <c r="F1230" s="991"/>
      <c r="G1230" s="991"/>
      <c r="H1230" s="991"/>
      <c r="I1230" s="991"/>
      <c r="J1230" s="991"/>
      <c r="M1230" s="114" t="s">
        <v>340</v>
      </c>
      <c r="N1230" s="114">
        <f>Y20</f>
        <v>0.64</v>
      </c>
      <c r="O1230" s="114" t="str">
        <f>X20</f>
        <v>g</v>
      </c>
      <c r="P1230" s="114">
        <v>2</v>
      </c>
      <c r="Q1230" s="114">
        <f>N1230*P1230</f>
        <v>1.28</v>
      </c>
      <c r="R1230" s="114">
        <v>0</v>
      </c>
      <c r="S1230" s="114">
        <f t="shared" si="280"/>
        <v>0</v>
      </c>
      <c r="T1230" s="114">
        <f t="shared" si="281"/>
        <v>2</v>
      </c>
      <c r="U1230" s="114">
        <f t="shared" ref="U1230:U1234" si="282">Q1230+((S1230*Q1230)/P1230)</f>
        <v>1.28</v>
      </c>
      <c r="W1230" s="114" t="s">
        <v>430</v>
      </c>
      <c r="X1230" s="114">
        <f>P10</f>
        <v>0.7</v>
      </c>
      <c r="Y1230" s="114" t="str">
        <f>O10</f>
        <v>g</v>
      </c>
      <c r="Z1230" s="114">
        <v>20</v>
      </c>
      <c r="AA1230" s="114">
        <f t="shared" ref="AA1230:AA1235" si="283">X1230*Z1230</f>
        <v>14</v>
      </c>
      <c r="AB1230" s="114">
        <f>AJ7</f>
        <v>0.15</v>
      </c>
      <c r="AC1230" s="114">
        <f>Z1230*AB1230</f>
        <v>3</v>
      </c>
      <c r="AD1230" s="114">
        <f>Z1230-AC1230</f>
        <v>17</v>
      </c>
      <c r="AE1230" s="114">
        <f>AA1230+((AC1230*AA1230)/Z1230)</f>
        <v>16.100000000000001</v>
      </c>
      <c r="AG1230" s="114" t="s">
        <v>429</v>
      </c>
      <c r="AH1230" s="114">
        <f>P29</f>
        <v>1.8</v>
      </c>
      <c r="AI1230" s="114" t="str">
        <f>O29</f>
        <v>g</v>
      </c>
      <c r="AJ1230" s="114">
        <v>60</v>
      </c>
      <c r="AK1230" s="114">
        <f t="shared" ref="AK1230:AK1236" si="284">AH1230*AJ1230</f>
        <v>108</v>
      </c>
      <c r="AL1230" s="114">
        <f>AJ18</f>
        <v>0.05</v>
      </c>
      <c r="AM1230" s="114">
        <f>AJ1230*AL1230</f>
        <v>3</v>
      </c>
      <c r="AN1230" s="114">
        <f>AJ1230-AM1230</f>
        <v>57</v>
      </c>
      <c r="AO1230" s="114">
        <f>AK1230+((AM1230*AK1230)/AJ1230)</f>
        <v>113.4</v>
      </c>
    </row>
    <row r="1231" spans="3:41" s="29" customFormat="1" x14ac:dyDescent="0.25">
      <c r="C1231" s="989" t="s">
        <v>0</v>
      </c>
      <c r="D1231" s="989"/>
      <c r="E1231" s="989"/>
      <c r="F1231" s="989" t="s">
        <v>1</v>
      </c>
      <c r="G1231" s="989"/>
      <c r="H1231" s="989"/>
      <c r="I1231" s="989"/>
      <c r="J1231" s="989"/>
      <c r="M1231" s="114" t="s">
        <v>427</v>
      </c>
      <c r="N1231" s="114">
        <f>S8</f>
        <v>59</v>
      </c>
      <c r="O1231" s="114" t="str">
        <f>R8</f>
        <v>g</v>
      </c>
      <c r="P1231" s="114">
        <v>80</v>
      </c>
      <c r="Q1231" s="114">
        <f>N1231*P1231</f>
        <v>4720</v>
      </c>
      <c r="R1231" s="114">
        <f>AN4</f>
        <v>0.41</v>
      </c>
      <c r="S1231" s="114">
        <f t="shared" si="280"/>
        <v>32.799999999999997</v>
      </c>
      <c r="T1231" s="114">
        <f t="shared" si="281"/>
        <v>47.2</v>
      </c>
      <c r="U1231" s="114">
        <f t="shared" si="282"/>
        <v>6655.2</v>
      </c>
      <c r="W1231" s="114" t="s">
        <v>436</v>
      </c>
      <c r="X1231" s="114">
        <f>P31</f>
        <v>2.6</v>
      </c>
      <c r="Y1231" s="114" t="str">
        <f>O31</f>
        <v>g</v>
      </c>
      <c r="Z1231" s="114">
        <v>15</v>
      </c>
      <c r="AA1231" s="114">
        <f t="shared" si="283"/>
        <v>39</v>
      </c>
      <c r="AB1231" s="114">
        <f>AJ19</f>
        <v>0.37</v>
      </c>
      <c r="AC1231" s="114">
        <f t="shared" ref="AC1231:AC1235" si="285">Z1231*AB1231</f>
        <v>5.55</v>
      </c>
      <c r="AD1231" s="114">
        <f t="shared" ref="AD1231:AD1235" si="286">Z1231-AC1231</f>
        <v>9.4499999999999993</v>
      </c>
      <c r="AE1231" s="114">
        <f t="shared" ref="AE1231:AE1235" si="287">AA1231+((AC1231*AA1231)/Z1231)</f>
        <v>53.43</v>
      </c>
      <c r="AG1231" s="114" t="s">
        <v>430</v>
      </c>
      <c r="AH1231" s="114">
        <f>P10</f>
        <v>0.7</v>
      </c>
      <c r="AI1231" s="114" t="str">
        <f>O10</f>
        <v>g</v>
      </c>
      <c r="AJ1231" s="114">
        <v>30</v>
      </c>
      <c r="AK1231" s="114">
        <f t="shared" si="284"/>
        <v>21</v>
      </c>
      <c r="AL1231" s="114">
        <f>AJ7</f>
        <v>0.15</v>
      </c>
      <c r="AM1231" s="114">
        <f t="shared" ref="AM1231:AM1236" si="288">AJ1231*AL1231</f>
        <v>4.5</v>
      </c>
      <c r="AN1231" s="114">
        <f t="shared" ref="AN1231:AN1236" si="289">AJ1231-AM1231</f>
        <v>25.5</v>
      </c>
      <c r="AO1231" s="114">
        <f t="shared" ref="AO1231:AO1236" si="290">AK1231+((AM1231*AK1231)/AJ1231)</f>
        <v>24.15</v>
      </c>
    </row>
    <row r="1232" spans="3:41" s="29" customFormat="1" x14ac:dyDescent="0.25">
      <c r="C1232" s="990" t="s">
        <v>3</v>
      </c>
      <c r="D1232" s="990"/>
      <c r="E1232" s="990"/>
      <c r="F1232" s="992" t="s">
        <v>149</v>
      </c>
      <c r="G1232" s="991"/>
      <c r="H1232" s="991"/>
      <c r="I1232" s="991"/>
      <c r="J1232" s="991"/>
      <c r="M1232" s="114" t="s">
        <v>516</v>
      </c>
      <c r="N1232" s="114">
        <f>AE1237</f>
        <v>4123.38</v>
      </c>
      <c r="O1232" s="114" t="s">
        <v>1388</v>
      </c>
      <c r="P1232" s="114">
        <v>120</v>
      </c>
      <c r="Q1232" s="114">
        <f>N1232</f>
        <v>4123.38</v>
      </c>
      <c r="R1232" s="114">
        <v>0</v>
      </c>
      <c r="S1232" s="114">
        <f t="shared" si="280"/>
        <v>0</v>
      </c>
      <c r="T1232" s="114">
        <f t="shared" si="281"/>
        <v>120</v>
      </c>
      <c r="U1232" s="114">
        <f t="shared" si="282"/>
        <v>4123.38</v>
      </c>
      <c r="W1232" s="114" t="s">
        <v>435</v>
      </c>
      <c r="X1232" s="114">
        <f>P5</f>
        <v>2.5</v>
      </c>
      <c r="Y1232" s="114" t="str">
        <f>O5</f>
        <v>g</v>
      </c>
      <c r="Z1232" s="114">
        <v>8</v>
      </c>
      <c r="AA1232" s="114">
        <f t="shared" si="283"/>
        <v>20</v>
      </c>
      <c r="AB1232" s="114">
        <f>AJ3</f>
        <v>0.37</v>
      </c>
      <c r="AC1232" s="114">
        <f t="shared" si="285"/>
        <v>2.96</v>
      </c>
      <c r="AD1232" s="114">
        <f t="shared" si="286"/>
        <v>5.04</v>
      </c>
      <c r="AE1232" s="114">
        <f t="shared" si="287"/>
        <v>27.4</v>
      </c>
      <c r="AG1232" s="114" t="s">
        <v>431</v>
      </c>
      <c r="AH1232" s="114">
        <f>P19</f>
        <v>10.28</v>
      </c>
      <c r="AI1232" s="114" t="str">
        <f>O19</f>
        <v>g</v>
      </c>
      <c r="AJ1232" s="114">
        <v>4</v>
      </c>
      <c r="AK1232" s="114">
        <f t="shared" si="284"/>
        <v>41.12</v>
      </c>
      <c r="AL1232" s="114">
        <f>AJ15</f>
        <v>0.26</v>
      </c>
      <c r="AM1232" s="114">
        <f t="shared" si="288"/>
        <v>1.04</v>
      </c>
      <c r="AN1232" s="114">
        <f t="shared" si="289"/>
        <v>2.96</v>
      </c>
      <c r="AO1232" s="114">
        <f t="shared" si="290"/>
        <v>51.811199999999999</v>
      </c>
    </row>
    <row r="1233" spans="3:41" s="29" customFormat="1" x14ac:dyDescent="0.25">
      <c r="C1233" s="990"/>
      <c r="D1233" s="990"/>
      <c r="E1233" s="990"/>
      <c r="F1233" s="991"/>
      <c r="G1233" s="991"/>
      <c r="H1233" s="991"/>
      <c r="I1233" s="991"/>
      <c r="J1233" s="991"/>
      <c r="M1233" s="114" t="s">
        <v>428</v>
      </c>
      <c r="N1233" s="114">
        <f>AO1237</f>
        <v>6728.0612000000001</v>
      </c>
      <c r="O1233" s="114" t="s">
        <v>1388</v>
      </c>
      <c r="P1233" s="114">
        <v>120</v>
      </c>
      <c r="Q1233" s="114">
        <f>N1233</f>
        <v>6728.0612000000001</v>
      </c>
      <c r="R1233" s="114">
        <v>0</v>
      </c>
      <c r="S1233" s="114">
        <f t="shared" si="280"/>
        <v>0</v>
      </c>
      <c r="T1233" s="114">
        <f t="shared" si="281"/>
        <v>120</v>
      </c>
      <c r="U1233" s="114">
        <f t="shared" si="282"/>
        <v>6728.0612000000001</v>
      </c>
      <c r="W1233" s="114" t="s">
        <v>429</v>
      </c>
      <c r="X1233" s="114">
        <f>P29</f>
        <v>1.8</v>
      </c>
      <c r="Y1233" s="114" t="str">
        <f>O29</f>
        <v>g</v>
      </c>
      <c r="Z1233" s="114">
        <v>40</v>
      </c>
      <c r="AA1233" s="114">
        <f t="shared" si="283"/>
        <v>72</v>
      </c>
      <c r="AB1233" s="114">
        <f>AJ18</f>
        <v>0.05</v>
      </c>
      <c r="AC1233" s="114">
        <f t="shared" si="285"/>
        <v>2</v>
      </c>
      <c r="AD1233" s="114">
        <f t="shared" si="286"/>
        <v>38</v>
      </c>
      <c r="AE1233" s="114">
        <f t="shared" si="287"/>
        <v>75.599999999999994</v>
      </c>
      <c r="AG1233" s="114" t="s">
        <v>432</v>
      </c>
      <c r="AH1233" s="114">
        <f>S8</f>
        <v>59</v>
      </c>
      <c r="AI1233" s="114" t="str">
        <f>R8</f>
        <v>g</v>
      </c>
      <c r="AJ1233" s="114">
        <v>40</v>
      </c>
      <c r="AK1233" s="114">
        <f t="shared" si="284"/>
        <v>2360</v>
      </c>
      <c r="AL1233" s="114">
        <f>AN4</f>
        <v>0.41</v>
      </c>
      <c r="AM1233" s="114">
        <f t="shared" si="288"/>
        <v>16.399999999999999</v>
      </c>
      <c r="AN1233" s="114">
        <f t="shared" si="289"/>
        <v>23.6</v>
      </c>
      <c r="AO1233" s="114">
        <f t="shared" si="290"/>
        <v>3327.6</v>
      </c>
    </row>
    <row r="1234" spans="3:41" s="29" customFormat="1" x14ac:dyDescent="0.25">
      <c r="C1234" s="990"/>
      <c r="D1234" s="990"/>
      <c r="E1234" s="990"/>
      <c r="F1234" s="991"/>
      <c r="G1234" s="991"/>
      <c r="H1234" s="991"/>
      <c r="I1234" s="991"/>
      <c r="J1234" s="991"/>
      <c r="M1234" s="114" t="s">
        <v>458</v>
      </c>
      <c r="N1234" s="114">
        <f>S10</f>
        <v>32.46</v>
      </c>
      <c r="O1234" s="114" t="str">
        <f>R10</f>
        <v>g</v>
      </c>
      <c r="P1234" s="114">
        <v>30</v>
      </c>
      <c r="Q1234" s="114">
        <f>N1234*P1234</f>
        <v>973.80000000000007</v>
      </c>
      <c r="R1234" s="114">
        <v>0</v>
      </c>
      <c r="S1234" s="114">
        <f t="shared" si="280"/>
        <v>0</v>
      </c>
      <c r="T1234" s="114">
        <f t="shared" si="281"/>
        <v>30</v>
      </c>
      <c r="U1234" s="114">
        <f t="shared" si="282"/>
        <v>973.80000000000007</v>
      </c>
      <c r="W1234" s="114" t="s">
        <v>432</v>
      </c>
      <c r="X1234" s="114">
        <f>S8</f>
        <v>59</v>
      </c>
      <c r="Y1234" s="114" t="str">
        <f>R8</f>
        <v>g</v>
      </c>
      <c r="Z1234" s="114">
        <v>35</v>
      </c>
      <c r="AA1234" s="114">
        <f t="shared" si="283"/>
        <v>2065</v>
      </c>
      <c r="AB1234" s="114">
        <f>AN4</f>
        <v>0.41</v>
      </c>
      <c r="AC1234" s="114">
        <f t="shared" si="285"/>
        <v>14.35</v>
      </c>
      <c r="AD1234" s="114">
        <f t="shared" si="286"/>
        <v>20.65</v>
      </c>
      <c r="AE1234" s="114">
        <f t="shared" si="287"/>
        <v>2911.65</v>
      </c>
      <c r="AG1234" s="114" t="s">
        <v>546</v>
      </c>
      <c r="AH1234" s="114">
        <f>AE3</f>
        <v>49.18</v>
      </c>
      <c r="AI1234" s="114" t="str">
        <f>AD3</f>
        <v>mL</v>
      </c>
      <c r="AJ1234" s="114">
        <v>5</v>
      </c>
      <c r="AK1234" s="114">
        <f t="shared" si="284"/>
        <v>245.9</v>
      </c>
      <c r="AL1234" s="114">
        <v>0</v>
      </c>
      <c r="AM1234" s="114">
        <f t="shared" si="288"/>
        <v>0</v>
      </c>
      <c r="AN1234" s="114">
        <f t="shared" si="289"/>
        <v>5</v>
      </c>
      <c r="AO1234" s="114">
        <f t="shared" si="290"/>
        <v>245.9</v>
      </c>
    </row>
    <row r="1235" spans="3:41" s="29" customFormat="1" x14ac:dyDescent="0.25">
      <c r="C1235" s="990" t="s">
        <v>4</v>
      </c>
      <c r="D1235" s="990"/>
      <c r="E1235" s="990"/>
      <c r="F1235" s="991" t="s">
        <v>15</v>
      </c>
      <c r="G1235" s="991"/>
      <c r="H1235" s="991"/>
      <c r="I1235" s="991"/>
      <c r="J1235" s="991"/>
      <c r="M1235" s="114"/>
      <c r="N1235" s="114"/>
      <c r="O1235" s="114"/>
      <c r="P1235" s="114"/>
      <c r="Q1235" s="114"/>
      <c r="R1235" s="114"/>
      <c r="S1235" s="114"/>
      <c r="T1235" s="114"/>
      <c r="U1235" s="114"/>
      <c r="W1235" s="114" t="s">
        <v>455</v>
      </c>
      <c r="X1235" s="114">
        <f>AE15</f>
        <v>51.96</v>
      </c>
      <c r="Y1235" s="114" t="str">
        <f>AD15</f>
        <v>mL</v>
      </c>
      <c r="Z1235" s="114">
        <v>20</v>
      </c>
      <c r="AA1235" s="114">
        <f t="shared" si="283"/>
        <v>1039.2</v>
      </c>
      <c r="AB1235" s="114">
        <v>0</v>
      </c>
      <c r="AC1235" s="114">
        <f t="shared" si="285"/>
        <v>0</v>
      </c>
      <c r="AD1235" s="114">
        <f t="shared" si="286"/>
        <v>20</v>
      </c>
      <c r="AE1235" s="114">
        <f t="shared" si="287"/>
        <v>1039.2</v>
      </c>
      <c r="AG1235" s="114" t="s">
        <v>433</v>
      </c>
      <c r="AH1235" s="114">
        <f>Y18</f>
        <v>223.57</v>
      </c>
      <c r="AI1235" s="114" t="str">
        <f>X18</f>
        <v>g</v>
      </c>
      <c r="AJ1235" s="114">
        <v>10</v>
      </c>
      <c r="AK1235" s="114">
        <f t="shared" si="284"/>
        <v>2235.6999999999998</v>
      </c>
      <c r="AL1235" s="114">
        <v>0</v>
      </c>
      <c r="AM1235" s="114">
        <f t="shared" si="288"/>
        <v>0</v>
      </c>
      <c r="AN1235" s="114">
        <f t="shared" si="289"/>
        <v>10</v>
      </c>
      <c r="AO1235" s="114">
        <f t="shared" si="290"/>
        <v>2235.6999999999998</v>
      </c>
    </row>
    <row r="1236" spans="3:41" s="29" customFormat="1" x14ac:dyDescent="0.25">
      <c r="C1236" s="990"/>
      <c r="D1236" s="990"/>
      <c r="E1236" s="990"/>
      <c r="F1236" s="991"/>
      <c r="G1236" s="991"/>
      <c r="H1236" s="991"/>
      <c r="I1236" s="991"/>
      <c r="J1236" s="991"/>
      <c r="M1236" s="114"/>
      <c r="N1236" s="114"/>
      <c r="O1236" s="114"/>
      <c r="P1236" s="114"/>
      <c r="Q1236" s="114"/>
      <c r="R1236" s="114"/>
      <c r="S1236" s="114"/>
      <c r="T1236" s="114"/>
      <c r="U1236" s="114"/>
      <c r="W1236" s="114"/>
      <c r="X1236" s="114"/>
      <c r="Y1236" s="114"/>
      <c r="Z1236" s="114"/>
      <c r="AA1236" s="114"/>
      <c r="AB1236" s="114"/>
      <c r="AC1236" s="114"/>
      <c r="AD1236" s="114"/>
      <c r="AE1236" s="114"/>
      <c r="AG1236" s="114" t="s">
        <v>438</v>
      </c>
      <c r="AH1236" s="114">
        <f>S14</f>
        <v>72.95</v>
      </c>
      <c r="AI1236" s="114" t="str">
        <f>R14</f>
        <v>g</v>
      </c>
      <c r="AJ1236" s="114">
        <v>10</v>
      </c>
      <c r="AK1236" s="114">
        <f t="shared" si="284"/>
        <v>729.5</v>
      </c>
      <c r="AL1236" s="114">
        <v>0</v>
      </c>
      <c r="AM1236" s="114">
        <f t="shared" si="288"/>
        <v>0</v>
      </c>
      <c r="AN1236" s="114">
        <f t="shared" si="289"/>
        <v>10</v>
      </c>
      <c r="AO1236" s="114">
        <f t="shared" si="290"/>
        <v>729.5</v>
      </c>
    </row>
    <row r="1237" spans="3:41" s="29" customFormat="1" x14ac:dyDescent="0.25">
      <c r="C1237" s="990"/>
      <c r="D1237" s="990"/>
      <c r="E1237" s="990"/>
      <c r="F1237" s="991"/>
      <c r="G1237" s="991"/>
      <c r="H1237" s="991"/>
      <c r="I1237" s="991"/>
      <c r="J1237" s="991"/>
      <c r="M1237" s="114" t="s">
        <v>337</v>
      </c>
      <c r="N1237" s="114">
        <f>SUM(N1229:N1236)</f>
        <v>13042.613598487551</v>
      </c>
      <c r="O1237" s="114"/>
      <c r="P1237" s="114">
        <f>SUM(P1229:P1236)</f>
        <v>432</v>
      </c>
      <c r="Q1237" s="114">
        <f>SUM(Q1229:Q1236)</f>
        <v>18645.59359848755</v>
      </c>
      <c r="R1237" s="114"/>
      <c r="S1237" s="114"/>
      <c r="T1237" s="114"/>
      <c r="U1237" s="114">
        <f>SUM(U1229:U1236)</f>
        <v>20580.793598487551</v>
      </c>
      <c r="W1237" s="114" t="s">
        <v>337</v>
      </c>
      <c r="X1237" s="114">
        <f>SUM(X1230:X1236)</f>
        <v>118.56</v>
      </c>
      <c r="Y1237" s="114"/>
      <c r="Z1237" s="114">
        <f>SUM(Z1230:Z1236)</f>
        <v>138</v>
      </c>
      <c r="AA1237" s="114">
        <f>SUM(AA1230:AA1236)</f>
        <v>3249.2</v>
      </c>
      <c r="AB1237" s="114"/>
      <c r="AC1237" s="114"/>
      <c r="AD1237" s="114"/>
      <c r="AE1237" s="114">
        <f>SUM(AE1230:AE1236)</f>
        <v>4123.38</v>
      </c>
      <c r="AG1237" s="114" t="s">
        <v>337</v>
      </c>
      <c r="AH1237" s="114">
        <f>SUM(AH1230:AH1236)</f>
        <v>417.47999999999996</v>
      </c>
      <c r="AI1237" s="114"/>
      <c r="AJ1237" s="114">
        <f>SUM(AJ1230:AJ1236)</f>
        <v>159</v>
      </c>
      <c r="AK1237" s="114">
        <f>SUM(AK1230:AK1236)</f>
        <v>5741.2199999999993</v>
      </c>
      <c r="AL1237" s="114"/>
      <c r="AM1237" s="114"/>
      <c r="AN1237" s="114"/>
      <c r="AO1237" s="114">
        <f>SUM(AO1230:AO1236)</f>
        <v>6728.0612000000001</v>
      </c>
    </row>
    <row r="1238" spans="3:41" s="29" customFormat="1" x14ac:dyDescent="0.25">
      <c r="C1238" s="990" t="s">
        <v>5</v>
      </c>
      <c r="D1238" s="990"/>
      <c r="E1238" s="990"/>
      <c r="F1238" s="991" t="s">
        <v>156</v>
      </c>
      <c r="G1238" s="991"/>
      <c r="H1238" s="991"/>
      <c r="I1238" s="991"/>
      <c r="J1238" s="991"/>
    </row>
    <row r="1239" spans="3:41" s="29" customFormat="1" x14ac:dyDescent="0.25">
      <c r="C1239" s="990"/>
      <c r="D1239" s="990"/>
      <c r="E1239" s="990"/>
      <c r="F1239" s="991"/>
      <c r="G1239" s="991"/>
      <c r="H1239" s="991"/>
      <c r="I1239" s="991"/>
      <c r="J1239" s="991"/>
      <c r="Q1239" s="114" t="s">
        <v>1681</v>
      </c>
      <c r="R1239" s="114">
        <f>U1237</f>
        <v>20580.793598487551</v>
      </c>
      <c r="S1239" s="608" t="s">
        <v>2142</v>
      </c>
      <c r="T1239" s="608">
        <f>(R1239*100)/R1246</f>
        <v>52.869163464414783</v>
      </c>
      <c r="AA1239" s="114" t="s">
        <v>1681</v>
      </c>
      <c r="AB1239" s="114">
        <f>AE1237</f>
        <v>4123.38</v>
      </c>
      <c r="AC1239" s="608" t="s">
        <v>2142</v>
      </c>
      <c r="AD1239" s="608">
        <f>(AB1239*100)/AB1246</f>
        <v>38.69644286922049</v>
      </c>
      <c r="AK1239" s="114" t="s">
        <v>1681</v>
      </c>
      <c r="AL1239" s="114">
        <f>AO1237</f>
        <v>6728.0612000000001</v>
      </c>
      <c r="AM1239" s="608" t="s">
        <v>2142</v>
      </c>
      <c r="AN1239" s="608">
        <f>(AL1239*100)/AL1246</f>
        <v>44.39031467288946</v>
      </c>
    </row>
    <row r="1240" spans="3:41" s="29" customFormat="1" x14ac:dyDescent="0.25">
      <c r="C1240" s="990"/>
      <c r="D1240" s="990"/>
      <c r="E1240" s="990"/>
      <c r="F1240" s="991"/>
      <c r="G1240" s="991"/>
      <c r="H1240" s="991"/>
      <c r="I1240" s="991"/>
      <c r="J1240" s="991"/>
      <c r="Q1240" s="114" t="s">
        <v>2326</v>
      </c>
      <c r="R1240" s="114">
        <f>$AL$26</f>
        <v>1801.715474357886</v>
      </c>
      <c r="AA1240" s="114" t="s">
        <v>2326</v>
      </c>
      <c r="AB1240" s="114">
        <f>$AO$26/2</f>
        <v>476.87414947063905</v>
      </c>
      <c r="AK1240" s="114" t="s">
        <v>2326</v>
      </c>
      <c r="AL1240" s="114">
        <f>$AO$26/2</f>
        <v>476.87414947063905</v>
      </c>
    </row>
    <row r="1241" spans="3:41" s="29" customFormat="1" x14ac:dyDescent="0.25">
      <c r="C1241" s="990" t="s">
        <v>6</v>
      </c>
      <c r="D1241" s="990"/>
      <c r="E1241" s="990"/>
      <c r="F1241" s="991" t="s">
        <v>9</v>
      </c>
      <c r="G1241" s="991"/>
      <c r="H1241" s="991"/>
      <c r="I1241" s="991"/>
      <c r="J1241" s="991"/>
      <c r="Q1241" s="114" t="s">
        <v>2325</v>
      </c>
      <c r="R1241" s="114">
        <f>$AL$27</f>
        <v>75.599999999999994</v>
      </c>
      <c r="AA1241" s="114" t="s">
        <v>2325</v>
      </c>
      <c r="AB1241" s="114">
        <f>$AO$27/4</f>
        <v>18.899999999999999</v>
      </c>
      <c r="AK1241" s="114" t="s">
        <v>2325</v>
      </c>
      <c r="AL1241" s="114">
        <f>$AO$27/4</f>
        <v>18.899999999999999</v>
      </c>
    </row>
    <row r="1242" spans="3:41" s="29" customFormat="1" x14ac:dyDescent="0.25">
      <c r="C1242" s="990"/>
      <c r="D1242" s="990"/>
      <c r="E1242" s="990"/>
      <c r="F1242" s="991"/>
      <c r="G1242" s="991"/>
      <c r="H1242" s="991"/>
      <c r="I1242" s="991"/>
      <c r="J1242" s="991"/>
      <c r="Q1242" s="114" t="s">
        <v>1684</v>
      </c>
      <c r="R1242" s="114">
        <f>$AL$29</f>
        <v>69.543532482306858</v>
      </c>
      <c r="AA1242" s="114" t="s">
        <v>1684</v>
      </c>
      <c r="AB1242" s="114">
        <f>$AO$29</f>
        <v>1547.3435977313275</v>
      </c>
      <c r="AK1242" s="114" t="s">
        <v>1684</v>
      </c>
      <c r="AL1242" s="114">
        <f>$AO$29</f>
        <v>1547.3435977313275</v>
      </c>
    </row>
    <row r="1243" spans="3:41" s="29" customFormat="1" x14ac:dyDescent="0.25">
      <c r="C1243" s="990"/>
      <c r="D1243" s="990"/>
      <c r="E1243" s="990"/>
      <c r="F1243" s="991"/>
      <c r="G1243" s="991"/>
      <c r="H1243" s="991"/>
      <c r="I1243" s="991"/>
      <c r="J1243" s="991"/>
      <c r="Q1243" s="114" t="s">
        <v>1685</v>
      </c>
      <c r="R1243" s="114">
        <v>0.6</v>
      </c>
      <c r="AA1243" s="114" t="s">
        <v>1685</v>
      </c>
      <c r="AB1243" s="114">
        <v>0.6</v>
      </c>
      <c r="AK1243" s="114" t="s">
        <v>1685</v>
      </c>
      <c r="AL1243" s="114">
        <v>0.6</v>
      </c>
    </row>
    <row r="1244" spans="3:41" s="29" customFormat="1" x14ac:dyDescent="0.25">
      <c r="C1244" s="990" t="s">
        <v>7</v>
      </c>
      <c r="D1244" s="990"/>
      <c r="E1244" s="990"/>
      <c r="F1244" s="991" t="s">
        <v>616</v>
      </c>
      <c r="G1244" s="991"/>
      <c r="H1244" s="991"/>
      <c r="I1244" s="991"/>
      <c r="J1244" s="991"/>
      <c r="Q1244" s="114" t="s">
        <v>1708</v>
      </c>
      <c r="R1244" s="114">
        <f>(SUM(R1239:R1242)*R1243)+SUM(R1239:R1242)</f>
        <v>36044.24416852439</v>
      </c>
      <c r="AA1244" s="114" t="s">
        <v>1708</v>
      </c>
      <c r="AB1244" s="114">
        <f>(SUM(AB1239:AB1242)*AB1243)+SUM(AB1239:AB1242)</f>
        <v>9866.3963955231466</v>
      </c>
      <c r="AK1244" s="114" t="s">
        <v>1708</v>
      </c>
      <c r="AL1244" s="114">
        <f>(SUM(AL1239:AL1242)*AL1243)+SUM(AL1239:AL1242)</f>
        <v>14033.886315523145</v>
      </c>
    </row>
    <row r="1245" spans="3:41" s="29" customFormat="1" x14ac:dyDescent="0.25">
      <c r="C1245" s="990"/>
      <c r="D1245" s="990"/>
      <c r="E1245" s="990"/>
      <c r="F1245" s="991"/>
      <c r="G1245" s="991"/>
      <c r="H1245" s="991"/>
      <c r="I1245" s="991"/>
      <c r="J1245" s="991"/>
      <c r="Q1245" s="114" t="s">
        <v>2130</v>
      </c>
      <c r="R1245" s="114">
        <f>R1244*0.08</f>
        <v>2883.5395334819514</v>
      </c>
      <c r="AA1245" s="114" t="s">
        <v>2130</v>
      </c>
      <c r="AB1245" s="114">
        <f>AB1244*0.08</f>
        <v>789.31171164185173</v>
      </c>
      <c r="AK1245" s="114" t="s">
        <v>2130</v>
      </c>
      <c r="AL1245" s="114">
        <f>AL1244*0.08</f>
        <v>1122.7109052418516</v>
      </c>
    </row>
    <row r="1246" spans="3:41" s="29" customFormat="1" x14ac:dyDescent="0.25">
      <c r="C1246" s="990"/>
      <c r="D1246" s="990"/>
      <c r="E1246" s="990"/>
      <c r="F1246" s="991"/>
      <c r="G1246" s="991"/>
      <c r="H1246" s="991"/>
      <c r="I1246" s="991"/>
      <c r="J1246" s="991"/>
      <c r="Q1246" s="114" t="s">
        <v>1686</v>
      </c>
      <c r="R1246" s="114">
        <f>SUM(R1244+R1245)</f>
        <v>38927.783702006345</v>
      </c>
      <c r="AA1246" s="114" t="s">
        <v>1686</v>
      </c>
      <c r="AB1246" s="114">
        <f>SUM(AB1244+AB1245)</f>
        <v>10655.708107164999</v>
      </c>
      <c r="AK1246" s="114" t="s">
        <v>1686</v>
      </c>
      <c r="AL1246" s="114">
        <f>SUM(AL1244+AL1245)</f>
        <v>15156.597220764996</v>
      </c>
    </row>
    <row r="1247" spans="3:41" s="29" customFormat="1" x14ac:dyDescent="0.25"/>
    <row r="1248" spans="3:41" s="29" customFormat="1" x14ac:dyDescent="0.25"/>
    <row r="1249" spans="3:31" s="29" customFormat="1" x14ac:dyDescent="0.25">
      <c r="C1249" s="993" t="s">
        <v>8</v>
      </c>
      <c r="D1249" s="993"/>
      <c r="E1249" s="993"/>
      <c r="F1249" s="993"/>
      <c r="G1249" s="993"/>
      <c r="H1249" s="993"/>
      <c r="I1249" s="993"/>
      <c r="J1249" s="993"/>
    </row>
    <row r="1250" spans="3:31" s="29" customFormat="1" x14ac:dyDescent="0.25">
      <c r="C1250" s="989" t="s">
        <v>0</v>
      </c>
      <c r="D1250" s="989"/>
      <c r="E1250" s="989"/>
      <c r="F1250" s="989" t="s">
        <v>1</v>
      </c>
      <c r="G1250" s="989"/>
      <c r="H1250" s="989"/>
      <c r="I1250" s="989"/>
      <c r="J1250" s="989"/>
    </row>
    <row r="1251" spans="3:31" s="29" customFormat="1" x14ac:dyDescent="0.25">
      <c r="C1251" s="990" t="s">
        <v>2</v>
      </c>
      <c r="D1251" s="990"/>
      <c r="E1251" s="990"/>
      <c r="F1251" s="991" t="s">
        <v>142</v>
      </c>
      <c r="G1251" s="991"/>
      <c r="H1251" s="991"/>
      <c r="I1251" s="991"/>
      <c r="J1251" s="991"/>
      <c r="M1251" s="113" t="s">
        <v>336</v>
      </c>
      <c r="N1251" s="113" t="s">
        <v>174</v>
      </c>
      <c r="O1251" s="113" t="s">
        <v>248</v>
      </c>
      <c r="P1251" s="113" t="s">
        <v>176</v>
      </c>
      <c r="Q1251" s="113" t="s">
        <v>337</v>
      </c>
      <c r="R1251" s="113" t="s">
        <v>1641</v>
      </c>
      <c r="S1251" s="113" t="s">
        <v>1642</v>
      </c>
      <c r="T1251" s="113" t="s">
        <v>1643</v>
      </c>
      <c r="U1251" s="113" t="s">
        <v>1644</v>
      </c>
      <c r="W1251" s="988" t="s">
        <v>1465</v>
      </c>
      <c r="X1251" s="988"/>
      <c r="Y1251" s="988"/>
      <c r="Z1251" s="988"/>
      <c r="AA1251" s="988"/>
      <c r="AB1251" s="988"/>
      <c r="AC1251" s="988"/>
      <c r="AD1251" s="988"/>
      <c r="AE1251" s="988"/>
    </row>
    <row r="1252" spans="3:31" s="29" customFormat="1" x14ac:dyDescent="0.25">
      <c r="C1252" s="990"/>
      <c r="D1252" s="990"/>
      <c r="E1252" s="990"/>
      <c r="F1252" s="991"/>
      <c r="G1252" s="991"/>
      <c r="H1252" s="991"/>
      <c r="I1252" s="991"/>
      <c r="J1252" s="991"/>
      <c r="M1252" s="114" t="s">
        <v>344</v>
      </c>
      <c r="N1252" s="114">
        <f>E15</f>
        <v>2099.0723984875517</v>
      </c>
      <c r="O1252" s="114" t="str">
        <f>D15</f>
        <v>g</v>
      </c>
      <c r="P1252" s="114">
        <v>80</v>
      </c>
      <c r="Q1252" s="114">
        <f>N1252</f>
        <v>2099.0723984875517</v>
      </c>
      <c r="R1252" s="114">
        <v>0</v>
      </c>
      <c r="S1252" s="114">
        <f t="shared" ref="S1252:S1257" si="291">P1252*R1252</f>
        <v>0</v>
      </c>
      <c r="T1252" s="114">
        <f t="shared" ref="T1252:T1257" si="292">P1252-S1252</f>
        <v>80</v>
      </c>
      <c r="U1252" s="114">
        <f>Q1252+((S1252*Q1252)/P1252)</f>
        <v>2099.0723984875517</v>
      </c>
      <c r="W1252" s="113" t="s">
        <v>336</v>
      </c>
      <c r="X1252" s="113" t="s">
        <v>174</v>
      </c>
      <c r="Y1252" s="113" t="s">
        <v>248</v>
      </c>
      <c r="Z1252" s="113" t="s">
        <v>176</v>
      </c>
      <c r="AA1252" s="113" t="s">
        <v>337</v>
      </c>
      <c r="AB1252" s="113" t="s">
        <v>1641</v>
      </c>
      <c r="AC1252" s="113" t="s">
        <v>1642</v>
      </c>
      <c r="AD1252" s="113" t="s">
        <v>1643</v>
      </c>
      <c r="AE1252" s="113" t="s">
        <v>1644</v>
      </c>
    </row>
    <row r="1253" spans="3:31" s="29" customFormat="1" x14ac:dyDescent="0.25">
      <c r="C1253" s="990"/>
      <c r="D1253" s="990"/>
      <c r="E1253" s="990"/>
      <c r="F1253" s="991"/>
      <c r="G1253" s="991"/>
      <c r="H1253" s="991"/>
      <c r="I1253" s="991"/>
      <c r="J1253" s="991"/>
      <c r="M1253" s="114" t="s">
        <v>340</v>
      </c>
      <c r="N1253" s="114">
        <f>Y20</f>
        <v>0.64</v>
      </c>
      <c r="O1253" s="114" t="str">
        <f>X20</f>
        <v>g</v>
      </c>
      <c r="P1253" s="114">
        <v>2</v>
      </c>
      <c r="Q1253" s="114">
        <f>N1253*P1253</f>
        <v>1.28</v>
      </c>
      <c r="R1253" s="114">
        <v>0</v>
      </c>
      <c r="S1253" s="114">
        <f t="shared" si="291"/>
        <v>0</v>
      </c>
      <c r="T1253" s="114">
        <f t="shared" si="292"/>
        <v>2</v>
      </c>
      <c r="U1253" s="114">
        <f t="shared" ref="U1253:U1257" si="293">Q1253+((S1253*Q1253)/P1253)</f>
        <v>1.28</v>
      </c>
      <c r="W1253" s="114" t="s">
        <v>546</v>
      </c>
      <c r="X1253" s="114">
        <f>AE3</f>
        <v>49.18</v>
      </c>
      <c r="Y1253" s="114" t="str">
        <f>AD3</f>
        <v>mL</v>
      </c>
      <c r="Z1253" s="114">
        <v>20</v>
      </c>
      <c r="AA1253" s="114">
        <f>X1253*Z1253</f>
        <v>983.6</v>
      </c>
      <c r="AB1253" s="114">
        <v>0</v>
      </c>
      <c r="AC1253" s="114">
        <f>Z1253*AB1253</f>
        <v>0</v>
      </c>
      <c r="AD1253" s="114">
        <f>Z1253-AC1253</f>
        <v>20</v>
      </c>
      <c r="AE1253" s="114">
        <f>AA1253+((AC1253*AA1253)/Z1253)</f>
        <v>983.6</v>
      </c>
    </row>
    <row r="1254" spans="3:31" s="29" customFormat="1" x14ac:dyDescent="0.25">
      <c r="C1254" s="989" t="s">
        <v>0</v>
      </c>
      <c r="D1254" s="989"/>
      <c r="E1254" s="989"/>
      <c r="F1254" s="989" t="s">
        <v>1</v>
      </c>
      <c r="G1254" s="989"/>
      <c r="H1254" s="989"/>
      <c r="I1254" s="989"/>
      <c r="J1254" s="989"/>
      <c r="M1254" s="114" t="s">
        <v>469</v>
      </c>
      <c r="N1254" s="114">
        <f>S17</f>
        <v>153.78</v>
      </c>
      <c r="O1254" s="114" t="str">
        <f>R17</f>
        <v>g</v>
      </c>
      <c r="P1254" s="114">
        <v>80</v>
      </c>
      <c r="Q1254" s="114">
        <f>N1254*P1254</f>
        <v>12302.4</v>
      </c>
      <c r="R1254" s="114">
        <f>AN9</f>
        <v>0.52</v>
      </c>
      <c r="S1254" s="114">
        <f t="shared" si="291"/>
        <v>41.6</v>
      </c>
      <c r="T1254" s="114">
        <f t="shared" si="292"/>
        <v>38.4</v>
      </c>
      <c r="U1254" s="114">
        <f t="shared" si="293"/>
        <v>18699.648000000001</v>
      </c>
      <c r="W1254" s="114" t="s">
        <v>346</v>
      </c>
      <c r="X1254" s="114">
        <f>P3</f>
        <v>7</v>
      </c>
      <c r="Y1254" s="114" t="str">
        <f>O3</f>
        <v>g</v>
      </c>
      <c r="Z1254" s="114">
        <v>4</v>
      </c>
      <c r="AA1254" s="114">
        <f t="shared" ref="AA1254:AA1259" si="294">X1254*Z1254</f>
        <v>28</v>
      </c>
      <c r="AB1254" s="114">
        <f>AJ2</f>
        <v>0.23</v>
      </c>
      <c r="AC1254" s="114">
        <f t="shared" ref="AC1254:AC1259" si="295">Z1254*AB1254</f>
        <v>0.92</v>
      </c>
      <c r="AD1254" s="114">
        <f t="shared" ref="AD1254:AD1259" si="296">Z1254-AC1254</f>
        <v>3.08</v>
      </c>
      <c r="AE1254" s="114">
        <f t="shared" ref="AE1254:AE1259" si="297">AA1254+((AC1254*AA1254)/Z1254)</f>
        <v>34.44</v>
      </c>
    </row>
    <row r="1255" spans="3:31" s="29" customFormat="1" x14ac:dyDescent="0.25">
      <c r="C1255" s="990" t="s">
        <v>3</v>
      </c>
      <c r="D1255" s="990"/>
      <c r="E1255" s="990"/>
      <c r="F1255" s="991" t="s">
        <v>150</v>
      </c>
      <c r="G1255" s="991"/>
      <c r="H1255" s="991"/>
      <c r="I1255" s="991"/>
      <c r="J1255" s="991"/>
      <c r="M1255" s="114" t="s">
        <v>502</v>
      </c>
      <c r="N1255" s="114">
        <f>V10</f>
        <v>50.2</v>
      </c>
      <c r="O1255" s="114" t="str">
        <f>U10</f>
        <v>g</v>
      </c>
      <c r="P1255" s="114">
        <v>60</v>
      </c>
      <c r="Q1255" s="114">
        <f>N1255*P1255</f>
        <v>3012</v>
      </c>
      <c r="R1255" s="114">
        <v>0</v>
      </c>
      <c r="S1255" s="114">
        <f t="shared" si="291"/>
        <v>0</v>
      </c>
      <c r="T1255" s="114">
        <f t="shared" si="292"/>
        <v>60</v>
      </c>
      <c r="U1255" s="114">
        <f t="shared" si="293"/>
        <v>3012</v>
      </c>
      <c r="W1255" s="114" t="s">
        <v>430</v>
      </c>
      <c r="X1255" s="114">
        <f>P10</f>
        <v>0.7</v>
      </c>
      <c r="Y1255" s="114" t="str">
        <f>O10</f>
        <v>g</v>
      </c>
      <c r="Z1255" s="114">
        <v>40</v>
      </c>
      <c r="AA1255" s="114">
        <f t="shared" si="294"/>
        <v>28</v>
      </c>
      <c r="AB1255" s="114">
        <f>AJ7</f>
        <v>0.15</v>
      </c>
      <c r="AC1255" s="114">
        <f t="shared" si="295"/>
        <v>6</v>
      </c>
      <c r="AD1255" s="114">
        <f t="shared" si="296"/>
        <v>34</v>
      </c>
      <c r="AE1255" s="114">
        <f t="shared" si="297"/>
        <v>32.200000000000003</v>
      </c>
    </row>
    <row r="1256" spans="3:31" s="29" customFormat="1" x14ac:dyDescent="0.25">
      <c r="C1256" s="990"/>
      <c r="D1256" s="990"/>
      <c r="E1256" s="990"/>
      <c r="F1256" s="991"/>
      <c r="G1256" s="991"/>
      <c r="H1256" s="991"/>
      <c r="I1256" s="991"/>
      <c r="J1256" s="991"/>
      <c r="M1256" s="114" t="s">
        <v>464</v>
      </c>
      <c r="N1256" s="114">
        <f>AE1260</f>
        <v>5787.2000000000007</v>
      </c>
      <c r="O1256" s="114" t="s">
        <v>1388</v>
      </c>
      <c r="P1256" s="114">
        <v>120</v>
      </c>
      <c r="Q1256" s="114">
        <f>N1256</f>
        <v>5787.2000000000007</v>
      </c>
      <c r="R1256" s="114">
        <v>0</v>
      </c>
      <c r="S1256" s="114">
        <f t="shared" si="291"/>
        <v>0</v>
      </c>
      <c r="T1256" s="114">
        <f t="shared" si="292"/>
        <v>120</v>
      </c>
      <c r="U1256" s="114">
        <f t="shared" si="293"/>
        <v>5787.2000000000007</v>
      </c>
      <c r="W1256" s="114" t="s">
        <v>429</v>
      </c>
      <c r="X1256" s="114">
        <f>P29</f>
        <v>1.8</v>
      </c>
      <c r="Y1256" s="114" t="str">
        <f>O29</f>
        <v>g</v>
      </c>
      <c r="Z1256" s="114">
        <v>60</v>
      </c>
      <c r="AA1256" s="114">
        <f t="shared" si="294"/>
        <v>108</v>
      </c>
      <c r="AB1256" s="114">
        <f>AJ18</f>
        <v>0.05</v>
      </c>
      <c r="AC1256" s="114">
        <f t="shared" si="295"/>
        <v>3</v>
      </c>
      <c r="AD1256" s="114">
        <f t="shared" si="296"/>
        <v>57</v>
      </c>
      <c r="AE1256" s="114">
        <f t="shared" si="297"/>
        <v>113.4</v>
      </c>
    </row>
    <row r="1257" spans="3:31" s="29" customFormat="1" x14ac:dyDescent="0.25">
      <c r="C1257" s="990"/>
      <c r="D1257" s="990"/>
      <c r="E1257" s="990"/>
      <c r="F1257" s="991"/>
      <c r="G1257" s="991"/>
      <c r="H1257" s="991"/>
      <c r="I1257" s="991"/>
      <c r="J1257" s="991"/>
      <c r="M1257" s="114" t="s">
        <v>463</v>
      </c>
      <c r="N1257" s="114">
        <f>Y13+Y21</f>
        <v>239.9</v>
      </c>
      <c r="O1257" s="114" t="str">
        <f>X21</f>
        <v>g</v>
      </c>
      <c r="P1257" s="114">
        <v>30</v>
      </c>
      <c r="Q1257" s="114">
        <f>N1257*P1257</f>
        <v>7197</v>
      </c>
      <c r="R1257" s="114">
        <v>0</v>
      </c>
      <c r="S1257" s="114">
        <f t="shared" si="291"/>
        <v>0</v>
      </c>
      <c r="T1257" s="114">
        <f t="shared" si="292"/>
        <v>30</v>
      </c>
      <c r="U1257" s="114">
        <f t="shared" si="293"/>
        <v>7197</v>
      </c>
      <c r="W1257" s="114" t="s">
        <v>470</v>
      </c>
      <c r="X1257" s="114">
        <f>Y15</f>
        <v>159</v>
      </c>
      <c r="Y1257" s="114" t="str">
        <f>X15</f>
        <v>g</v>
      </c>
      <c r="Z1257" s="114">
        <v>15</v>
      </c>
      <c r="AA1257" s="114">
        <f t="shared" si="294"/>
        <v>2385</v>
      </c>
      <c r="AB1257" s="114">
        <v>0</v>
      </c>
      <c r="AC1257" s="114">
        <f t="shared" si="295"/>
        <v>0</v>
      </c>
      <c r="AD1257" s="114">
        <f t="shared" si="296"/>
        <v>15</v>
      </c>
      <c r="AE1257" s="114">
        <f t="shared" si="297"/>
        <v>2385</v>
      </c>
    </row>
    <row r="1258" spans="3:31" s="29" customFormat="1" x14ac:dyDescent="0.25">
      <c r="C1258" s="990" t="s">
        <v>4</v>
      </c>
      <c r="D1258" s="990"/>
      <c r="E1258" s="990"/>
      <c r="F1258" s="991" t="s">
        <v>15</v>
      </c>
      <c r="G1258" s="991"/>
      <c r="H1258" s="991"/>
      <c r="I1258" s="991"/>
      <c r="J1258" s="991"/>
      <c r="M1258" s="114"/>
      <c r="N1258" s="114"/>
      <c r="O1258" s="114"/>
      <c r="P1258" s="114"/>
      <c r="Q1258" s="114"/>
      <c r="R1258" s="114"/>
      <c r="S1258" s="114"/>
      <c r="T1258" s="114"/>
      <c r="U1258" s="114"/>
      <c r="W1258" s="114" t="s">
        <v>433</v>
      </c>
      <c r="X1258" s="114">
        <f>Y18</f>
        <v>223.57</v>
      </c>
      <c r="Y1258" s="114" t="str">
        <f>X18</f>
        <v>g</v>
      </c>
      <c r="Z1258" s="114">
        <v>8</v>
      </c>
      <c r="AA1258" s="114">
        <f t="shared" si="294"/>
        <v>1788.56</v>
      </c>
      <c r="AB1258" s="114">
        <v>0</v>
      </c>
      <c r="AC1258" s="114">
        <f t="shared" si="295"/>
        <v>0</v>
      </c>
      <c r="AD1258" s="114">
        <f t="shared" si="296"/>
        <v>8</v>
      </c>
      <c r="AE1258" s="114">
        <f t="shared" si="297"/>
        <v>1788.56</v>
      </c>
    </row>
    <row r="1259" spans="3:31" s="29" customFormat="1" x14ac:dyDescent="0.25">
      <c r="C1259" s="990"/>
      <c r="D1259" s="990"/>
      <c r="E1259" s="990"/>
      <c r="F1259" s="991"/>
      <c r="G1259" s="991"/>
      <c r="H1259" s="991"/>
      <c r="I1259" s="991"/>
      <c r="J1259" s="991"/>
      <c r="M1259" s="114"/>
      <c r="N1259" s="114"/>
      <c r="O1259" s="114"/>
      <c r="P1259" s="114"/>
      <c r="Q1259" s="114"/>
      <c r="R1259" s="114"/>
      <c r="S1259" s="114"/>
      <c r="T1259" s="114"/>
      <c r="U1259" s="114"/>
      <c r="W1259" s="114" t="s">
        <v>442</v>
      </c>
      <c r="X1259" s="114">
        <f>Y3</f>
        <v>30</v>
      </c>
      <c r="Y1259" s="114" t="str">
        <f>X3</f>
        <v>g</v>
      </c>
      <c r="Z1259" s="114">
        <v>15</v>
      </c>
      <c r="AA1259" s="114">
        <f t="shared" si="294"/>
        <v>450</v>
      </c>
      <c r="AB1259" s="114">
        <v>0</v>
      </c>
      <c r="AC1259" s="114">
        <f t="shared" si="295"/>
        <v>0</v>
      </c>
      <c r="AD1259" s="114">
        <f t="shared" si="296"/>
        <v>15</v>
      </c>
      <c r="AE1259" s="114">
        <f t="shared" si="297"/>
        <v>450</v>
      </c>
    </row>
    <row r="1260" spans="3:31" s="29" customFormat="1" x14ac:dyDescent="0.25">
      <c r="C1260" s="990"/>
      <c r="D1260" s="990"/>
      <c r="E1260" s="990"/>
      <c r="F1260" s="991"/>
      <c r="G1260" s="991"/>
      <c r="H1260" s="991"/>
      <c r="I1260" s="991"/>
      <c r="J1260" s="991"/>
      <c r="M1260" s="114" t="s">
        <v>337</v>
      </c>
      <c r="N1260" s="114">
        <f>SUM(N1252:N1259)</f>
        <v>8330.7923984875524</v>
      </c>
      <c r="O1260" s="114"/>
      <c r="P1260" s="114">
        <f>SUM(P1252:P1259)</f>
        <v>372</v>
      </c>
      <c r="Q1260" s="114">
        <f>SUM(Q1252:Q1259)</f>
        <v>30398.952398487552</v>
      </c>
      <c r="R1260" s="114"/>
      <c r="S1260" s="114"/>
      <c r="T1260" s="114"/>
      <c r="U1260" s="114">
        <f>SUM(U1252:U1259)</f>
        <v>36796.200398487548</v>
      </c>
      <c r="W1260" s="114" t="s">
        <v>337</v>
      </c>
      <c r="X1260" s="114">
        <f>SUM(X1253:X1259)</f>
        <v>471.25</v>
      </c>
      <c r="Y1260" s="114"/>
      <c r="Z1260" s="114">
        <f>SUM(Z1253:Z1259)</f>
        <v>162</v>
      </c>
      <c r="AA1260" s="114">
        <f>SUM(AA1253:AA1259)</f>
        <v>5771.16</v>
      </c>
      <c r="AB1260" s="114"/>
      <c r="AC1260" s="114"/>
      <c r="AD1260" s="114"/>
      <c r="AE1260" s="114">
        <f>SUM(AE1253:AE1259)</f>
        <v>5787.2000000000007</v>
      </c>
    </row>
    <row r="1261" spans="3:31" s="29" customFormat="1" x14ac:dyDescent="0.25">
      <c r="C1261" s="990" t="s">
        <v>5</v>
      </c>
      <c r="D1261" s="990"/>
      <c r="E1261" s="990"/>
      <c r="F1261" s="991" t="s">
        <v>157</v>
      </c>
      <c r="G1261" s="991"/>
      <c r="H1261" s="991"/>
      <c r="I1261" s="991"/>
      <c r="J1261" s="991"/>
    </row>
    <row r="1262" spans="3:31" s="29" customFormat="1" x14ac:dyDescent="0.25">
      <c r="C1262" s="990"/>
      <c r="D1262" s="990"/>
      <c r="E1262" s="990"/>
      <c r="F1262" s="991"/>
      <c r="G1262" s="991"/>
      <c r="H1262" s="991"/>
      <c r="I1262" s="991"/>
      <c r="J1262" s="991"/>
      <c r="Q1262" s="114" t="s">
        <v>1681</v>
      </c>
      <c r="R1262" s="114">
        <f>U1260</f>
        <v>36796.200398487548</v>
      </c>
      <c r="S1262" s="608" t="s">
        <v>2142</v>
      </c>
      <c r="T1262" s="608">
        <f>(R1262*100)/R1269</f>
        <v>54.96235397945933</v>
      </c>
      <c r="AA1262" s="114" t="s">
        <v>1681</v>
      </c>
      <c r="AB1262" s="114">
        <f>AE1260</f>
        <v>5787.2000000000007</v>
      </c>
      <c r="AC1262" s="608" t="s">
        <v>2142</v>
      </c>
      <c r="AD1262" s="608">
        <f>(AB1262*100)/AB1269</f>
        <v>42.770602448040002</v>
      </c>
    </row>
    <row r="1263" spans="3:31" s="29" customFormat="1" x14ac:dyDescent="0.25">
      <c r="C1263" s="990"/>
      <c r="D1263" s="990"/>
      <c r="E1263" s="990"/>
      <c r="F1263" s="991"/>
      <c r="G1263" s="991"/>
      <c r="H1263" s="991"/>
      <c r="I1263" s="991"/>
      <c r="J1263" s="991"/>
      <c r="Q1263" s="114" t="s">
        <v>2326</v>
      </c>
      <c r="R1263" s="114">
        <f>$AL$26</f>
        <v>1801.715474357886</v>
      </c>
      <c r="AA1263" s="114" t="s">
        <v>2326</v>
      </c>
      <c r="AB1263" s="114">
        <f>$AO$26/2</f>
        <v>476.87414947063905</v>
      </c>
    </row>
    <row r="1264" spans="3:31" s="29" customFormat="1" x14ac:dyDescent="0.25">
      <c r="C1264" s="990" t="s">
        <v>6</v>
      </c>
      <c r="D1264" s="990"/>
      <c r="E1264" s="990"/>
      <c r="F1264" s="991" t="s">
        <v>9</v>
      </c>
      <c r="G1264" s="991"/>
      <c r="H1264" s="991"/>
      <c r="I1264" s="991"/>
      <c r="J1264" s="991"/>
      <c r="Q1264" s="114" t="s">
        <v>2325</v>
      </c>
      <c r="R1264" s="114">
        <f>$AL$27</f>
        <v>75.599999999999994</v>
      </c>
      <c r="AA1264" s="114" t="s">
        <v>2325</v>
      </c>
      <c r="AB1264" s="114">
        <f>$AO$27/4</f>
        <v>18.899999999999999</v>
      </c>
    </row>
    <row r="1265" spans="3:31" s="29" customFormat="1" x14ac:dyDescent="0.25">
      <c r="C1265" s="990"/>
      <c r="D1265" s="990"/>
      <c r="E1265" s="990"/>
      <c r="F1265" s="991"/>
      <c r="G1265" s="991"/>
      <c r="H1265" s="991"/>
      <c r="I1265" s="991"/>
      <c r="J1265" s="991"/>
      <c r="Q1265" s="114" t="s">
        <v>1684</v>
      </c>
      <c r="R1265" s="114">
        <f>$AL$29</f>
        <v>69.543532482306858</v>
      </c>
      <c r="AA1265" s="114" t="s">
        <v>1684</v>
      </c>
      <c r="AB1265" s="114">
        <f>$AO$29</f>
        <v>1547.3435977313275</v>
      </c>
    </row>
    <row r="1266" spans="3:31" s="29" customFormat="1" x14ac:dyDescent="0.25">
      <c r="C1266" s="990"/>
      <c r="D1266" s="990"/>
      <c r="E1266" s="990"/>
      <c r="F1266" s="991"/>
      <c r="G1266" s="991"/>
      <c r="H1266" s="991"/>
      <c r="I1266" s="991"/>
      <c r="J1266" s="991"/>
      <c r="Q1266" s="114" t="s">
        <v>1685</v>
      </c>
      <c r="R1266" s="114">
        <v>0.6</v>
      </c>
      <c r="AA1266" s="114" t="s">
        <v>1685</v>
      </c>
      <c r="AB1266" s="114">
        <v>0.6</v>
      </c>
    </row>
    <row r="1267" spans="3:31" s="29" customFormat="1" x14ac:dyDescent="0.25">
      <c r="C1267" s="990" t="s">
        <v>7</v>
      </c>
      <c r="D1267" s="990"/>
      <c r="E1267" s="990"/>
      <c r="F1267" s="991" t="s">
        <v>617</v>
      </c>
      <c r="G1267" s="991"/>
      <c r="H1267" s="991"/>
      <c r="I1267" s="991"/>
      <c r="J1267" s="991"/>
      <c r="Q1267" s="114" t="s">
        <v>1708</v>
      </c>
      <c r="R1267" s="114">
        <f>(SUM(R1262:R1265)*R1266)+SUM(R1262:R1265)</f>
        <v>61988.895048524384</v>
      </c>
      <c r="AA1267" s="114" t="s">
        <v>1708</v>
      </c>
      <c r="AB1267" s="114">
        <f>(SUM(AB1262:AB1265)*AB1266)+SUM(AB1262:AB1265)</f>
        <v>12528.508395523146</v>
      </c>
    </row>
    <row r="1268" spans="3:31" s="29" customFormat="1" x14ac:dyDescent="0.25">
      <c r="C1268" s="990"/>
      <c r="D1268" s="990"/>
      <c r="E1268" s="990"/>
      <c r="F1268" s="991"/>
      <c r="G1268" s="991"/>
      <c r="H1268" s="991"/>
      <c r="I1268" s="991"/>
      <c r="J1268" s="991"/>
      <c r="Q1268" s="114" t="s">
        <v>2130</v>
      </c>
      <c r="R1268" s="114">
        <f>R1267*0.08</f>
        <v>4959.1116038819509</v>
      </c>
      <c r="AA1268" s="114" t="s">
        <v>2130</v>
      </c>
      <c r="AB1268" s="114">
        <f>AB1267*0.08</f>
        <v>1002.2806716418517</v>
      </c>
    </row>
    <row r="1269" spans="3:31" s="29" customFormat="1" x14ac:dyDescent="0.25">
      <c r="C1269" s="990"/>
      <c r="D1269" s="990"/>
      <c r="E1269" s="990"/>
      <c r="F1269" s="991"/>
      <c r="G1269" s="991"/>
      <c r="H1269" s="991"/>
      <c r="I1269" s="991"/>
      <c r="J1269" s="991"/>
      <c r="Q1269" s="114" t="s">
        <v>1686</v>
      </c>
      <c r="R1269" s="114">
        <f>SUM(R1267+R1268)</f>
        <v>66948.00665240633</v>
      </c>
      <c r="AA1269" s="114" t="s">
        <v>1686</v>
      </c>
      <c r="AB1269" s="114">
        <f>SUM(AB1267+AB1268)</f>
        <v>13530.789067164997</v>
      </c>
    </row>
    <row r="1270" spans="3:31" s="29" customFormat="1" x14ac:dyDescent="0.25"/>
    <row r="1271" spans="3:31" s="29" customFormat="1" x14ac:dyDescent="0.25"/>
    <row r="1272" spans="3:31" s="29" customFormat="1" x14ac:dyDescent="0.25">
      <c r="C1272" s="993" t="s">
        <v>8</v>
      </c>
      <c r="D1272" s="993"/>
      <c r="E1272" s="993"/>
      <c r="F1272" s="993"/>
      <c r="G1272" s="993"/>
      <c r="H1272" s="993"/>
      <c r="I1272" s="993"/>
      <c r="J1272" s="993"/>
    </row>
    <row r="1273" spans="3:31" s="29" customFormat="1" x14ac:dyDescent="0.25">
      <c r="C1273" s="989" t="s">
        <v>0</v>
      </c>
      <c r="D1273" s="989"/>
      <c r="E1273" s="989"/>
      <c r="F1273" s="989" t="s">
        <v>1</v>
      </c>
      <c r="G1273" s="989"/>
      <c r="H1273" s="989"/>
      <c r="I1273" s="989"/>
      <c r="J1273" s="989"/>
    </row>
    <row r="1274" spans="3:31" s="29" customFormat="1" x14ac:dyDescent="0.25">
      <c r="C1274" s="990" t="s">
        <v>2</v>
      </c>
      <c r="D1274" s="990"/>
      <c r="E1274" s="990"/>
      <c r="F1274" s="991" t="s">
        <v>143</v>
      </c>
      <c r="G1274" s="991"/>
      <c r="H1274" s="991"/>
      <c r="I1274" s="991"/>
      <c r="J1274" s="991"/>
      <c r="M1274" s="113" t="s">
        <v>336</v>
      </c>
      <c r="N1274" s="113" t="s">
        <v>174</v>
      </c>
      <c r="O1274" s="113" t="s">
        <v>248</v>
      </c>
      <c r="P1274" s="113" t="s">
        <v>176</v>
      </c>
      <c r="Q1274" s="113" t="s">
        <v>337</v>
      </c>
      <c r="R1274" s="113" t="s">
        <v>1641</v>
      </c>
      <c r="S1274" s="113" t="s">
        <v>1642</v>
      </c>
      <c r="T1274" s="113" t="s">
        <v>1643</v>
      </c>
      <c r="U1274" s="113" t="s">
        <v>1644</v>
      </c>
      <c r="W1274" s="988" t="s">
        <v>1472</v>
      </c>
      <c r="X1274" s="988"/>
      <c r="Y1274" s="988"/>
      <c r="Z1274" s="988"/>
      <c r="AA1274" s="988"/>
      <c r="AB1274" s="988"/>
      <c r="AC1274" s="988"/>
      <c r="AD1274" s="988"/>
      <c r="AE1274" s="988"/>
    </row>
    <row r="1275" spans="3:31" s="29" customFormat="1" x14ac:dyDescent="0.25">
      <c r="C1275" s="990"/>
      <c r="D1275" s="990"/>
      <c r="E1275" s="990"/>
      <c r="F1275" s="991"/>
      <c r="G1275" s="991"/>
      <c r="H1275" s="991"/>
      <c r="I1275" s="991"/>
      <c r="J1275" s="991"/>
      <c r="M1275" s="114" t="s">
        <v>344</v>
      </c>
      <c r="N1275" s="114">
        <f>E15</f>
        <v>2099.0723984875517</v>
      </c>
      <c r="O1275" s="114" t="str">
        <f>D15</f>
        <v>g</v>
      </c>
      <c r="P1275" s="114">
        <v>80</v>
      </c>
      <c r="Q1275" s="114">
        <f>N1275</f>
        <v>2099.0723984875517</v>
      </c>
      <c r="R1275" s="114">
        <v>0</v>
      </c>
      <c r="S1275" s="114">
        <f>P1275*R1275</f>
        <v>0</v>
      </c>
      <c r="T1275" s="114">
        <f>P1275-S1275</f>
        <v>80</v>
      </c>
      <c r="U1275" s="114">
        <f>Q1275+((S1275*Q1275)/P1275)</f>
        <v>2099.0723984875517</v>
      </c>
      <c r="W1275" s="113" t="s">
        <v>336</v>
      </c>
      <c r="X1275" s="113" t="s">
        <v>174</v>
      </c>
      <c r="Y1275" s="113" t="s">
        <v>248</v>
      </c>
      <c r="Z1275" s="113" t="s">
        <v>176</v>
      </c>
      <c r="AA1275" s="113" t="s">
        <v>337</v>
      </c>
      <c r="AB1275" s="113" t="s">
        <v>1641</v>
      </c>
      <c r="AC1275" s="113" t="s">
        <v>1642</v>
      </c>
      <c r="AD1275" s="113" t="s">
        <v>1643</v>
      </c>
      <c r="AE1275" s="113" t="s">
        <v>1644</v>
      </c>
    </row>
    <row r="1276" spans="3:31" s="29" customFormat="1" x14ac:dyDescent="0.25">
      <c r="C1276" s="990"/>
      <c r="D1276" s="990"/>
      <c r="E1276" s="990"/>
      <c r="F1276" s="991"/>
      <c r="G1276" s="991"/>
      <c r="H1276" s="991"/>
      <c r="I1276" s="991"/>
      <c r="J1276" s="991"/>
      <c r="M1276" s="114" t="s">
        <v>340</v>
      </c>
      <c r="N1276" s="114">
        <f>Y20</f>
        <v>0.64</v>
      </c>
      <c r="O1276" s="114" t="str">
        <f>X20</f>
        <v>g</v>
      </c>
      <c r="P1276" s="114">
        <v>2</v>
      </c>
      <c r="Q1276" s="114">
        <f t="shared" ref="Q1276:Q1281" si="298">N1276*P1276</f>
        <v>1.28</v>
      </c>
      <c r="R1276" s="114">
        <v>0</v>
      </c>
      <c r="S1276" s="114">
        <f t="shared" ref="S1276:S1281" si="299">P1276*R1276</f>
        <v>0</v>
      </c>
      <c r="T1276" s="114">
        <f t="shared" ref="T1276:T1281" si="300">P1276-S1276</f>
        <v>2</v>
      </c>
      <c r="U1276" s="114">
        <f t="shared" ref="U1276:U1281" si="301">Q1276+((S1276*Q1276)/P1276)</f>
        <v>1.28</v>
      </c>
      <c r="W1276" s="114" t="s">
        <v>550</v>
      </c>
      <c r="X1276" s="114">
        <f>AE5</f>
        <v>2.04</v>
      </c>
      <c r="Y1276" s="114" t="str">
        <f>AD5</f>
        <v>g</v>
      </c>
      <c r="Z1276" s="114">
        <v>10</v>
      </c>
      <c r="AA1276" s="114">
        <f>X1276*Z1276</f>
        <v>20.399999999999999</v>
      </c>
      <c r="AB1276" s="114">
        <v>0</v>
      </c>
      <c r="AC1276" s="114">
        <f>Z1276*AB1276</f>
        <v>0</v>
      </c>
      <c r="AD1276" s="114">
        <f>Z1276-AC1276</f>
        <v>10</v>
      </c>
      <c r="AE1276" s="114">
        <f>AA1276+((AC1276*AA1276)/Z1276)</f>
        <v>20.399999999999999</v>
      </c>
    </row>
    <row r="1277" spans="3:31" s="29" customFormat="1" x14ac:dyDescent="0.25">
      <c r="C1277" s="989" t="s">
        <v>0</v>
      </c>
      <c r="D1277" s="989"/>
      <c r="E1277" s="989"/>
      <c r="F1277" s="989" t="s">
        <v>1</v>
      </c>
      <c r="G1277" s="989"/>
      <c r="H1277" s="989"/>
      <c r="I1277" s="989"/>
      <c r="J1277" s="989"/>
      <c r="M1277" s="114" t="s">
        <v>517</v>
      </c>
      <c r="N1277" s="114">
        <f>V12</f>
        <v>25.98</v>
      </c>
      <c r="O1277" s="114" t="str">
        <f>U12</f>
        <v>g</v>
      </c>
      <c r="P1277" s="114">
        <v>50</v>
      </c>
      <c r="Q1277" s="114">
        <f t="shared" si="298"/>
        <v>1299</v>
      </c>
      <c r="R1277" s="114">
        <v>0</v>
      </c>
      <c r="S1277" s="114">
        <f t="shared" si="299"/>
        <v>0</v>
      </c>
      <c r="T1277" s="114">
        <f t="shared" si="300"/>
        <v>50</v>
      </c>
      <c r="U1277" s="114">
        <f t="shared" si="301"/>
        <v>1299</v>
      </c>
      <c r="W1277" s="114" t="s">
        <v>551</v>
      </c>
      <c r="X1277" s="114">
        <f>V4</f>
        <v>3.08</v>
      </c>
      <c r="Y1277" s="114" t="str">
        <f>U4</f>
        <v>mL</v>
      </c>
      <c r="Z1277" s="114">
        <v>60</v>
      </c>
      <c r="AA1277" s="114">
        <f t="shared" ref="AA1277:AA1282" si="302">X1277*Z1277</f>
        <v>184.8</v>
      </c>
      <c r="AB1277" s="114">
        <v>0</v>
      </c>
      <c r="AC1277" s="114">
        <f t="shared" ref="AC1277:AC1282" si="303">Z1277*AB1277</f>
        <v>0</v>
      </c>
      <c r="AD1277" s="114">
        <f t="shared" ref="AD1277:AD1282" si="304">Z1277-AC1277</f>
        <v>60</v>
      </c>
      <c r="AE1277" s="114">
        <f t="shared" ref="AE1277:AE1282" si="305">AA1277+((AC1277*AA1277)/Z1277)</f>
        <v>184.8</v>
      </c>
    </row>
    <row r="1278" spans="3:31" s="29" customFormat="1" x14ac:dyDescent="0.25">
      <c r="C1278" s="990" t="s">
        <v>3</v>
      </c>
      <c r="D1278" s="990"/>
      <c r="E1278" s="990"/>
      <c r="F1278" s="991" t="s">
        <v>151</v>
      </c>
      <c r="G1278" s="991"/>
      <c r="H1278" s="991"/>
      <c r="I1278" s="991"/>
      <c r="J1278" s="991"/>
      <c r="M1278" s="114" t="s">
        <v>458</v>
      </c>
      <c r="N1278" s="114">
        <f>S10</f>
        <v>32.46</v>
      </c>
      <c r="O1278" s="114" t="str">
        <f>R10</f>
        <v>g</v>
      </c>
      <c r="P1278" s="114">
        <v>60</v>
      </c>
      <c r="Q1278" s="114">
        <f t="shared" si="298"/>
        <v>1947.6000000000001</v>
      </c>
      <c r="R1278" s="114">
        <v>0</v>
      </c>
      <c r="S1278" s="114">
        <f t="shared" si="299"/>
        <v>0</v>
      </c>
      <c r="T1278" s="114">
        <f t="shared" si="300"/>
        <v>60</v>
      </c>
      <c r="U1278" s="114">
        <f t="shared" si="301"/>
        <v>1947.6000000000001</v>
      </c>
      <c r="W1278" s="114" t="s">
        <v>797</v>
      </c>
      <c r="X1278" s="114">
        <f>Y20</f>
        <v>0.64</v>
      </c>
      <c r="Y1278" s="114" t="str">
        <f>X20</f>
        <v>g</v>
      </c>
      <c r="Z1278" s="114">
        <v>6</v>
      </c>
      <c r="AA1278" s="114">
        <f t="shared" si="302"/>
        <v>3.84</v>
      </c>
      <c r="AB1278" s="114">
        <v>0</v>
      </c>
      <c r="AC1278" s="114">
        <f t="shared" si="303"/>
        <v>0</v>
      </c>
      <c r="AD1278" s="114">
        <f t="shared" si="304"/>
        <v>6</v>
      </c>
      <c r="AE1278" s="114">
        <f t="shared" si="305"/>
        <v>3.84</v>
      </c>
    </row>
    <row r="1279" spans="3:31" s="29" customFormat="1" x14ac:dyDescent="0.25">
      <c r="C1279" s="990"/>
      <c r="D1279" s="990"/>
      <c r="E1279" s="990"/>
      <c r="F1279" s="991"/>
      <c r="G1279" s="991"/>
      <c r="H1279" s="991"/>
      <c r="I1279" s="991"/>
      <c r="J1279" s="991"/>
      <c r="M1279" s="114" t="s">
        <v>518</v>
      </c>
      <c r="N1279" s="114">
        <f>AE1283</f>
        <v>4279.7849999999999</v>
      </c>
      <c r="O1279" s="114" t="s">
        <v>1388</v>
      </c>
      <c r="P1279" s="114">
        <v>120</v>
      </c>
      <c r="Q1279" s="114">
        <f>N1279</f>
        <v>4279.7849999999999</v>
      </c>
      <c r="R1279" s="114">
        <v>0</v>
      </c>
      <c r="S1279" s="114">
        <f t="shared" si="299"/>
        <v>0</v>
      </c>
      <c r="T1279" s="114">
        <f t="shared" si="300"/>
        <v>120</v>
      </c>
      <c r="U1279" s="114">
        <f t="shared" si="301"/>
        <v>4279.7849999999999</v>
      </c>
      <c r="W1279" s="114" t="s">
        <v>798</v>
      </c>
      <c r="X1279" s="114">
        <f>Y22</f>
        <v>172.22</v>
      </c>
      <c r="Y1279" s="114" t="str">
        <f>X22</f>
        <v>g</v>
      </c>
      <c r="Z1279" s="114">
        <v>1</v>
      </c>
      <c r="AA1279" s="114">
        <f t="shared" si="302"/>
        <v>172.22</v>
      </c>
      <c r="AB1279" s="114">
        <v>0</v>
      </c>
      <c r="AC1279" s="114">
        <f t="shared" si="303"/>
        <v>0</v>
      </c>
      <c r="AD1279" s="114">
        <f t="shared" si="304"/>
        <v>1</v>
      </c>
      <c r="AE1279" s="114">
        <f t="shared" si="305"/>
        <v>172.22</v>
      </c>
    </row>
    <row r="1280" spans="3:31" s="29" customFormat="1" x14ac:dyDescent="0.25">
      <c r="C1280" s="990"/>
      <c r="D1280" s="990"/>
      <c r="E1280" s="990"/>
      <c r="F1280" s="991"/>
      <c r="G1280" s="991"/>
      <c r="H1280" s="991"/>
      <c r="I1280" s="991"/>
      <c r="J1280" s="991"/>
      <c r="M1280" s="114" t="s">
        <v>463</v>
      </c>
      <c r="N1280" s="114">
        <f>Y13+Y21</f>
        <v>239.9</v>
      </c>
      <c r="O1280" s="114" t="str">
        <f>X21</f>
        <v>g</v>
      </c>
      <c r="P1280" s="114">
        <v>30</v>
      </c>
      <c r="Q1280" s="114">
        <f t="shared" si="298"/>
        <v>7197</v>
      </c>
      <c r="R1280" s="114">
        <v>0</v>
      </c>
      <c r="S1280" s="114">
        <f t="shared" si="299"/>
        <v>0</v>
      </c>
      <c r="T1280" s="114">
        <f t="shared" si="300"/>
        <v>30</v>
      </c>
      <c r="U1280" s="114">
        <f t="shared" si="301"/>
        <v>7197</v>
      </c>
      <c r="W1280" s="114" t="s">
        <v>493</v>
      </c>
      <c r="X1280" s="114">
        <f>P10</f>
        <v>0.7</v>
      </c>
      <c r="Y1280" s="114" t="str">
        <f>O10</f>
        <v>g</v>
      </c>
      <c r="Z1280" s="114">
        <v>25</v>
      </c>
      <c r="AA1280" s="114">
        <f t="shared" si="302"/>
        <v>17.5</v>
      </c>
      <c r="AB1280" s="114">
        <f>AJ7</f>
        <v>0.15</v>
      </c>
      <c r="AC1280" s="114">
        <f t="shared" si="303"/>
        <v>3.75</v>
      </c>
      <c r="AD1280" s="114">
        <f t="shared" si="304"/>
        <v>21.25</v>
      </c>
      <c r="AE1280" s="114">
        <f t="shared" si="305"/>
        <v>20.125</v>
      </c>
    </row>
    <row r="1281" spans="3:31" s="29" customFormat="1" x14ac:dyDescent="0.25">
      <c r="C1281" s="990" t="s">
        <v>4</v>
      </c>
      <c r="D1281" s="990"/>
      <c r="E1281" s="990"/>
      <c r="F1281" s="991" t="s">
        <v>15</v>
      </c>
      <c r="G1281" s="991"/>
      <c r="H1281" s="991"/>
      <c r="I1281" s="991"/>
      <c r="J1281" s="991"/>
      <c r="M1281" s="114" t="s">
        <v>349</v>
      </c>
      <c r="N1281" s="114">
        <f>S15</f>
        <v>41</v>
      </c>
      <c r="O1281" s="114" t="str">
        <f>R15</f>
        <v>g</v>
      </c>
      <c r="P1281" s="114">
        <v>80</v>
      </c>
      <c r="Q1281" s="114">
        <f t="shared" si="298"/>
        <v>3280</v>
      </c>
      <c r="R1281" s="114">
        <f>AN3</f>
        <v>0.47</v>
      </c>
      <c r="S1281" s="114">
        <f t="shared" si="299"/>
        <v>37.599999999999994</v>
      </c>
      <c r="T1281" s="114">
        <f t="shared" si="300"/>
        <v>42.400000000000006</v>
      </c>
      <c r="U1281" s="114">
        <f t="shared" si="301"/>
        <v>4821.6000000000004</v>
      </c>
      <c r="W1281" s="114" t="s">
        <v>463</v>
      </c>
      <c r="X1281" s="114">
        <f>Y18+Y12</f>
        <v>309.89999999999998</v>
      </c>
      <c r="Y1281" s="114" t="str">
        <f>X12</f>
        <v>g</v>
      </c>
      <c r="Z1281" s="114">
        <v>10</v>
      </c>
      <c r="AA1281" s="114">
        <f t="shared" si="302"/>
        <v>3099</v>
      </c>
      <c r="AB1281" s="114">
        <v>0</v>
      </c>
      <c r="AC1281" s="114">
        <f t="shared" si="303"/>
        <v>0</v>
      </c>
      <c r="AD1281" s="114">
        <f t="shared" si="304"/>
        <v>10</v>
      </c>
      <c r="AE1281" s="114">
        <f t="shared" si="305"/>
        <v>3099</v>
      </c>
    </row>
    <row r="1282" spans="3:31" s="29" customFormat="1" x14ac:dyDescent="0.25">
      <c r="C1282" s="990"/>
      <c r="D1282" s="990"/>
      <c r="E1282" s="990"/>
      <c r="F1282" s="991"/>
      <c r="G1282" s="991"/>
      <c r="H1282" s="991"/>
      <c r="I1282" s="991"/>
      <c r="J1282" s="991"/>
      <c r="M1282" s="114"/>
      <c r="N1282" s="114"/>
      <c r="O1282" s="114"/>
      <c r="P1282" s="114"/>
      <c r="Q1282" s="114"/>
      <c r="R1282" s="114"/>
      <c r="S1282" s="114"/>
      <c r="T1282" s="114"/>
      <c r="U1282" s="114"/>
      <c r="W1282" s="114" t="s">
        <v>799</v>
      </c>
      <c r="X1282" s="114">
        <f>V12</f>
        <v>25.98</v>
      </c>
      <c r="Y1282" s="114" t="str">
        <f>U12</f>
        <v>g</v>
      </c>
      <c r="Z1282" s="114">
        <v>30</v>
      </c>
      <c r="AA1282" s="114">
        <f t="shared" si="302"/>
        <v>779.4</v>
      </c>
      <c r="AB1282" s="114">
        <v>0</v>
      </c>
      <c r="AC1282" s="114">
        <f t="shared" si="303"/>
        <v>0</v>
      </c>
      <c r="AD1282" s="114">
        <f t="shared" si="304"/>
        <v>30</v>
      </c>
      <c r="AE1282" s="114">
        <f t="shared" si="305"/>
        <v>779.4</v>
      </c>
    </row>
    <row r="1283" spans="3:31" s="29" customFormat="1" x14ac:dyDescent="0.25">
      <c r="C1283" s="990"/>
      <c r="D1283" s="990"/>
      <c r="E1283" s="990"/>
      <c r="F1283" s="991"/>
      <c r="G1283" s="991"/>
      <c r="H1283" s="991"/>
      <c r="I1283" s="991"/>
      <c r="J1283" s="991"/>
      <c r="M1283" s="114" t="s">
        <v>337</v>
      </c>
      <c r="N1283" s="114">
        <f>SUM(N1275:N1282)</f>
        <v>6718.8373984875507</v>
      </c>
      <c r="O1283" s="114"/>
      <c r="P1283" s="114">
        <f>SUM(P1275:P1282)</f>
        <v>422</v>
      </c>
      <c r="Q1283" s="114">
        <f>SUM(Q1275:Q1282)</f>
        <v>20103.737398487552</v>
      </c>
      <c r="R1283" s="114"/>
      <c r="S1283" s="114"/>
      <c r="T1283" s="114"/>
      <c r="U1283" s="114">
        <f>SUM(U1275:U1282)</f>
        <v>21645.337398487551</v>
      </c>
      <c r="W1283" s="114" t="s">
        <v>337</v>
      </c>
      <c r="X1283" s="114">
        <f>SUM(X1276:X1282)</f>
        <v>514.55999999999995</v>
      </c>
      <c r="Y1283" s="114"/>
      <c r="Z1283" s="114">
        <f>SUM(Z1276:Z1282)</f>
        <v>142</v>
      </c>
      <c r="AA1283" s="114">
        <f>SUM(AA1276:AA1282)</f>
        <v>4277.16</v>
      </c>
      <c r="AB1283" s="114"/>
      <c r="AC1283" s="114"/>
      <c r="AD1283" s="114"/>
      <c r="AE1283" s="114">
        <f>SUM(AE1276:AE1282)</f>
        <v>4279.7849999999999</v>
      </c>
    </row>
    <row r="1284" spans="3:31" s="29" customFormat="1" x14ac:dyDescent="0.25">
      <c r="C1284" s="990" t="s">
        <v>5</v>
      </c>
      <c r="D1284" s="990"/>
      <c r="E1284" s="990"/>
      <c r="F1284" s="991" t="s">
        <v>158</v>
      </c>
      <c r="G1284" s="991"/>
      <c r="H1284" s="991"/>
      <c r="I1284" s="991"/>
      <c r="J1284" s="991"/>
    </row>
    <row r="1285" spans="3:31" s="29" customFormat="1" x14ac:dyDescent="0.25">
      <c r="C1285" s="990"/>
      <c r="D1285" s="990"/>
      <c r="E1285" s="990"/>
      <c r="F1285" s="991"/>
      <c r="G1285" s="991"/>
      <c r="H1285" s="991"/>
      <c r="I1285" s="991"/>
      <c r="J1285" s="991"/>
      <c r="Q1285" s="114" t="s">
        <v>1681</v>
      </c>
      <c r="R1285" s="114">
        <f>U1283</f>
        <v>21645.337398487551</v>
      </c>
      <c r="S1285" s="608" t="s">
        <v>2142</v>
      </c>
      <c r="T1285" s="608">
        <f>(R1285*100)/R1292</f>
        <v>53.094831465510694</v>
      </c>
      <c r="AA1285" s="114" t="s">
        <v>1681</v>
      </c>
      <c r="AB1285" s="114">
        <f>AE1283</f>
        <v>4279.7849999999999</v>
      </c>
      <c r="AC1285" s="608" t="s">
        <v>2142</v>
      </c>
      <c r="AD1285" s="608">
        <f>(AB1285*100)/AB1292</f>
        <v>39.170734227275055</v>
      </c>
    </row>
    <row r="1286" spans="3:31" s="29" customFormat="1" x14ac:dyDescent="0.25">
      <c r="C1286" s="990"/>
      <c r="D1286" s="990"/>
      <c r="E1286" s="990"/>
      <c r="F1286" s="991"/>
      <c r="G1286" s="991"/>
      <c r="H1286" s="991"/>
      <c r="I1286" s="991"/>
      <c r="J1286" s="991"/>
      <c r="Q1286" s="114" t="s">
        <v>2326</v>
      </c>
      <c r="R1286" s="114">
        <f>$AL$26</f>
        <v>1801.715474357886</v>
      </c>
      <c r="AA1286" s="114" t="s">
        <v>2326</v>
      </c>
      <c r="AB1286" s="114">
        <f>$AO$26/2</f>
        <v>476.87414947063905</v>
      </c>
    </row>
    <row r="1287" spans="3:31" s="29" customFormat="1" x14ac:dyDescent="0.25">
      <c r="C1287" s="990" t="s">
        <v>6</v>
      </c>
      <c r="D1287" s="990"/>
      <c r="E1287" s="990"/>
      <c r="F1287" s="991" t="s">
        <v>9</v>
      </c>
      <c r="G1287" s="991"/>
      <c r="H1287" s="991"/>
      <c r="I1287" s="991"/>
      <c r="J1287" s="991"/>
      <c r="Q1287" s="114" t="s">
        <v>2325</v>
      </c>
      <c r="R1287" s="114">
        <f>$AL$27</f>
        <v>75.599999999999994</v>
      </c>
      <c r="AA1287" s="114" t="s">
        <v>2325</v>
      </c>
      <c r="AB1287" s="114">
        <f>$AO$27/4</f>
        <v>18.899999999999999</v>
      </c>
    </row>
    <row r="1288" spans="3:31" s="29" customFormat="1" x14ac:dyDescent="0.25">
      <c r="C1288" s="990"/>
      <c r="D1288" s="990"/>
      <c r="E1288" s="990"/>
      <c r="F1288" s="991"/>
      <c r="G1288" s="991"/>
      <c r="H1288" s="991"/>
      <c r="I1288" s="991"/>
      <c r="J1288" s="991"/>
      <c r="Q1288" s="114" t="s">
        <v>1684</v>
      </c>
      <c r="R1288" s="114">
        <f>$AL$29</f>
        <v>69.543532482306858</v>
      </c>
      <c r="AA1288" s="114" t="s">
        <v>1684</v>
      </c>
      <c r="AB1288" s="114">
        <f>$AO$29</f>
        <v>1547.3435977313275</v>
      </c>
    </row>
    <row r="1289" spans="3:31" s="29" customFormat="1" x14ac:dyDescent="0.25">
      <c r="C1289" s="990"/>
      <c r="D1289" s="990"/>
      <c r="E1289" s="990"/>
      <c r="F1289" s="991"/>
      <c r="G1289" s="991"/>
      <c r="H1289" s="991"/>
      <c r="I1289" s="991"/>
      <c r="J1289" s="991"/>
      <c r="Q1289" s="114" t="s">
        <v>1685</v>
      </c>
      <c r="R1289" s="114">
        <v>0.6</v>
      </c>
      <c r="AA1289" s="114" t="s">
        <v>1685</v>
      </c>
      <c r="AB1289" s="114">
        <v>0.6</v>
      </c>
    </row>
    <row r="1290" spans="3:31" s="29" customFormat="1" x14ac:dyDescent="0.25">
      <c r="C1290" s="990" t="s">
        <v>7</v>
      </c>
      <c r="D1290" s="990"/>
      <c r="E1290" s="990"/>
      <c r="F1290" s="991" t="s">
        <v>618</v>
      </c>
      <c r="G1290" s="991"/>
      <c r="H1290" s="991"/>
      <c r="I1290" s="991"/>
      <c r="J1290" s="991"/>
      <c r="Q1290" s="114" t="s">
        <v>1708</v>
      </c>
      <c r="R1290" s="114">
        <f>(SUM(R1285:R1288)*R1289)+SUM(R1285:R1288)</f>
        <v>37747.514248524392</v>
      </c>
      <c r="AA1290" s="114" t="s">
        <v>1708</v>
      </c>
      <c r="AB1290" s="114">
        <f>(SUM(AB1285:AB1288)*AB1289)+SUM(AB1285:AB1288)</f>
        <v>10116.644395523146</v>
      </c>
    </row>
    <row r="1291" spans="3:31" s="29" customFormat="1" x14ac:dyDescent="0.25">
      <c r="C1291" s="990"/>
      <c r="D1291" s="990"/>
      <c r="E1291" s="990"/>
      <c r="F1291" s="991"/>
      <c r="G1291" s="991"/>
      <c r="H1291" s="991"/>
      <c r="I1291" s="991"/>
      <c r="J1291" s="991"/>
      <c r="Q1291" s="114" t="s">
        <v>2130</v>
      </c>
      <c r="R1291" s="114">
        <f>R1290*0.08</f>
        <v>3019.8011398819513</v>
      </c>
      <c r="AA1291" s="114" t="s">
        <v>2130</v>
      </c>
      <c r="AB1291" s="114">
        <f>AB1290*0.08</f>
        <v>809.33155164185166</v>
      </c>
    </row>
    <row r="1292" spans="3:31" s="29" customFormat="1" x14ac:dyDescent="0.25">
      <c r="C1292" s="990"/>
      <c r="D1292" s="990"/>
      <c r="E1292" s="990"/>
      <c r="F1292" s="991"/>
      <c r="G1292" s="991"/>
      <c r="H1292" s="991"/>
      <c r="I1292" s="991"/>
      <c r="J1292" s="991"/>
      <c r="Q1292" s="114" t="s">
        <v>1686</v>
      </c>
      <c r="R1292" s="114">
        <f>SUM(R1290+R1291)</f>
        <v>40767.315388406343</v>
      </c>
      <c r="AA1292" s="114" t="s">
        <v>1686</v>
      </c>
      <c r="AB1292" s="114">
        <f>SUM(AB1290+AB1291)</f>
        <v>10925.975947164998</v>
      </c>
    </row>
    <row r="1293" spans="3:31" s="29" customFormat="1" x14ac:dyDescent="0.25"/>
    <row r="1294" spans="3:31" s="29" customFormat="1" x14ac:dyDescent="0.25"/>
    <row r="1295" spans="3:31" s="29" customFormat="1" x14ac:dyDescent="0.25">
      <c r="C1295" s="993" t="s">
        <v>8</v>
      </c>
      <c r="D1295" s="993"/>
      <c r="E1295" s="993"/>
      <c r="F1295" s="993"/>
      <c r="G1295" s="993"/>
      <c r="H1295" s="993"/>
      <c r="I1295" s="993"/>
      <c r="J1295" s="993"/>
    </row>
    <row r="1296" spans="3:31" s="29" customFormat="1" x14ac:dyDescent="0.25">
      <c r="C1296" s="989" t="s">
        <v>0</v>
      </c>
      <c r="D1296" s="989"/>
      <c r="E1296" s="989"/>
      <c r="F1296" s="989" t="s">
        <v>1</v>
      </c>
      <c r="G1296" s="989"/>
      <c r="H1296" s="989"/>
      <c r="I1296" s="989"/>
      <c r="J1296" s="989"/>
    </row>
    <row r="1297" spans="3:31" s="29" customFormat="1" x14ac:dyDescent="0.25">
      <c r="C1297" s="990" t="s">
        <v>2</v>
      </c>
      <c r="D1297" s="990"/>
      <c r="E1297" s="990"/>
      <c r="F1297" s="991" t="s">
        <v>145</v>
      </c>
      <c r="G1297" s="991"/>
      <c r="H1297" s="991"/>
      <c r="I1297" s="991"/>
      <c r="J1297" s="991"/>
      <c r="M1297" s="113" t="s">
        <v>336</v>
      </c>
      <c r="N1297" s="113" t="s">
        <v>174</v>
      </c>
      <c r="O1297" s="113" t="s">
        <v>248</v>
      </c>
      <c r="P1297" s="113" t="s">
        <v>176</v>
      </c>
      <c r="Q1297" s="113" t="s">
        <v>337</v>
      </c>
      <c r="R1297" s="113" t="s">
        <v>1641</v>
      </c>
      <c r="S1297" s="113" t="s">
        <v>1642</v>
      </c>
      <c r="T1297" s="113" t="s">
        <v>1643</v>
      </c>
      <c r="U1297" s="113" t="s">
        <v>1644</v>
      </c>
      <c r="W1297" s="988" t="s">
        <v>1461</v>
      </c>
      <c r="X1297" s="988"/>
      <c r="Y1297" s="988"/>
      <c r="Z1297" s="988"/>
      <c r="AA1297" s="988"/>
      <c r="AB1297" s="988"/>
      <c r="AC1297" s="988"/>
      <c r="AD1297" s="988"/>
      <c r="AE1297" s="988"/>
    </row>
    <row r="1298" spans="3:31" s="29" customFormat="1" x14ac:dyDescent="0.25">
      <c r="C1298" s="990"/>
      <c r="D1298" s="990"/>
      <c r="E1298" s="990"/>
      <c r="F1298" s="991"/>
      <c r="G1298" s="991"/>
      <c r="H1298" s="991"/>
      <c r="I1298" s="991"/>
      <c r="J1298" s="991"/>
      <c r="M1298" s="114" t="s">
        <v>344</v>
      </c>
      <c r="N1298" s="114">
        <f>E15</f>
        <v>2099.0723984875517</v>
      </c>
      <c r="O1298" s="114" t="str">
        <f>D15</f>
        <v>g</v>
      </c>
      <c r="P1298" s="114">
        <v>80</v>
      </c>
      <c r="Q1298" s="114">
        <f>N1298</f>
        <v>2099.0723984875517</v>
      </c>
      <c r="R1298" s="114">
        <v>0</v>
      </c>
      <c r="S1298" s="114">
        <f>P1298*R1298</f>
        <v>0</v>
      </c>
      <c r="T1298" s="114">
        <f>P1298-S1298</f>
        <v>80</v>
      </c>
      <c r="U1298" s="114">
        <f>Q1298+((S1298*Q1298)/P1298)</f>
        <v>2099.0723984875517</v>
      </c>
      <c r="W1298" s="113" t="s">
        <v>336</v>
      </c>
      <c r="X1298" s="113" t="s">
        <v>174</v>
      </c>
      <c r="Y1298" s="113" t="s">
        <v>248</v>
      </c>
      <c r="Z1298" s="113" t="s">
        <v>176</v>
      </c>
      <c r="AA1298" s="113" t="s">
        <v>337</v>
      </c>
      <c r="AB1298" s="113" t="s">
        <v>1641</v>
      </c>
      <c r="AC1298" s="113" t="s">
        <v>1642</v>
      </c>
      <c r="AD1298" s="113" t="s">
        <v>1643</v>
      </c>
      <c r="AE1298" s="113" t="s">
        <v>1644</v>
      </c>
    </row>
    <row r="1299" spans="3:31" s="29" customFormat="1" x14ac:dyDescent="0.25">
      <c r="C1299" s="990"/>
      <c r="D1299" s="990"/>
      <c r="E1299" s="990"/>
      <c r="F1299" s="991"/>
      <c r="G1299" s="991"/>
      <c r="H1299" s="991"/>
      <c r="I1299" s="991"/>
      <c r="J1299" s="991"/>
      <c r="M1299" s="114" t="s">
        <v>340</v>
      </c>
      <c r="N1299" s="114">
        <f>Y20</f>
        <v>0.64</v>
      </c>
      <c r="O1299" s="114" t="str">
        <f>X20</f>
        <v>g</v>
      </c>
      <c r="P1299" s="114">
        <v>2</v>
      </c>
      <c r="Q1299" s="114">
        <f t="shared" ref="Q1299:Q1303" si="306">N1299*P1299</f>
        <v>1.28</v>
      </c>
      <c r="R1299" s="114">
        <v>0</v>
      </c>
      <c r="S1299" s="114">
        <f t="shared" ref="S1299:S1303" si="307">P1299*R1299</f>
        <v>0</v>
      </c>
      <c r="T1299" s="114">
        <f t="shared" ref="T1299:T1303" si="308">P1299-S1299</f>
        <v>2</v>
      </c>
      <c r="U1299" s="114">
        <f t="shared" ref="U1299:U1303" si="309">Q1299+((S1299*Q1299)/P1299)</f>
        <v>1.28</v>
      </c>
      <c r="W1299" s="114" t="s">
        <v>430</v>
      </c>
      <c r="X1299" s="114">
        <f>P10</f>
        <v>0.7</v>
      </c>
      <c r="Y1299" s="114" t="str">
        <f>O10</f>
        <v>g</v>
      </c>
      <c r="Z1299" s="114">
        <v>20</v>
      </c>
      <c r="AA1299" s="114">
        <f t="shared" ref="AA1299:AA1307" si="310">X1299*Z1299</f>
        <v>14</v>
      </c>
      <c r="AB1299" s="114">
        <f>AJ7</f>
        <v>0.15</v>
      </c>
      <c r="AC1299" s="114">
        <f>Z1299*AB1299</f>
        <v>3</v>
      </c>
      <c r="AD1299" s="114">
        <f>Z1299-AC1299</f>
        <v>17</v>
      </c>
      <c r="AE1299" s="114">
        <f>AA1299+((AC1299*AA1299)/Z1299)</f>
        <v>16.100000000000001</v>
      </c>
    </row>
    <row r="1300" spans="3:31" s="29" customFormat="1" x14ac:dyDescent="0.25">
      <c r="C1300" s="989" t="s">
        <v>0</v>
      </c>
      <c r="D1300" s="989"/>
      <c r="E1300" s="989"/>
      <c r="F1300" s="989" t="s">
        <v>1</v>
      </c>
      <c r="G1300" s="989"/>
      <c r="H1300" s="989"/>
      <c r="I1300" s="989"/>
      <c r="J1300" s="989"/>
      <c r="M1300" s="114" t="s">
        <v>427</v>
      </c>
      <c r="N1300" s="114">
        <f>S8</f>
        <v>59</v>
      </c>
      <c r="O1300" s="114" t="str">
        <f>R8</f>
        <v>g</v>
      </c>
      <c r="P1300" s="114">
        <v>60</v>
      </c>
      <c r="Q1300" s="114">
        <f t="shared" si="306"/>
        <v>3540</v>
      </c>
      <c r="R1300" s="114">
        <f>AN4</f>
        <v>0.41</v>
      </c>
      <c r="S1300" s="114">
        <f t="shared" si="307"/>
        <v>24.599999999999998</v>
      </c>
      <c r="T1300" s="114">
        <f t="shared" si="308"/>
        <v>35.400000000000006</v>
      </c>
      <c r="U1300" s="114">
        <f t="shared" si="309"/>
        <v>4991.3999999999996</v>
      </c>
      <c r="W1300" s="114" t="s">
        <v>429</v>
      </c>
      <c r="X1300" s="114">
        <f>P29</f>
        <v>1.8</v>
      </c>
      <c r="Y1300" s="114" t="str">
        <f>O29</f>
        <v>g</v>
      </c>
      <c r="Z1300" s="114">
        <v>60</v>
      </c>
      <c r="AA1300" s="114">
        <f t="shared" si="310"/>
        <v>108</v>
      </c>
      <c r="AB1300" s="114">
        <f>AJ18</f>
        <v>0.05</v>
      </c>
      <c r="AC1300" s="114">
        <f t="shared" ref="AC1300:AC1307" si="311">Z1300*AB1300</f>
        <v>3</v>
      </c>
      <c r="AD1300" s="114">
        <f t="shared" ref="AD1300:AD1307" si="312">Z1300-AC1300</f>
        <v>57</v>
      </c>
      <c r="AE1300" s="114">
        <f t="shared" ref="AE1300:AE1307" si="313">AA1300+((AC1300*AA1300)/Z1300)</f>
        <v>113.4</v>
      </c>
    </row>
    <row r="1301" spans="3:31" s="29" customFormat="1" x14ac:dyDescent="0.25">
      <c r="C1301" s="990" t="s">
        <v>3</v>
      </c>
      <c r="D1301" s="990"/>
      <c r="E1301" s="990"/>
      <c r="F1301" s="991" t="s">
        <v>152</v>
      </c>
      <c r="G1301" s="991"/>
      <c r="H1301" s="991"/>
      <c r="I1301" s="991"/>
      <c r="J1301" s="991"/>
      <c r="M1301" s="114" t="s">
        <v>484</v>
      </c>
      <c r="N1301" s="114">
        <f>S7</f>
        <v>54</v>
      </c>
      <c r="O1301" s="114" t="str">
        <f>R7</f>
        <v>g</v>
      </c>
      <c r="P1301" s="114">
        <v>60</v>
      </c>
      <c r="Q1301" s="114">
        <f t="shared" si="306"/>
        <v>3240</v>
      </c>
      <c r="R1301" s="114">
        <f>AN2</f>
        <v>0.33</v>
      </c>
      <c r="S1301" s="114">
        <f t="shared" si="307"/>
        <v>19.8</v>
      </c>
      <c r="T1301" s="114">
        <f t="shared" si="308"/>
        <v>40.200000000000003</v>
      </c>
      <c r="U1301" s="114">
        <f t="shared" si="309"/>
        <v>4309.2</v>
      </c>
      <c r="W1301" s="114" t="s">
        <v>442</v>
      </c>
      <c r="X1301" s="114">
        <f>Y3</f>
        <v>30</v>
      </c>
      <c r="Y1301" s="114" t="str">
        <f>X3</f>
        <v>g</v>
      </c>
      <c r="Z1301" s="114">
        <v>8</v>
      </c>
      <c r="AA1301" s="114">
        <f t="shared" si="310"/>
        <v>240</v>
      </c>
      <c r="AB1301" s="114">
        <v>0</v>
      </c>
      <c r="AC1301" s="114">
        <f t="shared" si="311"/>
        <v>0</v>
      </c>
      <c r="AD1301" s="114">
        <f t="shared" si="312"/>
        <v>8</v>
      </c>
      <c r="AE1301" s="114">
        <f t="shared" si="313"/>
        <v>240</v>
      </c>
    </row>
    <row r="1302" spans="3:31" s="29" customFormat="1" x14ac:dyDescent="0.25">
      <c r="C1302" s="990"/>
      <c r="D1302" s="990"/>
      <c r="E1302" s="990"/>
      <c r="F1302" s="991"/>
      <c r="G1302" s="991"/>
      <c r="H1302" s="991"/>
      <c r="I1302" s="991"/>
      <c r="J1302" s="991"/>
      <c r="M1302" s="114" t="s">
        <v>441</v>
      </c>
      <c r="N1302" s="114">
        <f>AE1308</f>
        <v>7214.81</v>
      </c>
      <c r="O1302" s="114" t="s">
        <v>1388</v>
      </c>
      <c r="P1302" s="114">
        <v>120</v>
      </c>
      <c r="Q1302" s="114">
        <f>N1302</f>
        <v>7214.81</v>
      </c>
      <c r="R1302" s="114">
        <v>0</v>
      </c>
      <c r="S1302" s="114">
        <f t="shared" si="307"/>
        <v>0</v>
      </c>
      <c r="T1302" s="114">
        <f t="shared" si="308"/>
        <v>120</v>
      </c>
      <c r="U1302" s="114">
        <f t="shared" si="309"/>
        <v>7214.81</v>
      </c>
      <c r="W1302" s="114" t="s">
        <v>561</v>
      </c>
      <c r="X1302" s="114">
        <f>Y18</f>
        <v>223.57</v>
      </c>
      <c r="Y1302" s="114" t="str">
        <f>X18</f>
        <v>g</v>
      </c>
      <c r="Z1302" s="114">
        <v>6</v>
      </c>
      <c r="AA1302" s="114">
        <f t="shared" si="310"/>
        <v>1341.42</v>
      </c>
      <c r="AB1302" s="114">
        <v>0</v>
      </c>
      <c r="AC1302" s="114">
        <f t="shared" si="311"/>
        <v>0</v>
      </c>
      <c r="AD1302" s="114">
        <f t="shared" si="312"/>
        <v>6</v>
      </c>
      <c r="AE1302" s="114">
        <f t="shared" si="313"/>
        <v>1341.42</v>
      </c>
    </row>
    <row r="1303" spans="3:31" s="29" customFormat="1" x14ac:dyDescent="0.25">
      <c r="C1303" s="990"/>
      <c r="D1303" s="990"/>
      <c r="E1303" s="990"/>
      <c r="F1303" s="991"/>
      <c r="G1303" s="991"/>
      <c r="H1303" s="991"/>
      <c r="I1303" s="991"/>
      <c r="J1303" s="991"/>
      <c r="M1303" s="114" t="s">
        <v>452</v>
      </c>
      <c r="N1303" s="114">
        <f>V13</f>
        <v>81.900000000000006</v>
      </c>
      <c r="O1303" s="114" t="str">
        <f>U13</f>
        <v>g</v>
      </c>
      <c r="P1303" s="114">
        <v>60</v>
      </c>
      <c r="Q1303" s="114">
        <f t="shared" si="306"/>
        <v>4914</v>
      </c>
      <c r="R1303" s="114">
        <v>0</v>
      </c>
      <c r="S1303" s="114">
        <f t="shared" si="307"/>
        <v>0</v>
      </c>
      <c r="T1303" s="114">
        <f t="shared" si="308"/>
        <v>60</v>
      </c>
      <c r="U1303" s="114">
        <f t="shared" si="309"/>
        <v>4914</v>
      </c>
      <c r="W1303" s="114" t="s">
        <v>443</v>
      </c>
      <c r="X1303" s="114">
        <f>Y7</f>
        <v>3.6</v>
      </c>
      <c r="Y1303" s="114" t="str">
        <f>X7</f>
        <v>g</v>
      </c>
      <c r="Z1303" s="114">
        <v>5</v>
      </c>
      <c r="AA1303" s="114">
        <f t="shared" si="310"/>
        <v>18</v>
      </c>
      <c r="AB1303" s="114">
        <v>0</v>
      </c>
      <c r="AC1303" s="114">
        <f t="shared" si="311"/>
        <v>0</v>
      </c>
      <c r="AD1303" s="114">
        <f t="shared" si="312"/>
        <v>5</v>
      </c>
      <c r="AE1303" s="114">
        <f t="shared" si="313"/>
        <v>18</v>
      </c>
    </row>
    <row r="1304" spans="3:31" s="29" customFormat="1" x14ac:dyDescent="0.25">
      <c r="C1304" s="990" t="s">
        <v>4</v>
      </c>
      <c r="D1304" s="990"/>
      <c r="E1304" s="990"/>
      <c r="F1304" s="991" t="s">
        <v>15</v>
      </c>
      <c r="G1304" s="991"/>
      <c r="H1304" s="991"/>
      <c r="I1304" s="991"/>
      <c r="J1304" s="991"/>
      <c r="M1304" s="114"/>
      <c r="N1304" s="114"/>
      <c r="O1304" s="114" t="s">
        <v>342</v>
      </c>
      <c r="P1304" s="114"/>
      <c r="Q1304" s="114"/>
      <c r="R1304" s="114"/>
      <c r="S1304" s="114"/>
      <c r="T1304" s="114"/>
      <c r="U1304" s="114"/>
      <c r="W1304" s="114" t="s">
        <v>444</v>
      </c>
      <c r="X1304" s="114">
        <f>AE3</f>
        <v>49.18</v>
      </c>
      <c r="Y1304" s="114" t="str">
        <f>AD3</f>
        <v>mL</v>
      </c>
      <c r="Z1304" s="114">
        <v>20</v>
      </c>
      <c r="AA1304" s="114">
        <f t="shared" si="310"/>
        <v>983.6</v>
      </c>
      <c r="AB1304" s="114">
        <v>0</v>
      </c>
      <c r="AC1304" s="114">
        <f t="shared" si="311"/>
        <v>0</v>
      </c>
      <c r="AD1304" s="114">
        <f t="shared" si="312"/>
        <v>20</v>
      </c>
      <c r="AE1304" s="114">
        <f t="shared" si="313"/>
        <v>983.6</v>
      </c>
    </row>
    <row r="1305" spans="3:31" s="29" customFormat="1" x14ac:dyDescent="0.25">
      <c r="C1305" s="990"/>
      <c r="D1305" s="990"/>
      <c r="E1305" s="990"/>
      <c r="F1305" s="991"/>
      <c r="G1305" s="991"/>
      <c r="H1305" s="991"/>
      <c r="I1305" s="991"/>
      <c r="J1305" s="991"/>
      <c r="M1305" s="114"/>
      <c r="N1305" s="114"/>
      <c r="O1305" s="114" t="s">
        <v>342</v>
      </c>
      <c r="P1305" s="114"/>
      <c r="Q1305" s="114"/>
      <c r="R1305" s="114"/>
      <c r="S1305" s="114"/>
      <c r="T1305" s="114"/>
      <c r="U1305" s="114"/>
      <c r="W1305" s="114" t="s">
        <v>432</v>
      </c>
      <c r="X1305" s="114">
        <f>S8</f>
        <v>59</v>
      </c>
      <c r="Y1305" s="114" t="str">
        <f>R8</f>
        <v>g</v>
      </c>
      <c r="Z1305" s="114">
        <v>35</v>
      </c>
      <c r="AA1305" s="114">
        <f t="shared" si="310"/>
        <v>2065</v>
      </c>
      <c r="AB1305" s="114">
        <f>AN4</f>
        <v>0.41</v>
      </c>
      <c r="AC1305" s="114">
        <f t="shared" si="311"/>
        <v>14.35</v>
      </c>
      <c r="AD1305" s="114">
        <f t="shared" si="312"/>
        <v>20.65</v>
      </c>
      <c r="AE1305" s="114">
        <f t="shared" si="313"/>
        <v>2911.65</v>
      </c>
    </row>
    <row r="1306" spans="3:31" s="29" customFormat="1" x14ac:dyDescent="0.25">
      <c r="C1306" s="990"/>
      <c r="D1306" s="990"/>
      <c r="E1306" s="990"/>
      <c r="F1306" s="991"/>
      <c r="G1306" s="991"/>
      <c r="H1306" s="991"/>
      <c r="I1306" s="991"/>
      <c r="J1306" s="991"/>
      <c r="M1306" s="114" t="s">
        <v>337</v>
      </c>
      <c r="N1306" s="114">
        <f>SUM(N1298:N1305)</f>
        <v>9509.4223984875516</v>
      </c>
      <c r="O1306" s="114"/>
      <c r="P1306" s="114">
        <f>SUM(P1298:P1305)</f>
        <v>382</v>
      </c>
      <c r="Q1306" s="114">
        <f>SUM(Q1298:Q1305)</f>
        <v>21009.162398487551</v>
      </c>
      <c r="R1306" s="114"/>
      <c r="S1306" s="114"/>
      <c r="T1306" s="114"/>
      <c r="U1306" s="114">
        <f>SUM(U1298:U1305)</f>
        <v>23529.762398487554</v>
      </c>
      <c r="W1306" s="114" t="s">
        <v>445</v>
      </c>
      <c r="X1306" s="114">
        <f>Y15</f>
        <v>159</v>
      </c>
      <c r="Y1306" s="114" t="str">
        <f>X15</f>
        <v>g</v>
      </c>
      <c r="Z1306" s="114">
        <v>10</v>
      </c>
      <c r="AA1306" s="114">
        <f t="shared" si="310"/>
        <v>1590</v>
      </c>
      <c r="AB1306" s="114">
        <v>0</v>
      </c>
      <c r="AC1306" s="114">
        <f t="shared" si="311"/>
        <v>0</v>
      </c>
      <c r="AD1306" s="114">
        <f t="shared" si="312"/>
        <v>10</v>
      </c>
      <c r="AE1306" s="114">
        <f t="shared" si="313"/>
        <v>1590</v>
      </c>
    </row>
    <row r="1307" spans="3:31" s="29" customFormat="1" x14ac:dyDescent="0.25">
      <c r="C1307" s="990" t="s">
        <v>5</v>
      </c>
      <c r="D1307" s="990"/>
      <c r="E1307" s="990"/>
      <c r="F1307" s="991" t="s">
        <v>159</v>
      </c>
      <c r="G1307" s="991"/>
      <c r="H1307" s="991"/>
      <c r="I1307" s="991"/>
      <c r="J1307" s="991"/>
      <c r="W1307" s="114" t="s">
        <v>340</v>
      </c>
      <c r="X1307" s="114">
        <f>Y20</f>
        <v>0.64</v>
      </c>
      <c r="Y1307" s="114" t="str">
        <f>X20</f>
        <v>g</v>
      </c>
      <c r="Z1307" s="114">
        <v>1</v>
      </c>
      <c r="AA1307" s="114">
        <f t="shared" si="310"/>
        <v>0.64</v>
      </c>
      <c r="AB1307" s="114">
        <v>0</v>
      </c>
      <c r="AC1307" s="114">
        <f t="shared" si="311"/>
        <v>0</v>
      </c>
      <c r="AD1307" s="114">
        <f t="shared" si="312"/>
        <v>1</v>
      </c>
      <c r="AE1307" s="114">
        <f t="shared" si="313"/>
        <v>0.64</v>
      </c>
    </row>
    <row r="1308" spans="3:31" s="29" customFormat="1" x14ac:dyDescent="0.25">
      <c r="C1308" s="990"/>
      <c r="D1308" s="990"/>
      <c r="E1308" s="990"/>
      <c r="F1308" s="991"/>
      <c r="G1308" s="991"/>
      <c r="H1308" s="991"/>
      <c r="I1308" s="991"/>
      <c r="J1308" s="991"/>
      <c r="Q1308" s="114" t="s">
        <v>1681</v>
      </c>
      <c r="R1308" s="114">
        <f>U1306</f>
        <v>23529.762398487554</v>
      </c>
      <c r="S1308" s="608" t="s">
        <v>2142</v>
      </c>
      <c r="T1308" s="608">
        <f>(R1308*100)/R1315</f>
        <v>53.448062954004222</v>
      </c>
      <c r="W1308" s="114" t="s">
        <v>337</v>
      </c>
      <c r="X1308" s="114">
        <f>SUM(X1299:X1307)</f>
        <v>527.49</v>
      </c>
      <c r="Y1308" s="114"/>
      <c r="Z1308" s="114">
        <f>SUM(Z1299:Z1307)</f>
        <v>165</v>
      </c>
      <c r="AA1308" s="114">
        <f>SUM(AA1299:AA1307)</f>
        <v>6360.6600000000008</v>
      </c>
      <c r="AB1308" s="114"/>
      <c r="AC1308" s="114"/>
      <c r="AD1308" s="114"/>
      <c r="AE1308" s="114">
        <f>SUM(AE1299:AE1307)</f>
        <v>7214.81</v>
      </c>
    </row>
    <row r="1309" spans="3:31" s="29" customFormat="1" x14ac:dyDescent="0.25">
      <c r="C1309" s="990"/>
      <c r="D1309" s="990"/>
      <c r="E1309" s="990"/>
      <c r="F1309" s="991"/>
      <c r="G1309" s="991"/>
      <c r="H1309" s="991"/>
      <c r="I1309" s="991"/>
      <c r="J1309" s="991"/>
      <c r="Q1309" s="114" t="s">
        <v>2326</v>
      </c>
      <c r="R1309" s="114">
        <f>$AL$26</f>
        <v>1801.715474357886</v>
      </c>
    </row>
    <row r="1310" spans="3:31" s="29" customFormat="1" x14ac:dyDescent="0.25">
      <c r="C1310" s="990" t="s">
        <v>6</v>
      </c>
      <c r="D1310" s="990"/>
      <c r="E1310" s="990"/>
      <c r="F1310" s="991" t="s">
        <v>9</v>
      </c>
      <c r="G1310" s="991"/>
      <c r="H1310" s="991"/>
      <c r="I1310" s="991"/>
      <c r="J1310" s="991"/>
      <c r="Q1310" s="114" t="s">
        <v>2325</v>
      </c>
      <c r="R1310" s="114">
        <f>$AL$27</f>
        <v>75.599999999999994</v>
      </c>
      <c r="AA1310" s="114" t="s">
        <v>1681</v>
      </c>
      <c r="AB1310" s="114">
        <f>AE1308</f>
        <v>7214.81</v>
      </c>
      <c r="AC1310" s="608" t="s">
        <v>2142</v>
      </c>
      <c r="AD1310" s="608">
        <f>(AB1310*100)/AB1317</f>
        <v>45.099047892012386</v>
      </c>
    </row>
    <row r="1311" spans="3:31" s="29" customFormat="1" x14ac:dyDescent="0.25">
      <c r="C1311" s="990"/>
      <c r="D1311" s="990"/>
      <c r="E1311" s="990"/>
      <c r="F1311" s="991"/>
      <c r="G1311" s="991"/>
      <c r="H1311" s="991"/>
      <c r="I1311" s="991"/>
      <c r="J1311" s="991"/>
      <c r="Q1311" s="114" t="s">
        <v>1684</v>
      </c>
      <c r="R1311" s="114">
        <f>$AL$29</f>
        <v>69.543532482306858</v>
      </c>
      <c r="AA1311" s="114" t="s">
        <v>2326</v>
      </c>
      <c r="AB1311" s="114">
        <f>$AO$26/2</f>
        <v>476.87414947063905</v>
      </c>
    </row>
    <row r="1312" spans="3:31" s="29" customFormat="1" x14ac:dyDescent="0.25">
      <c r="C1312" s="990"/>
      <c r="D1312" s="990"/>
      <c r="E1312" s="990"/>
      <c r="F1312" s="991"/>
      <c r="G1312" s="991"/>
      <c r="H1312" s="991"/>
      <c r="I1312" s="991"/>
      <c r="J1312" s="991"/>
      <c r="Q1312" s="114" t="s">
        <v>1685</v>
      </c>
      <c r="R1312" s="114">
        <v>0.6</v>
      </c>
      <c r="AA1312" s="114" t="s">
        <v>2325</v>
      </c>
      <c r="AB1312" s="114">
        <f>$AO$27/4</f>
        <v>18.899999999999999</v>
      </c>
    </row>
    <row r="1313" spans="3:41" s="29" customFormat="1" x14ac:dyDescent="0.25">
      <c r="C1313" s="990" t="s">
        <v>7</v>
      </c>
      <c r="D1313" s="990"/>
      <c r="E1313" s="990"/>
      <c r="F1313" s="991" t="s">
        <v>619</v>
      </c>
      <c r="G1313" s="991"/>
      <c r="H1313" s="991"/>
      <c r="I1313" s="991"/>
      <c r="J1313" s="991"/>
      <c r="Q1313" s="114" t="s">
        <v>1708</v>
      </c>
      <c r="R1313" s="114">
        <f>(SUM(R1308:R1311)*R1312)+SUM(R1308:R1311)</f>
        <v>40762.594248524394</v>
      </c>
      <c r="AA1313" s="114" t="s">
        <v>1684</v>
      </c>
      <c r="AB1313" s="114">
        <f>$AO$29</f>
        <v>1547.3435977313275</v>
      </c>
    </row>
    <row r="1314" spans="3:41" s="29" customFormat="1" x14ac:dyDescent="0.25">
      <c r="C1314" s="990"/>
      <c r="D1314" s="990"/>
      <c r="E1314" s="990"/>
      <c r="F1314" s="991"/>
      <c r="G1314" s="991"/>
      <c r="H1314" s="991"/>
      <c r="I1314" s="991"/>
      <c r="J1314" s="991"/>
      <c r="Q1314" s="114" t="s">
        <v>2130</v>
      </c>
      <c r="R1314" s="114">
        <f>R1313*0.08</f>
        <v>3261.0075398819517</v>
      </c>
      <c r="AA1314" s="114" t="s">
        <v>1685</v>
      </c>
      <c r="AB1314" s="114">
        <v>0.6</v>
      </c>
    </row>
    <row r="1315" spans="3:41" s="29" customFormat="1" x14ac:dyDescent="0.25">
      <c r="C1315" s="990"/>
      <c r="D1315" s="990"/>
      <c r="E1315" s="990"/>
      <c r="F1315" s="991"/>
      <c r="G1315" s="991"/>
      <c r="H1315" s="991"/>
      <c r="I1315" s="991"/>
      <c r="J1315" s="991"/>
      <c r="Q1315" s="114" t="s">
        <v>1686</v>
      </c>
      <c r="R1315" s="114">
        <f>SUM(R1313+R1314)</f>
        <v>44023.601788406348</v>
      </c>
      <c r="AA1315" s="114" t="s">
        <v>1708</v>
      </c>
      <c r="AB1315" s="114">
        <f>(SUM(AB1310:AB1313)*AB1314)+SUM(AB1310:AB1313)</f>
        <v>14812.684395523149</v>
      </c>
    </row>
    <row r="1316" spans="3:41" s="29" customFormat="1" x14ac:dyDescent="0.25">
      <c r="AA1316" s="114" t="s">
        <v>2130</v>
      </c>
      <c r="AB1316" s="114">
        <f>AB1315*0.08</f>
        <v>1185.0147516418519</v>
      </c>
    </row>
    <row r="1317" spans="3:41" s="29" customFormat="1" x14ac:dyDescent="0.25">
      <c r="AA1317" s="114" t="s">
        <v>1686</v>
      </c>
      <c r="AB1317" s="114">
        <f>SUM(AB1315+AB1316)</f>
        <v>15997.699147165</v>
      </c>
    </row>
    <row r="1318" spans="3:41" s="29" customFormat="1" x14ac:dyDescent="0.25"/>
    <row r="1319" spans="3:41" s="29" customFormat="1" x14ac:dyDescent="0.25"/>
    <row r="1320" spans="3:41" s="29" customFormat="1" x14ac:dyDescent="0.25">
      <c r="C1320" s="993" t="s">
        <v>8</v>
      </c>
      <c r="D1320" s="993"/>
      <c r="E1320" s="993"/>
      <c r="F1320" s="993"/>
      <c r="G1320" s="993"/>
      <c r="H1320" s="993"/>
      <c r="I1320" s="993"/>
      <c r="J1320" s="993"/>
    </row>
    <row r="1321" spans="3:41" s="29" customFormat="1" x14ac:dyDescent="0.25">
      <c r="C1321" s="989" t="s">
        <v>0</v>
      </c>
      <c r="D1321" s="989"/>
      <c r="E1321" s="989"/>
      <c r="F1321" s="989" t="s">
        <v>1</v>
      </c>
      <c r="G1321" s="989"/>
      <c r="H1321" s="989"/>
      <c r="I1321" s="989"/>
      <c r="J1321" s="989"/>
    </row>
    <row r="1322" spans="3:41" s="29" customFormat="1" x14ac:dyDescent="0.25">
      <c r="C1322" s="990" t="s">
        <v>2</v>
      </c>
      <c r="D1322" s="990"/>
      <c r="E1322" s="990"/>
      <c r="F1322" s="991" t="s">
        <v>146</v>
      </c>
      <c r="G1322" s="991"/>
      <c r="H1322" s="991"/>
      <c r="I1322" s="991"/>
      <c r="J1322" s="991"/>
      <c r="M1322" s="113" t="s">
        <v>336</v>
      </c>
      <c r="N1322" s="113" t="s">
        <v>174</v>
      </c>
      <c r="O1322" s="113" t="s">
        <v>248</v>
      </c>
      <c r="P1322" s="113" t="s">
        <v>176</v>
      </c>
      <c r="Q1322" s="113" t="s">
        <v>337</v>
      </c>
      <c r="R1322" s="113" t="s">
        <v>1641</v>
      </c>
      <c r="S1322" s="113" t="s">
        <v>1642</v>
      </c>
      <c r="T1322" s="113" t="s">
        <v>1643</v>
      </c>
      <c r="U1322" s="113" t="s">
        <v>1644</v>
      </c>
      <c r="W1322" s="994" t="s">
        <v>1456</v>
      </c>
      <c r="X1322" s="994"/>
      <c r="Y1322" s="994"/>
      <c r="Z1322" s="994"/>
      <c r="AA1322" s="994"/>
      <c r="AB1322" s="994"/>
      <c r="AC1322" s="994"/>
      <c r="AD1322" s="994"/>
      <c r="AE1322" s="994"/>
      <c r="AG1322" s="985" t="s">
        <v>1461</v>
      </c>
      <c r="AH1322" s="986"/>
      <c r="AI1322" s="986"/>
      <c r="AJ1322" s="986"/>
      <c r="AK1322" s="986"/>
      <c r="AL1322" s="986"/>
      <c r="AM1322" s="986"/>
      <c r="AN1322" s="986"/>
      <c r="AO1322" s="987"/>
    </row>
    <row r="1323" spans="3:41" s="29" customFormat="1" x14ac:dyDescent="0.25">
      <c r="C1323" s="990"/>
      <c r="D1323" s="990"/>
      <c r="E1323" s="990"/>
      <c r="F1323" s="991"/>
      <c r="G1323" s="991"/>
      <c r="H1323" s="991"/>
      <c r="I1323" s="991"/>
      <c r="J1323" s="991"/>
      <c r="M1323" s="114" t="s">
        <v>344</v>
      </c>
      <c r="N1323" s="114">
        <f>E15</f>
        <v>2099.0723984875517</v>
      </c>
      <c r="O1323" s="114" t="str">
        <f>D15</f>
        <v>g</v>
      </c>
      <c r="P1323" s="114">
        <v>80</v>
      </c>
      <c r="Q1323" s="114">
        <f>N1323</f>
        <v>2099.0723984875517</v>
      </c>
      <c r="R1323" s="114">
        <v>0</v>
      </c>
      <c r="S1323" s="114">
        <f>P1323*R1323</f>
        <v>0</v>
      </c>
      <c r="T1323" s="114">
        <f>P1323-S1323</f>
        <v>80</v>
      </c>
      <c r="U1323" s="114">
        <f>Q1323+((S1323*Q1323)/P1323)</f>
        <v>2099.0723984875517</v>
      </c>
      <c r="W1323" s="113" t="s">
        <v>336</v>
      </c>
      <c r="X1323" s="113" t="s">
        <v>174</v>
      </c>
      <c r="Y1323" s="113" t="s">
        <v>248</v>
      </c>
      <c r="Z1323" s="113" t="s">
        <v>176</v>
      </c>
      <c r="AA1323" s="113" t="s">
        <v>337</v>
      </c>
      <c r="AB1323" s="113" t="s">
        <v>1641</v>
      </c>
      <c r="AC1323" s="113" t="s">
        <v>1642</v>
      </c>
      <c r="AD1323" s="113" t="s">
        <v>1643</v>
      </c>
      <c r="AE1323" s="113" t="s">
        <v>1644</v>
      </c>
      <c r="AG1323" s="113" t="s">
        <v>336</v>
      </c>
      <c r="AH1323" s="113" t="s">
        <v>174</v>
      </c>
      <c r="AI1323" s="113" t="s">
        <v>248</v>
      </c>
      <c r="AJ1323" s="113" t="s">
        <v>176</v>
      </c>
      <c r="AK1323" s="113" t="s">
        <v>337</v>
      </c>
      <c r="AL1323" s="301" t="s">
        <v>1641</v>
      </c>
      <c r="AM1323" s="301" t="s">
        <v>1642</v>
      </c>
      <c r="AN1323" s="301" t="s">
        <v>1643</v>
      </c>
      <c r="AO1323" s="301" t="s">
        <v>1644</v>
      </c>
    </row>
    <row r="1324" spans="3:41" s="29" customFormat="1" x14ac:dyDescent="0.25">
      <c r="C1324" s="990"/>
      <c r="D1324" s="990"/>
      <c r="E1324" s="990"/>
      <c r="F1324" s="991"/>
      <c r="G1324" s="991"/>
      <c r="H1324" s="991"/>
      <c r="I1324" s="991"/>
      <c r="J1324" s="991"/>
      <c r="M1324" s="114" t="s">
        <v>340</v>
      </c>
      <c r="N1324" s="114">
        <f>Y20</f>
        <v>0.64</v>
      </c>
      <c r="O1324" s="114" t="str">
        <f>X20</f>
        <v>g</v>
      </c>
      <c r="P1324" s="114">
        <v>2</v>
      </c>
      <c r="Q1324" s="114">
        <f t="shared" ref="Q1324:Q1333" si="314">N1324*P1324</f>
        <v>1.28</v>
      </c>
      <c r="R1324" s="114">
        <v>0</v>
      </c>
      <c r="S1324" s="114">
        <f t="shared" ref="S1324:S1333" si="315">P1324*R1324</f>
        <v>0</v>
      </c>
      <c r="T1324" s="114">
        <f t="shared" ref="T1324:T1333" si="316">P1324-S1324</f>
        <v>2</v>
      </c>
      <c r="U1324" s="114">
        <f t="shared" ref="U1324:U1333" si="317">Q1324+((S1324*Q1324)/P1324)</f>
        <v>1.28</v>
      </c>
      <c r="W1324" s="114" t="s">
        <v>347</v>
      </c>
      <c r="X1324" s="114">
        <f>V6</f>
        <v>28.76</v>
      </c>
      <c r="Y1324" s="114" t="str">
        <f>U6</f>
        <v>g</v>
      </c>
      <c r="Z1324" s="114">
        <v>30</v>
      </c>
      <c r="AA1324" s="114">
        <f>X1324*Z1324</f>
        <v>862.80000000000007</v>
      </c>
      <c r="AB1324" s="114">
        <v>0</v>
      </c>
      <c r="AC1324" s="114">
        <f>Z1324*AB1324</f>
        <v>0</v>
      </c>
      <c r="AD1324" s="114">
        <f>Z1324-AC1324</f>
        <v>30</v>
      </c>
      <c r="AE1324" s="114">
        <f>AA1324+((AC1324*AA1324)/Z1324)</f>
        <v>862.80000000000007</v>
      </c>
      <c r="AG1324" s="114" t="s">
        <v>430</v>
      </c>
      <c r="AH1324" s="114">
        <f>P10</f>
        <v>0.7</v>
      </c>
      <c r="AI1324" s="114" t="str">
        <f>O10</f>
        <v>g</v>
      </c>
      <c r="AJ1324" s="114">
        <v>20</v>
      </c>
      <c r="AK1324" s="114">
        <f t="shared" ref="AK1324:AK1332" si="318">AH1324*AJ1324</f>
        <v>14</v>
      </c>
      <c r="AL1324" s="114">
        <f>AJ7</f>
        <v>0.15</v>
      </c>
      <c r="AM1324" s="114">
        <f>AJ1324*AL1324</f>
        <v>3</v>
      </c>
      <c r="AN1324" s="114">
        <f>AJ1324-AM1324</f>
        <v>17</v>
      </c>
      <c r="AO1324" s="114">
        <f>AK1324+((AM1324*AK1324)/AJ1324)</f>
        <v>16.100000000000001</v>
      </c>
    </row>
    <row r="1325" spans="3:41" s="29" customFormat="1" x14ac:dyDescent="0.25">
      <c r="C1325" s="989" t="s">
        <v>0</v>
      </c>
      <c r="D1325" s="989"/>
      <c r="E1325" s="989"/>
      <c r="F1325" s="989" t="s">
        <v>1</v>
      </c>
      <c r="G1325" s="989"/>
      <c r="H1325" s="989"/>
      <c r="I1325" s="989"/>
      <c r="J1325" s="989"/>
      <c r="M1325" s="114" t="s">
        <v>349</v>
      </c>
      <c r="N1325" s="114">
        <f>S15</f>
        <v>41</v>
      </c>
      <c r="O1325" s="114" t="str">
        <f>R15</f>
        <v>g</v>
      </c>
      <c r="P1325" s="114">
        <v>40</v>
      </c>
      <c r="Q1325" s="114">
        <f t="shared" si="314"/>
        <v>1640</v>
      </c>
      <c r="R1325" s="114">
        <f>AN3</f>
        <v>0.47</v>
      </c>
      <c r="S1325" s="114">
        <f t="shared" si="315"/>
        <v>18.799999999999997</v>
      </c>
      <c r="T1325" s="114">
        <f t="shared" si="316"/>
        <v>21.200000000000003</v>
      </c>
      <c r="U1325" s="114">
        <f t="shared" si="317"/>
        <v>2410.8000000000002</v>
      </c>
      <c r="W1325" s="114" t="s">
        <v>546</v>
      </c>
      <c r="X1325" s="114">
        <f>AE3</f>
        <v>49.18</v>
      </c>
      <c r="Y1325" s="114" t="str">
        <f>AD3</f>
        <v>mL</v>
      </c>
      <c r="Z1325" s="114">
        <v>5</v>
      </c>
      <c r="AA1325" s="114">
        <f t="shared" ref="AA1325:AA1330" si="319">X1325*Z1325</f>
        <v>245.9</v>
      </c>
      <c r="AB1325" s="114">
        <v>0</v>
      </c>
      <c r="AC1325" s="114">
        <f t="shared" ref="AC1325:AC1330" si="320">Z1325*AB1325</f>
        <v>0</v>
      </c>
      <c r="AD1325" s="114">
        <f t="shared" ref="AD1325:AD1330" si="321">Z1325-AC1325</f>
        <v>5</v>
      </c>
      <c r="AE1325" s="114">
        <f t="shared" ref="AE1325:AE1330" si="322">AA1325+((AC1325*AA1325)/Z1325)</f>
        <v>245.9</v>
      </c>
      <c r="AG1325" s="114" t="s">
        <v>429</v>
      </c>
      <c r="AH1325" s="114">
        <f>P29</f>
        <v>1.8</v>
      </c>
      <c r="AI1325" s="114" t="str">
        <f>O29</f>
        <v>g</v>
      </c>
      <c r="AJ1325" s="114">
        <v>60</v>
      </c>
      <c r="AK1325" s="114">
        <f t="shared" si="318"/>
        <v>108</v>
      </c>
      <c r="AL1325" s="114">
        <f>AJ18</f>
        <v>0.05</v>
      </c>
      <c r="AM1325" s="114">
        <f t="shared" ref="AM1325:AM1332" si="323">AJ1325*AL1325</f>
        <v>3</v>
      </c>
      <c r="AN1325" s="114">
        <f t="shared" ref="AN1325:AN1332" si="324">AJ1325-AM1325</f>
        <v>57</v>
      </c>
      <c r="AO1325" s="114">
        <f t="shared" ref="AO1325:AO1332" si="325">AK1325+((AM1325*AK1325)/AJ1325)</f>
        <v>113.4</v>
      </c>
    </row>
    <row r="1326" spans="3:41" s="29" customFormat="1" x14ac:dyDescent="0.25">
      <c r="C1326" s="990" t="s">
        <v>3</v>
      </c>
      <c r="D1326" s="990"/>
      <c r="E1326" s="990"/>
      <c r="F1326" s="991" t="s">
        <v>153</v>
      </c>
      <c r="G1326" s="991"/>
      <c r="H1326" s="991"/>
      <c r="I1326" s="991"/>
      <c r="J1326" s="991"/>
      <c r="M1326" s="114" t="s">
        <v>427</v>
      </c>
      <c r="N1326" s="114">
        <f>S8</f>
        <v>59</v>
      </c>
      <c r="O1326" s="114" t="str">
        <f>R8</f>
        <v>g</v>
      </c>
      <c r="P1326" s="114">
        <v>40</v>
      </c>
      <c r="Q1326" s="114">
        <f t="shared" si="314"/>
        <v>2360</v>
      </c>
      <c r="R1326" s="114">
        <f>AN4</f>
        <v>0.41</v>
      </c>
      <c r="S1326" s="114">
        <f t="shared" si="315"/>
        <v>16.399999999999999</v>
      </c>
      <c r="T1326" s="114">
        <f t="shared" si="316"/>
        <v>23.6</v>
      </c>
      <c r="U1326" s="114">
        <f t="shared" si="317"/>
        <v>3327.6</v>
      </c>
      <c r="W1326" s="114" t="s">
        <v>346</v>
      </c>
      <c r="X1326" s="114">
        <f>P3</f>
        <v>7</v>
      </c>
      <c r="Y1326" s="114" t="str">
        <f>O3</f>
        <v>g</v>
      </c>
      <c r="Z1326" s="114">
        <v>12</v>
      </c>
      <c r="AA1326" s="114">
        <f t="shared" si="319"/>
        <v>84</v>
      </c>
      <c r="AB1326" s="114">
        <f>AJ2</f>
        <v>0.23</v>
      </c>
      <c r="AC1326" s="114">
        <f t="shared" si="320"/>
        <v>2.7600000000000002</v>
      </c>
      <c r="AD1326" s="114">
        <f t="shared" si="321"/>
        <v>9.24</v>
      </c>
      <c r="AE1326" s="114">
        <f t="shared" si="322"/>
        <v>103.32000000000001</v>
      </c>
      <c r="AG1326" s="114" t="s">
        <v>442</v>
      </c>
      <c r="AH1326" s="114">
        <f>Y3</f>
        <v>30</v>
      </c>
      <c r="AI1326" s="114" t="str">
        <f>X3</f>
        <v>g</v>
      </c>
      <c r="AJ1326" s="114">
        <v>8</v>
      </c>
      <c r="AK1326" s="114">
        <f t="shared" si="318"/>
        <v>240</v>
      </c>
      <c r="AL1326" s="114">
        <v>0</v>
      </c>
      <c r="AM1326" s="114">
        <f t="shared" si="323"/>
        <v>0</v>
      </c>
      <c r="AN1326" s="114">
        <f t="shared" si="324"/>
        <v>8</v>
      </c>
      <c r="AO1326" s="114">
        <f t="shared" si="325"/>
        <v>240</v>
      </c>
    </row>
    <row r="1327" spans="3:41" s="29" customFormat="1" x14ac:dyDescent="0.25">
      <c r="C1327" s="990"/>
      <c r="D1327" s="990"/>
      <c r="E1327" s="990"/>
      <c r="F1327" s="991"/>
      <c r="G1327" s="991"/>
      <c r="H1327" s="991"/>
      <c r="I1327" s="991"/>
      <c r="J1327" s="991"/>
      <c r="M1327" s="114" t="s">
        <v>484</v>
      </c>
      <c r="N1327" s="114">
        <f>S7</f>
        <v>54</v>
      </c>
      <c r="O1327" s="114" t="str">
        <f>R7</f>
        <v>g</v>
      </c>
      <c r="P1327" s="114">
        <v>40</v>
      </c>
      <c r="Q1327" s="114">
        <f t="shared" si="314"/>
        <v>2160</v>
      </c>
      <c r="R1327" s="114">
        <f>AN2</f>
        <v>0.33</v>
      </c>
      <c r="S1327" s="114">
        <f t="shared" si="315"/>
        <v>13.200000000000001</v>
      </c>
      <c r="T1327" s="114">
        <f t="shared" si="316"/>
        <v>26.799999999999997</v>
      </c>
      <c r="U1327" s="114">
        <f t="shared" si="317"/>
        <v>2872.8</v>
      </c>
      <c r="W1327" s="114" t="s">
        <v>348</v>
      </c>
      <c r="X1327" s="114">
        <f>V2</f>
        <v>13.11</v>
      </c>
      <c r="Y1327" s="114" t="str">
        <f>U2</f>
        <v>g</v>
      </c>
      <c r="Z1327" s="114">
        <v>60</v>
      </c>
      <c r="AA1327" s="114">
        <f t="shared" si="319"/>
        <v>786.59999999999991</v>
      </c>
      <c r="AB1327" s="114">
        <v>0</v>
      </c>
      <c r="AC1327" s="114">
        <f t="shared" si="320"/>
        <v>0</v>
      </c>
      <c r="AD1327" s="114">
        <f t="shared" si="321"/>
        <v>60</v>
      </c>
      <c r="AE1327" s="114">
        <f t="shared" si="322"/>
        <v>786.59999999999991</v>
      </c>
      <c r="AG1327" s="114" t="s">
        <v>561</v>
      </c>
      <c r="AH1327" s="114">
        <f>Y18</f>
        <v>223.57</v>
      </c>
      <c r="AI1327" s="114" t="str">
        <f>X18</f>
        <v>g</v>
      </c>
      <c r="AJ1327" s="114">
        <v>6</v>
      </c>
      <c r="AK1327" s="114">
        <f t="shared" si="318"/>
        <v>1341.42</v>
      </c>
      <c r="AL1327" s="114">
        <v>0</v>
      </c>
      <c r="AM1327" s="114">
        <f t="shared" si="323"/>
        <v>0</v>
      </c>
      <c r="AN1327" s="114">
        <f t="shared" si="324"/>
        <v>6</v>
      </c>
      <c r="AO1327" s="114">
        <f t="shared" si="325"/>
        <v>1341.42</v>
      </c>
    </row>
    <row r="1328" spans="3:41" s="29" customFormat="1" x14ac:dyDescent="0.25">
      <c r="C1328" s="990"/>
      <c r="D1328" s="990"/>
      <c r="E1328" s="990"/>
      <c r="F1328" s="991"/>
      <c r="G1328" s="991"/>
      <c r="H1328" s="991"/>
      <c r="I1328" s="991"/>
      <c r="J1328" s="991"/>
      <c r="M1328" s="114" t="s">
        <v>620</v>
      </c>
      <c r="N1328" s="114">
        <f>V12</f>
        <v>25.98</v>
      </c>
      <c r="O1328" s="114" t="str">
        <f>U12</f>
        <v>g</v>
      </c>
      <c r="P1328" s="114">
        <v>60</v>
      </c>
      <c r="Q1328" s="114">
        <f t="shared" si="314"/>
        <v>1558.8</v>
      </c>
      <c r="R1328" s="114">
        <v>0</v>
      </c>
      <c r="S1328" s="114">
        <f t="shared" si="315"/>
        <v>0</v>
      </c>
      <c r="T1328" s="114">
        <f t="shared" si="316"/>
        <v>60</v>
      </c>
      <c r="U1328" s="114">
        <f t="shared" si="317"/>
        <v>1558.8</v>
      </c>
      <c r="W1328" s="114" t="s">
        <v>433</v>
      </c>
      <c r="X1328" s="114">
        <f>Y18</f>
        <v>223.57</v>
      </c>
      <c r="Y1328" s="114" t="str">
        <f>X18</f>
        <v>g</v>
      </c>
      <c r="Z1328" s="114">
        <v>8</v>
      </c>
      <c r="AA1328" s="114">
        <f t="shared" si="319"/>
        <v>1788.56</v>
      </c>
      <c r="AB1328" s="114">
        <v>0</v>
      </c>
      <c r="AC1328" s="114">
        <f t="shared" si="320"/>
        <v>0</v>
      </c>
      <c r="AD1328" s="114">
        <f t="shared" si="321"/>
        <v>8</v>
      </c>
      <c r="AE1328" s="114">
        <f t="shared" si="322"/>
        <v>1788.56</v>
      </c>
      <c r="AG1328" s="114" t="s">
        <v>443</v>
      </c>
      <c r="AH1328" s="114">
        <f>Y7</f>
        <v>3.6</v>
      </c>
      <c r="AI1328" s="114" t="str">
        <f>X7</f>
        <v>g</v>
      </c>
      <c r="AJ1328" s="114">
        <v>5</v>
      </c>
      <c r="AK1328" s="114">
        <f t="shared" si="318"/>
        <v>18</v>
      </c>
      <c r="AL1328" s="114">
        <v>0</v>
      </c>
      <c r="AM1328" s="114">
        <f t="shared" si="323"/>
        <v>0</v>
      </c>
      <c r="AN1328" s="114">
        <f t="shared" si="324"/>
        <v>5</v>
      </c>
      <c r="AO1328" s="114">
        <f t="shared" si="325"/>
        <v>18</v>
      </c>
    </row>
    <row r="1329" spans="3:41" s="29" customFormat="1" x14ac:dyDescent="0.25">
      <c r="C1329" s="990" t="s">
        <v>4</v>
      </c>
      <c r="D1329" s="990"/>
      <c r="E1329" s="990"/>
      <c r="F1329" s="991" t="s">
        <v>15</v>
      </c>
      <c r="G1329" s="991"/>
      <c r="H1329" s="991"/>
      <c r="I1329" s="991"/>
      <c r="J1329" s="991"/>
      <c r="M1329" s="114" t="s">
        <v>353</v>
      </c>
      <c r="N1329" s="114">
        <f>AE1331</f>
        <v>5944.7800000000007</v>
      </c>
      <c r="O1329" s="114" t="s">
        <v>1388</v>
      </c>
      <c r="P1329" s="114">
        <v>120</v>
      </c>
      <c r="Q1329" s="114">
        <f>N1329</f>
        <v>5944.7800000000007</v>
      </c>
      <c r="R1329" s="114">
        <v>0</v>
      </c>
      <c r="S1329" s="114">
        <f t="shared" si="315"/>
        <v>0</v>
      </c>
      <c r="T1329" s="114">
        <f t="shared" si="316"/>
        <v>120</v>
      </c>
      <c r="U1329" s="114">
        <f t="shared" si="317"/>
        <v>5944.7800000000007</v>
      </c>
      <c r="W1329" s="114" t="s">
        <v>547</v>
      </c>
      <c r="X1329" s="114">
        <f>V13</f>
        <v>81.900000000000006</v>
      </c>
      <c r="Y1329" s="114" t="str">
        <f>U13</f>
        <v>g</v>
      </c>
      <c r="Z1329" s="114">
        <v>20</v>
      </c>
      <c r="AA1329" s="114">
        <f t="shared" si="319"/>
        <v>1638</v>
      </c>
      <c r="AB1329" s="114">
        <v>0</v>
      </c>
      <c r="AC1329" s="114">
        <f t="shared" si="320"/>
        <v>0</v>
      </c>
      <c r="AD1329" s="114">
        <f t="shared" si="321"/>
        <v>20</v>
      </c>
      <c r="AE1329" s="114">
        <f t="shared" si="322"/>
        <v>1638</v>
      </c>
      <c r="AG1329" s="114" t="s">
        <v>444</v>
      </c>
      <c r="AH1329" s="114">
        <f>AE3</f>
        <v>49.18</v>
      </c>
      <c r="AI1329" s="114" t="str">
        <f>AD3</f>
        <v>mL</v>
      </c>
      <c r="AJ1329" s="114">
        <v>20</v>
      </c>
      <c r="AK1329" s="114">
        <f t="shared" si="318"/>
        <v>983.6</v>
      </c>
      <c r="AL1329" s="114">
        <v>0</v>
      </c>
      <c r="AM1329" s="114">
        <f t="shared" si="323"/>
        <v>0</v>
      </c>
      <c r="AN1329" s="114">
        <f t="shared" si="324"/>
        <v>20</v>
      </c>
      <c r="AO1329" s="114">
        <f t="shared" si="325"/>
        <v>983.6</v>
      </c>
    </row>
    <row r="1330" spans="3:41" s="29" customFormat="1" x14ac:dyDescent="0.25">
      <c r="C1330" s="990"/>
      <c r="D1330" s="990"/>
      <c r="E1330" s="990"/>
      <c r="F1330" s="991"/>
      <c r="G1330" s="991"/>
      <c r="H1330" s="991"/>
      <c r="I1330" s="991"/>
      <c r="J1330" s="991"/>
      <c r="M1330" s="114" t="s">
        <v>441</v>
      </c>
      <c r="N1330" s="114">
        <f>AO1333</f>
        <v>7214.81</v>
      </c>
      <c r="O1330" s="114" t="s">
        <v>1388</v>
      </c>
      <c r="P1330" s="114">
        <v>120</v>
      </c>
      <c r="Q1330" s="114">
        <f>N1330</f>
        <v>7214.81</v>
      </c>
      <c r="R1330" s="114">
        <v>0</v>
      </c>
      <c r="S1330" s="114">
        <f t="shared" si="315"/>
        <v>0</v>
      </c>
      <c r="T1330" s="114">
        <f t="shared" si="316"/>
        <v>120</v>
      </c>
      <c r="U1330" s="114">
        <f t="shared" si="317"/>
        <v>7214.81</v>
      </c>
      <c r="W1330" s="114" t="s">
        <v>462</v>
      </c>
      <c r="X1330" s="114">
        <f>V12</f>
        <v>25.98</v>
      </c>
      <c r="Y1330" s="114" t="str">
        <f>U12</f>
        <v>g</v>
      </c>
      <c r="Z1330" s="114">
        <v>20</v>
      </c>
      <c r="AA1330" s="114">
        <f t="shared" si="319"/>
        <v>519.6</v>
      </c>
      <c r="AB1330" s="114">
        <v>0</v>
      </c>
      <c r="AC1330" s="114">
        <f t="shared" si="320"/>
        <v>0</v>
      </c>
      <c r="AD1330" s="114">
        <f t="shared" si="321"/>
        <v>20</v>
      </c>
      <c r="AE1330" s="114">
        <f t="shared" si="322"/>
        <v>519.6</v>
      </c>
      <c r="AG1330" s="114" t="s">
        <v>432</v>
      </c>
      <c r="AH1330" s="114">
        <f>S8</f>
        <v>59</v>
      </c>
      <c r="AI1330" s="114" t="str">
        <f>R8</f>
        <v>g</v>
      </c>
      <c r="AJ1330" s="114">
        <v>35</v>
      </c>
      <c r="AK1330" s="114">
        <f t="shared" si="318"/>
        <v>2065</v>
      </c>
      <c r="AL1330" s="114">
        <f>AN4</f>
        <v>0.41</v>
      </c>
      <c r="AM1330" s="114">
        <f t="shared" si="323"/>
        <v>14.35</v>
      </c>
      <c r="AN1330" s="114">
        <f t="shared" si="324"/>
        <v>20.65</v>
      </c>
      <c r="AO1330" s="114">
        <f t="shared" si="325"/>
        <v>2911.65</v>
      </c>
    </row>
    <row r="1331" spans="3:41" s="29" customFormat="1" x14ac:dyDescent="0.25">
      <c r="C1331" s="990"/>
      <c r="D1331" s="990"/>
      <c r="E1331" s="990"/>
      <c r="F1331" s="991"/>
      <c r="G1331" s="991"/>
      <c r="H1331" s="991"/>
      <c r="I1331" s="991"/>
      <c r="J1331" s="991"/>
      <c r="M1331" s="114" t="s">
        <v>438</v>
      </c>
      <c r="N1331" s="114">
        <f>S14</f>
        <v>72.95</v>
      </c>
      <c r="O1331" s="114" t="str">
        <f>R14</f>
        <v>g</v>
      </c>
      <c r="P1331" s="114">
        <v>30</v>
      </c>
      <c r="Q1331" s="114">
        <f t="shared" si="314"/>
        <v>2188.5</v>
      </c>
      <c r="R1331" s="114">
        <v>0</v>
      </c>
      <c r="S1331" s="114">
        <f t="shared" si="315"/>
        <v>0</v>
      </c>
      <c r="T1331" s="114">
        <f t="shared" si="316"/>
        <v>30</v>
      </c>
      <c r="U1331" s="114">
        <f t="shared" si="317"/>
        <v>2188.5</v>
      </c>
      <c r="W1331" s="114" t="s">
        <v>337</v>
      </c>
      <c r="X1331" s="114">
        <f>SUM(X1324:X1330)</f>
        <v>429.5</v>
      </c>
      <c r="Y1331" s="114"/>
      <c r="Z1331" s="114">
        <f>SUM(Z1324:Z1330)</f>
        <v>155</v>
      </c>
      <c r="AA1331" s="114">
        <f>SUM(AA1324:AA1330)</f>
        <v>5925.46</v>
      </c>
      <c r="AB1331" s="114"/>
      <c r="AC1331" s="114"/>
      <c r="AD1331" s="114"/>
      <c r="AE1331" s="114">
        <f>SUM(AE1324:AE1330)</f>
        <v>5944.7800000000007</v>
      </c>
      <c r="AG1331" s="114" t="s">
        <v>445</v>
      </c>
      <c r="AH1331" s="114">
        <f>Y15</f>
        <v>159</v>
      </c>
      <c r="AI1331" s="114" t="str">
        <f>X15</f>
        <v>g</v>
      </c>
      <c r="AJ1331" s="114">
        <v>10</v>
      </c>
      <c r="AK1331" s="114">
        <f t="shared" si="318"/>
        <v>1590</v>
      </c>
      <c r="AL1331" s="114">
        <v>0</v>
      </c>
      <c r="AM1331" s="114">
        <f t="shared" si="323"/>
        <v>0</v>
      </c>
      <c r="AN1331" s="114">
        <f t="shared" si="324"/>
        <v>10</v>
      </c>
      <c r="AO1331" s="114">
        <f t="shared" si="325"/>
        <v>1590</v>
      </c>
    </row>
    <row r="1332" spans="3:41" s="29" customFormat="1" x14ac:dyDescent="0.25">
      <c r="C1332" s="990" t="s">
        <v>5</v>
      </c>
      <c r="D1332" s="990"/>
      <c r="E1332" s="990"/>
      <c r="F1332" s="991" t="s">
        <v>160</v>
      </c>
      <c r="G1332" s="991"/>
      <c r="H1332" s="991"/>
      <c r="I1332" s="991"/>
      <c r="J1332" s="991"/>
      <c r="M1332" s="114" t="s">
        <v>458</v>
      </c>
      <c r="N1332" s="114">
        <f>S10</f>
        <v>32.46</v>
      </c>
      <c r="O1332" s="114" t="str">
        <f>R10</f>
        <v>g</v>
      </c>
      <c r="P1332" s="114">
        <v>30</v>
      </c>
      <c r="Q1332" s="114">
        <f t="shared" si="314"/>
        <v>973.80000000000007</v>
      </c>
      <c r="R1332" s="114">
        <v>0</v>
      </c>
      <c r="S1332" s="114">
        <f t="shared" si="315"/>
        <v>0</v>
      </c>
      <c r="T1332" s="114">
        <f t="shared" si="316"/>
        <v>30</v>
      </c>
      <c r="U1332" s="114">
        <f t="shared" si="317"/>
        <v>973.80000000000007</v>
      </c>
      <c r="AG1332" s="114" t="s">
        <v>340</v>
      </c>
      <c r="AH1332" s="114">
        <f>Y20</f>
        <v>0.64</v>
      </c>
      <c r="AI1332" s="114" t="str">
        <f>X20</f>
        <v>g</v>
      </c>
      <c r="AJ1332" s="114">
        <v>1</v>
      </c>
      <c r="AK1332" s="114">
        <f t="shared" si="318"/>
        <v>0.64</v>
      </c>
      <c r="AL1332" s="114">
        <v>0</v>
      </c>
      <c r="AM1332" s="114">
        <f t="shared" si="323"/>
        <v>0</v>
      </c>
      <c r="AN1332" s="114">
        <f t="shared" si="324"/>
        <v>1</v>
      </c>
      <c r="AO1332" s="114">
        <f t="shared" si="325"/>
        <v>0.64</v>
      </c>
    </row>
    <row r="1333" spans="3:41" s="29" customFormat="1" x14ac:dyDescent="0.25">
      <c r="C1333" s="990"/>
      <c r="D1333" s="990"/>
      <c r="E1333" s="990"/>
      <c r="F1333" s="991"/>
      <c r="G1333" s="991"/>
      <c r="H1333" s="991"/>
      <c r="I1333" s="991"/>
      <c r="J1333" s="991"/>
      <c r="M1333" s="114" t="s">
        <v>463</v>
      </c>
      <c r="N1333" s="114">
        <f>Y13+Y21</f>
        <v>239.9</v>
      </c>
      <c r="O1333" s="114" t="str">
        <f>X21</f>
        <v>g</v>
      </c>
      <c r="P1333" s="114">
        <v>15</v>
      </c>
      <c r="Q1333" s="114">
        <f t="shared" si="314"/>
        <v>3598.5</v>
      </c>
      <c r="R1333" s="114">
        <v>0</v>
      </c>
      <c r="S1333" s="114">
        <f t="shared" si="315"/>
        <v>0</v>
      </c>
      <c r="T1333" s="114">
        <f t="shared" si="316"/>
        <v>15</v>
      </c>
      <c r="U1333" s="114">
        <f t="shared" si="317"/>
        <v>3598.5</v>
      </c>
      <c r="AA1333" s="114" t="s">
        <v>1681</v>
      </c>
      <c r="AB1333" s="114">
        <f>AE1331</f>
        <v>5944.7800000000007</v>
      </c>
      <c r="AC1333" s="608" t="s">
        <v>2142</v>
      </c>
      <c r="AD1333" s="608">
        <f>(AB1333*100)/AB1340</f>
        <v>43.068480751506549</v>
      </c>
      <c r="AG1333" s="114" t="s">
        <v>337</v>
      </c>
      <c r="AH1333" s="114">
        <f>SUM(AH1324:AH1332)</f>
        <v>527.49</v>
      </c>
      <c r="AI1333" s="114"/>
      <c r="AJ1333" s="114">
        <f>SUM(AJ1324:AJ1332)</f>
        <v>165</v>
      </c>
      <c r="AK1333" s="114">
        <f>SUM(AK1324:AK1332)</f>
        <v>6360.6600000000008</v>
      </c>
      <c r="AL1333" s="114"/>
      <c r="AM1333" s="114"/>
      <c r="AN1333" s="114"/>
      <c r="AO1333" s="114">
        <f>SUM(AO1324:AO1332)</f>
        <v>7214.81</v>
      </c>
    </row>
    <row r="1334" spans="3:41" s="29" customFormat="1" x14ac:dyDescent="0.25">
      <c r="C1334" s="990"/>
      <c r="D1334" s="990"/>
      <c r="E1334" s="990"/>
      <c r="F1334" s="991"/>
      <c r="G1334" s="991"/>
      <c r="H1334" s="991"/>
      <c r="I1334" s="991"/>
      <c r="J1334" s="991"/>
      <c r="M1334" s="114"/>
      <c r="N1334" s="114"/>
      <c r="O1334" s="114"/>
      <c r="P1334" s="114"/>
      <c r="Q1334" s="114"/>
      <c r="R1334" s="114"/>
      <c r="S1334" s="114"/>
      <c r="T1334" s="114"/>
      <c r="U1334" s="114"/>
      <c r="AA1334" s="114" t="s">
        <v>2326</v>
      </c>
      <c r="AB1334" s="114">
        <f>$AO$26/2</f>
        <v>476.87414947063905</v>
      </c>
    </row>
    <row r="1335" spans="3:41" s="29" customFormat="1" x14ac:dyDescent="0.25">
      <c r="C1335" s="990" t="s">
        <v>6</v>
      </c>
      <c r="D1335" s="990"/>
      <c r="E1335" s="990"/>
      <c r="F1335" s="991" t="s">
        <v>9</v>
      </c>
      <c r="G1335" s="991"/>
      <c r="H1335" s="991"/>
      <c r="I1335" s="991"/>
      <c r="J1335" s="991"/>
      <c r="M1335" s="114" t="s">
        <v>337</v>
      </c>
      <c r="N1335" s="114">
        <f>SUM(N1323:N1334)</f>
        <v>15784.592398487554</v>
      </c>
      <c r="O1335" s="114"/>
      <c r="P1335" s="114">
        <f>SUM(P1323:P1334)</f>
        <v>577</v>
      </c>
      <c r="Q1335" s="114">
        <f>SUM(Q1323:Q1334)</f>
        <v>29739.542398487552</v>
      </c>
      <c r="R1335" s="114"/>
      <c r="S1335" s="114"/>
      <c r="T1335" s="114"/>
      <c r="U1335" s="114">
        <f>SUM(U1323:U1334)</f>
        <v>32190.74239848755</v>
      </c>
      <c r="AA1335" s="114" t="s">
        <v>2325</v>
      </c>
      <c r="AB1335" s="114">
        <f>$AO$27/4</f>
        <v>18.899999999999999</v>
      </c>
      <c r="AK1335" s="114" t="s">
        <v>1681</v>
      </c>
      <c r="AL1335" s="114">
        <f>AO1333</f>
        <v>7214.81</v>
      </c>
      <c r="AM1335" s="608" t="s">
        <v>2142</v>
      </c>
      <c r="AN1335" s="608">
        <f>(AL1335*100)/AL1342</f>
        <v>45.099047892012386</v>
      </c>
    </row>
    <row r="1336" spans="3:41" s="29" customFormat="1" x14ac:dyDescent="0.25">
      <c r="C1336" s="990"/>
      <c r="D1336" s="990"/>
      <c r="E1336" s="990"/>
      <c r="F1336" s="991"/>
      <c r="G1336" s="991"/>
      <c r="H1336" s="991"/>
      <c r="I1336" s="991"/>
      <c r="J1336" s="991"/>
      <c r="AA1336" s="114" t="s">
        <v>1684</v>
      </c>
      <c r="AB1336" s="114">
        <f>$AO$29</f>
        <v>1547.3435977313275</v>
      </c>
      <c r="AK1336" s="114" t="s">
        <v>2326</v>
      </c>
      <c r="AL1336" s="114">
        <f>$AO$26/2</f>
        <v>476.87414947063905</v>
      </c>
    </row>
    <row r="1337" spans="3:41" s="29" customFormat="1" x14ac:dyDescent="0.25">
      <c r="C1337" s="990"/>
      <c r="D1337" s="990"/>
      <c r="E1337" s="990"/>
      <c r="F1337" s="991"/>
      <c r="G1337" s="991"/>
      <c r="H1337" s="991"/>
      <c r="I1337" s="991"/>
      <c r="J1337" s="991"/>
      <c r="Q1337" s="114" t="s">
        <v>1681</v>
      </c>
      <c r="R1337" s="114">
        <f>U1335</f>
        <v>32190.74239848755</v>
      </c>
      <c r="S1337" s="608" t="s">
        <v>2142</v>
      </c>
      <c r="T1337" s="608">
        <f>(R1337*100)/R1344</f>
        <v>54.570037390117392</v>
      </c>
      <c r="AA1337" s="114" t="s">
        <v>1685</v>
      </c>
      <c r="AB1337" s="114">
        <v>0.6</v>
      </c>
      <c r="AK1337" s="114" t="s">
        <v>2325</v>
      </c>
      <c r="AL1337" s="114">
        <f>$AO$27/4</f>
        <v>18.899999999999999</v>
      </c>
    </row>
    <row r="1338" spans="3:41" s="29" customFormat="1" x14ac:dyDescent="0.25">
      <c r="C1338" s="990" t="s">
        <v>7</v>
      </c>
      <c r="D1338" s="990"/>
      <c r="E1338" s="990"/>
      <c r="F1338" s="991" t="s">
        <v>956</v>
      </c>
      <c r="G1338" s="991"/>
      <c r="H1338" s="991"/>
      <c r="I1338" s="991"/>
      <c r="J1338" s="991"/>
      <c r="Q1338" s="114" t="s">
        <v>2326</v>
      </c>
      <c r="R1338" s="114">
        <f>$AL$26</f>
        <v>1801.715474357886</v>
      </c>
      <c r="AA1338" s="114" t="s">
        <v>1708</v>
      </c>
      <c r="AB1338" s="114">
        <f>(SUM(AB1333:AB1336)*AB1337)+SUM(AB1333:AB1336)</f>
        <v>12780.636395523146</v>
      </c>
      <c r="AK1338" s="114" t="s">
        <v>1684</v>
      </c>
      <c r="AL1338" s="114">
        <f>$AO$29</f>
        <v>1547.3435977313275</v>
      </c>
    </row>
    <row r="1339" spans="3:41" s="29" customFormat="1" x14ac:dyDescent="0.25">
      <c r="C1339" s="990"/>
      <c r="D1339" s="990"/>
      <c r="E1339" s="990"/>
      <c r="F1339" s="991"/>
      <c r="G1339" s="991"/>
      <c r="H1339" s="991"/>
      <c r="I1339" s="991"/>
      <c r="J1339" s="991"/>
      <c r="Q1339" s="114" t="s">
        <v>2325</v>
      </c>
      <c r="R1339" s="114">
        <f>$AL$27</f>
        <v>75.599999999999994</v>
      </c>
      <c r="AA1339" s="114" t="s">
        <v>2130</v>
      </c>
      <c r="AB1339" s="114">
        <f>AB1338*0.08</f>
        <v>1022.4509116418517</v>
      </c>
      <c r="AK1339" s="114" t="s">
        <v>1685</v>
      </c>
      <c r="AL1339" s="114">
        <v>0.6</v>
      </c>
    </row>
    <row r="1340" spans="3:41" s="29" customFormat="1" x14ac:dyDescent="0.25">
      <c r="C1340" s="990"/>
      <c r="D1340" s="990"/>
      <c r="E1340" s="990"/>
      <c r="F1340" s="991"/>
      <c r="G1340" s="991"/>
      <c r="H1340" s="991"/>
      <c r="I1340" s="991"/>
      <c r="J1340" s="991"/>
      <c r="Q1340" s="114" t="s">
        <v>1684</v>
      </c>
      <c r="R1340" s="114">
        <f>$AL$29</f>
        <v>69.543532482306858</v>
      </c>
      <c r="AA1340" s="114" t="s">
        <v>1686</v>
      </c>
      <c r="AB1340" s="114">
        <f>SUM(AB1338+AB1339)</f>
        <v>13803.087307164998</v>
      </c>
      <c r="AK1340" s="114" t="s">
        <v>1708</v>
      </c>
      <c r="AL1340" s="114">
        <f>(SUM(AL1335:AL1338)*AL1339)+SUM(AL1335:AL1338)</f>
        <v>14812.684395523149</v>
      </c>
    </row>
    <row r="1341" spans="3:41" s="29" customFormat="1" x14ac:dyDescent="0.25">
      <c r="Q1341" s="114" t="s">
        <v>1685</v>
      </c>
      <c r="R1341" s="114">
        <v>0.6</v>
      </c>
      <c r="AK1341" s="114" t="s">
        <v>2130</v>
      </c>
      <c r="AL1341" s="114">
        <f>AL1340*0.08</f>
        <v>1185.0147516418519</v>
      </c>
    </row>
    <row r="1342" spans="3:41" s="29" customFormat="1" x14ac:dyDescent="0.25">
      <c r="Q1342" s="114" t="s">
        <v>1708</v>
      </c>
      <c r="R1342" s="114">
        <f>(SUM(R1337:R1340)*R1341)+SUM(R1337:R1340)</f>
        <v>54620.162248524386</v>
      </c>
      <c r="AK1342" s="114" t="s">
        <v>1686</v>
      </c>
      <c r="AL1342" s="114">
        <f>SUM(AL1340+AL1341)</f>
        <v>15997.699147165</v>
      </c>
    </row>
    <row r="1343" spans="3:41" s="29" customFormat="1" x14ac:dyDescent="0.25">
      <c r="Q1343" s="114" t="s">
        <v>2130</v>
      </c>
      <c r="R1343" s="114">
        <f>R1342*0.08</f>
        <v>4369.6129798819511</v>
      </c>
    </row>
    <row r="1344" spans="3:41" s="29" customFormat="1" x14ac:dyDescent="0.25">
      <c r="Q1344" s="114" t="s">
        <v>1686</v>
      </c>
      <c r="R1344" s="114">
        <f>SUM(R1342+R1343)</f>
        <v>58989.775228406339</v>
      </c>
    </row>
    <row r="1345" spans="3:31" s="29" customFormat="1" x14ac:dyDescent="0.25"/>
    <row r="1346" spans="3:31" s="29" customFormat="1" x14ac:dyDescent="0.25">
      <c r="C1346" s="993" t="s">
        <v>8</v>
      </c>
      <c r="D1346" s="993"/>
      <c r="E1346" s="993"/>
      <c r="F1346" s="993"/>
      <c r="G1346" s="993"/>
      <c r="H1346" s="993"/>
      <c r="I1346" s="993"/>
      <c r="J1346" s="993"/>
    </row>
    <row r="1347" spans="3:31" s="29" customFormat="1" x14ac:dyDescent="0.25">
      <c r="C1347" s="989" t="s">
        <v>0</v>
      </c>
      <c r="D1347" s="989"/>
      <c r="E1347" s="989"/>
      <c r="F1347" s="989" t="s">
        <v>1</v>
      </c>
      <c r="G1347" s="989"/>
      <c r="H1347" s="989"/>
      <c r="I1347" s="989"/>
      <c r="J1347" s="989"/>
    </row>
    <row r="1348" spans="3:31" s="29" customFormat="1" x14ac:dyDescent="0.25">
      <c r="C1348" s="990" t="s">
        <v>2</v>
      </c>
      <c r="D1348" s="990"/>
      <c r="E1348" s="990"/>
      <c r="F1348" s="991" t="s">
        <v>144</v>
      </c>
      <c r="G1348" s="991"/>
      <c r="H1348" s="991"/>
      <c r="I1348" s="991"/>
      <c r="J1348" s="991"/>
      <c r="M1348" s="301" t="s">
        <v>336</v>
      </c>
      <c r="N1348" s="301" t="s">
        <v>174</v>
      </c>
      <c r="O1348" s="301" t="s">
        <v>248</v>
      </c>
      <c r="P1348" s="301" t="s">
        <v>176</v>
      </c>
      <c r="Q1348" s="301" t="s">
        <v>337</v>
      </c>
      <c r="R1348" s="301" t="s">
        <v>1641</v>
      </c>
      <c r="S1348" s="301" t="s">
        <v>1642</v>
      </c>
      <c r="T1348" s="301" t="s">
        <v>1643</v>
      </c>
      <c r="U1348" s="301" t="s">
        <v>1644</v>
      </c>
      <c r="W1348" s="988" t="s">
        <v>1473</v>
      </c>
      <c r="X1348" s="988"/>
      <c r="Y1348" s="988"/>
      <c r="Z1348" s="988"/>
      <c r="AA1348" s="988"/>
      <c r="AB1348" s="988"/>
      <c r="AC1348" s="988"/>
      <c r="AD1348" s="988"/>
      <c r="AE1348" s="988"/>
    </row>
    <row r="1349" spans="3:31" s="29" customFormat="1" x14ac:dyDescent="0.25">
      <c r="C1349" s="990"/>
      <c r="D1349" s="990"/>
      <c r="E1349" s="990"/>
      <c r="F1349" s="991"/>
      <c r="G1349" s="991"/>
      <c r="H1349" s="991"/>
      <c r="I1349" s="991"/>
      <c r="J1349" s="991"/>
      <c r="M1349" s="114" t="s">
        <v>344</v>
      </c>
      <c r="N1349" s="114">
        <f>E15</f>
        <v>2099.0723984875517</v>
      </c>
      <c r="O1349" s="114" t="str">
        <f>D15</f>
        <v>g</v>
      </c>
      <c r="P1349" s="114">
        <v>80</v>
      </c>
      <c r="Q1349" s="114">
        <f>N1349</f>
        <v>2099.0723984875517</v>
      </c>
      <c r="R1349" s="114">
        <v>0</v>
      </c>
      <c r="S1349" s="114">
        <f>P1349*R1349</f>
        <v>0</v>
      </c>
      <c r="T1349" s="114">
        <f>P1349-S1349</f>
        <v>80</v>
      </c>
      <c r="U1349" s="114">
        <f>Q1349+((S1349*Q1349)/P1349)</f>
        <v>2099.0723984875517</v>
      </c>
      <c r="W1349" s="113" t="s">
        <v>336</v>
      </c>
      <c r="X1349" s="113" t="s">
        <v>174</v>
      </c>
      <c r="Y1349" s="113" t="s">
        <v>248</v>
      </c>
      <c r="Z1349" s="113" t="s">
        <v>176</v>
      </c>
      <c r="AA1349" s="113" t="s">
        <v>337</v>
      </c>
      <c r="AB1349" s="301" t="s">
        <v>1641</v>
      </c>
      <c r="AC1349" s="301" t="s">
        <v>1642</v>
      </c>
      <c r="AD1349" s="301" t="s">
        <v>1643</v>
      </c>
      <c r="AE1349" s="301" t="s">
        <v>1644</v>
      </c>
    </row>
    <row r="1350" spans="3:31" s="29" customFormat="1" x14ac:dyDescent="0.25">
      <c r="C1350" s="990"/>
      <c r="D1350" s="990"/>
      <c r="E1350" s="990"/>
      <c r="F1350" s="991"/>
      <c r="G1350" s="991"/>
      <c r="H1350" s="991"/>
      <c r="I1350" s="991"/>
      <c r="J1350" s="991"/>
      <c r="M1350" s="114" t="s">
        <v>443</v>
      </c>
      <c r="N1350" s="114">
        <f>Y7</f>
        <v>3.6</v>
      </c>
      <c r="O1350" s="114" t="str">
        <f>X7</f>
        <v>g</v>
      </c>
      <c r="P1350" s="114">
        <v>25</v>
      </c>
      <c r="Q1350" s="114">
        <f>N1350*P1350</f>
        <v>90</v>
      </c>
      <c r="R1350" s="114">
        <v>0</v>
      </c>
      <c r="S1350" s="114">
        <f t="shared" ref="S1350:S1352" si="326">P1350*R1350</f>
        <v>0</v>
      </c>
      <c r="T1350" s="114">
        <f t="shared" ref="T1350:T1352" si="327">P1350-S1350</f>
        <v>25</v>
      </c>
      <c r="U1350" s="114">
        <f t="shared" ref="U1350:U1352" si="328">Q1350+((S1350*Q1350)/P1350)</f>
        <v>90</v>
      </c>
      <c r="W1350" s="114" t="s">
        <v>1300</v>
      </c>
      <c r="X1350" s="114">
        <f>V17</f>
        <v>23.09</v>
      </c>
      <c r="Y1350" s="114" t="str">
        <f>U17</f>
        <v>g</v>
      </c>
      <c r="Z1350" s="114">
        <v>40</v>
      </c>
      <c r="AA1350" s="114">
        <f>X1350*Z1350</f>
        <v>923.6</v>
      </c>
      <c r="AB1350" s="114">
        <v>0</v>
      </c>
      <c r="AC1350" s="114">
        <f>Z1350*AB1350</f>
        <v>0</v>
      </c>
      <c r="AD1350" s="114">
        <f>Z1350-AC1350</f>
        <v>40</v>
      </c>
      <c r="AE1350" s="114">
        <f>AA1350+((AC1350*AA1350)/Z1350)</f>
        <v>923.6</v>
      </c>
    </row>
    <row r="1351" spans="3:31" s="29" customFormat="1" x14ac:dyDescent="0.25">
      <c r="C1351" s="989" t="s">
        <v>0</v>
      </c>
      <c r="D1351" s="989"/>
      <c r="E1351" s="989"/>
      <c r="F1351" s="989" t="s">
        <v>1</v>
      </c>
      <c r="G1351" s="989"/>
      <c r="H1351" s="989"/>
      <c r="I1351" s="989"/>
      <c r="J1351" s="989"/>
      <c r="M1351" s="114" t="s">
        <v>519</v>
      </c>
      <c r="N1351" s="114">
        <f>M2+M5+M6+M9+M12+M13</f>
        <v>30.772999999999996</v>
      </c>
      <c r="O1351" s="114" t="str">
        <f>L13</f>
        <v>g</v>
      </c>
      <c r="P1351" s="114">
        <v>150</v>
      </c>
      <c r="Q1351" s="114">
        <f>N1351*P1351</f>
        <v>4615.95</v>
      </c>
      <c r="R1351" s="114">
        <v>0</v>
      </c>
      <c r="S1351" s="114">
        <f t="shared" si="326"/>
        <v>0</v>
      </c>
      <c r="T1351" s="114">
        <f t="shared" si="327"/>
        <v>150</v>
      </c>
      <c r="U1351" s="114">
        <f t="shared" si="328"/>
        <v>4615.95</v>
      </c>
      <c r="W1351" s="114" t="s">
        <v>348</v>
      </c>
      <c r="X1351" s="114">
        <f>V2</f>
        <v>13.11</v>
      </c>
      <c r="Y1351" s="114" t="str">
        <f>U2</f>
        <v>g</v>
      </c>
      <c r="Z1351" s="114">
        <v>50</v>
      </c>
      <c r="AA1351" s="114">
        <f>X1351*Z1351</f>
        <v>655.5</v>
      </c>
      <c r="AB1351" s="114">
        <v>0</v>
      </c>
      <c r="AC1351" s="114">
        <f t="shared" ref="AC1351:AC1353" si="329">Z1351*AB1351</f>
        <v>0</v>
      </c>
      <c r="AD1351" s="114">
        <f t="shared" ref="AD1351:AD1353" si="330">Z1351-AC1351</f>
        <v>50</v>
      </c>
      <c r="AE1351" s="114">
        <f t="shared" ref="AE1351:AE1353" si="331">AA1351+((AC1351*AA1351)/Z1351)</f>
        <v>655.5</v>
      </c>
    </row>
    <row r="1352" spans="3:31" s="29" customFormat="1" x14ac:dyDescent="0.25">
      <c r="C1352" s="990" t="s">
        <v>3</v>
      </c>
      <c r="D1352" s="990"/>
      <c r="E1352" s="990"/>
      <c r="F1352" s="991" t="s">
        <v>154</v>
      </c>
      <c r="G1352" s="991"/>
      <c r="H1352" s="991"/>
      <c r="I1352" s="991"/>
      <c r="J1352" s="991"/>
      <c r="M1352" s="114" t="s">
        <v>520</v>
      </c>
      <c r="N1352" s="114">
        <f>AA1354</f>
        <v>1710.1</v>
      </c>
      <c r="O1352" s="114" t="str">
        <f>U17</f>
        <v>g</v>
      </c>
      <c r="P1352" s="114">
        <v>120</v>
      </c>
      <c r="Q1352" s="114">
        <f>N1352</f>
        <v>1710.1</v>
      </c>
      <c r="R1352" s="114">
        <v>0</v>
      </c>
      <c r="S1352" s="114">
        <f t="shared" si="326"/>
        <v>0</v>
      </c>
      <c r="T1352" s="114">
        <f t="shared" si="327"/>
        <v>120</v>
      </c>
      <c r="U1352" s="114">
        <f t="shared" si="328"/>
        <v>1710.1</v>
      </c>
      <c r="W1352" s="114" t="s">
        <v>354</v>
      </c>
      <c r="X1352" s="114">
        <f>V4</f>
        <v>3.08</v>
      </c>
      <c r="Y1352" s="114" t="str">
        <f>U4</f>
        <v>mL</v>
      </c>
      <c r="Z1352" s="114">
        <v>25</v>
      </c>
      <c r="AA1352" s="114">
        <f>X1352*Z1352</f>
        <v>77</v>
      </c>
      <c r="AB1352" s="114">
        <v>0</v>
      </c>
      <c r="AC1352" s="114">
        <f t="shared" si="329"/>
        <v>0</v>
      </c>
      <c r="AD1352" s="114">
        <f t="shared" si="330"/>
        <v>25</v>
      </c>
      <c r="AE1352" s="114">
        <f t="shared" si="331"/>
        <v>77</v>
      </c>
    </row>
    <row r="1353" spans="3:31" s="29" customFormat="1" x14ac:dyDescent="0.25">
      <c r="C1353" s="990"/>
      <c r="D1353" s="990"/>
      <c r="E1353" s="990"/>
      <c r="F1353" s="991"/>
      <c r="G1353" s="991"/>
      <c r="H1353" s="991"/>
      <c r="I1353" s="991"/>
      <c r="J1353" s="991"/>
      <c r="M1353" s="114"/>
      <c r="N1353" s="114"/>
      <c r="O1353" s="114"/>
      <c r="P1353" s="114"/>
      <c r="Q1353" s="114"/>
      <c r="R1353" s="114"/>
      <c r="S1353" s="114"/>
      <c r="T1353" s="114"/>
      <c r="U1353" s="114"/>
      <c r="W1353" s="114" t="s">
        <v>1661</v>
      </c>
      <c r="X1353" s="114">
        <f>Y7</f>
        <v>3.6</v>
      </c>
      <c r="Y1353" s="114" t="str">
        <f>X7</f>
        <v>g</v>
      </c>
      <c r="Z1353" s="114">
        <v>15</v>
      </c>
      <c r="AA1353" s="114">
        <f>X1353*Z1353</f>
        <v>54</v>
      </c>
      <c r="AB1353" s="114">
        <v>0</v>
      </c>
      <c r="AC1353" s="114">
        <f t="shared" si="329"/>
        <v>0</v>
      </c>
      <c r="AD1353" s="114">
        <f t="shared" si="330"/>
        <v>15</v>
      </c>
      <c r="AE1353" s="114">
        <f t="shared" si="331"/>
        <v>54</v>
      </c>
    </row>
    <row r="1354" spans="3:31" s="29" customFormat="1" x14ac:dyDescent="0.25">
      <c r="C1354" s="990"/>
      <c r="D1354" s="990"/>
      <c r="E1354" s="990"/>
      <c r="F1354" s="991"/>
      <c r="G1354" s="991"/>
      <c r="H1354" s="991"/>
      <c r="I1354" s="991"/>
      <c r="J1354" s="991"/>
      <c r="M1354" s="114"/>
      <c r="N1354" s="114"/>
      <c r="O1354" s="114"/>
      <c r="P1354" s="114"/>
      <c r="Q1354" s="114"/>
      <c r="R1354" s="114"/>
      <c r="S1354" s="114"/>
      <c r="T1354" s="114"/>
      <c r="U1354" s="114"/>
      <c r="W1354" s="114" t="s">
        <v>337</v>
      </c>
      <c r="X1354" s="114">
        <f>SUM(X1350:X1353)</f>
        <v>42.88</v>
      </c>
      <c r="Y1354" s="114"/>
      <c r="Z1354" s="114">
        <f>SUM(Z1350+Z1351+Z1352+Z1353)</f>
        <v>130</v>
      </c>
      <c r="AA1354" s="114">
        <f>SUM(AA1350:AA1353)</f>
        <v>1710.1</v>
      </c>
      <c r="AB1354" s="114"/>
      <c r="AC1354" s="114"/>
      <c r="AD1354" s="114"/>
      <c r="AE1354" s="114">
        <f>SUM(AE1350:AE1353)</f>
        <v>1710.1</v>
      </c>
    </row>
    <row r="1355" spans="3:31" s="29" customFormat="1" x14ac:dyDescent="0.25">
      <c r="C1355" s="990" t="s">
        <v>4</v>
      </c>
      <c r="D1355" s="990"/>
      <c r="E1355" s="990"/>
      <c r="F1355" s="991" t="s">
        <v>15</v>
      </c>
      <c r="G1355" s="991"/>
      <c r="H1355" s="991"/>
      <c r="I1355" s="991"/>
      <c r="J1355" s="991"/>
      <c r="M1355" s="114" t="s">
        <v>337</v>
      </c>
      <c r="N1355" s="114">
        <f>SUM(N1349:N1354)</f>
        <v>3843.5453984875517</v>
      </c>
      <c r="O1355" s="114"/>
      <c r="P1355" s="114">
        <f>SUM(P1349:P1354)</f>
        <v>375</v>
      </c>
      <c r="Q1355" s="114">
        <f>SUM(Q1349:Q1354)</f>
        <v>8515.1223984875523</v>
      </c>
      <c r="R1355" s="114"/>
      <c r="S1355" s="114"/>
      <c r="T1355" s="114"/>
      <c r="U1355" s="114">
        <f>SUM(U1349:U1354)</f>
        <v>8515.1223984875523</v>
      </c>
    </row>
    <row r="1356" spans="3:31" s="29" customFormat="1" x14ac:dyDescent="0.25">
      <c r="C1356" s="990"/>
      <c r="D1356" s="990"/>
      <c r="E1356" s="990"/>
      <c r="F1356" s="991"/>
      <c r="G1356" s="991"/>
      <c r="H1356" s="991"/>
      <c r="I1356" s="991"/>
      <c r="J1356" s="991"/>
      <c r="M1356" s="30"/>
      <c r="N1356" s="30"/>
      <c r="O1356" s="30"/>
      <c r="P1356" s="30"/>
      <c r="Q1356" s="30"/>
      <c r="AA1356" s="114" t="s">
        <v>1681</v>
      </c>
      <c r="AB1356" s="114">
        <f>AE1354</f>
        <v>1710.1</v>
      </c>
      <c r="AC1356" s="608" t="s">
        <v>2142</v>
      </c>
      <c r="AD1356" s="608">
        <f>(AB1356*100)/AB1363</f>
        <v>26.367806782366511</v>
      </c>
    </row>
    <row r="1357" spans="3:31" s="29" customFormat="1" x14ac:dyDescent="0.25">
      <c r="C1357" s="990"/>
      <c r="D1357" s="990"/>
      <c r="E1357" s="990"/>
      <c r="F1357" s="991"/>
      <c r="G1357" s="991"/>
      <c r="H1357" s="991"/>
      <c r="I1357" s="991"/>
      <c r="J1357" s="991"/>
      <c r="M1357" s="30"/>
      <c r="N1357" s="30"/>
      <c r="O1357" s="30"/>
      <c r="P1357" s="30"/>
      <c r="Q1357" s="114" t="s">
        <v>1681</v>
      </c>
      <c r="R1357" s="114">
        <f>U1355</f>
        <v>8515.1223984875523</v>
      </c>
      <c r="S1357" s="608" t="s">
        <v>2142</v>
      </c>
      <c r="T1357" s="608">
        <f>(R1357*100)/R1364</f>
        <v>47.101334618943895</v>
      </c>
      <c r="AA1357" s="114" t="s">
        <v>2326</v>
      </c>
      <c r="AB1357" s="114">
        <f>$AO$26/2</f>
        <v>476.87414947063905</v>
      </c>
    </row>
    <row r="1358" spans="3:31" s="29" customFormat="1" x14ac:dyDescent="0.25">
      <c r="C1358" s="990" t="s">
        <v>5</v>
      </c>
      <c r="D1358" s="990"/>
      <c r="E1358" s="990"/>
      <c r="F1358" s="991" t="s">
        <v>161</v>
      </c>
      <c r="G1358" s="991"/>
      <c r="H1358" s="991"/>
      <c r="I1358" s="991"/>
      <c r="J1358" s="991"/>
      <c r="Q1358" s="114" t="s">
        <v>2326</v>
      </c>
      <c r="R1358" s="114">
        <f>$AL$26</f>
        <v>1801.715474357886</v>
      </c>
      <c r="AA1358" s="114" t="s">
        <v>2325</v>
      </c>
      <c r="AB1358" s="114">
        <f>$AO$27/4</f>
        <v>18.899999999999999</v>
      </c>
    </row>
    <row r="1359" spans="3:31" s="29" customFormat="1" x14ac:dyDescent="0.25">
      <c r="C1359" s="990"/>
      <c r="D1359" s="990"/>
      <c r="E1359" s="990"/>
      <c r="F1359" s="991"/>
      <c r="G1359" s="991"/>
      <c r="H1359" s="991"/>
      <c r="I1359" s="991"/>
      <c r="J1359" s="991"/>
      <c r="Q1359" s="114" t="s">
        <v>2325</v>
      </c>
      <c r="R1359" s="114">
        <f>$AL$27</f>
        <v>75.599999999999994</v>
      </c>
      <c r="AA1359" s="114" t="s">
        <v>1684</v>
      </c>
      <c r="AB1359" s="114">
        <f>$AO$29</f>
        <v>1547.3435977313275</v>
      </c>
    </row>
    <row r="1360" spans="3:31" s="29" customFormat="1" x14ac:dyDescent="0.25">
      <c r="C1360" s="990"/>
      <c r="D1360" s="990"/>
      <c r="E1360" s="990"/>
      <c r="F1360" s="991"/>
      <c r="G1360" s="991"/>
      <c r="H1360" s="991"/>
      <c r="I1360" s="991"/>
      <c r="J1360" s="991"/>
      <c r="Q1360" s="114" t="s">
        <v>1684</v>
      </c>
      <c r="R1360" s="114">
        <f>$AL$29</f>
        <v>69.543532482306858</v>
      </c>
      <c r="AA1360" s="114" t="s">
        <v>1685</v>
      </c>
      <c r="AB1360" s="114">
        <v>0.6</v>
      </c>
    </row>
    <row r="1361" spans="3:31" s="29" customFormat="1" x14ac:dyDescent="0.25">
      <c r="C1361" s="990" t="s">
        <v>6</v>
      </c>
      <c r="D1361" s="990"/>
      <c r="E1361" s="990"/>
      <c r="F1361" s="991" t="s">
        <v>9</v>
      </c>
      <c r="G1361" s="991"/>
      <c r="H1361" s="991"/>
      <c r="I1361" s="991"/>
      <c r="J1361" s="991"/>
      <c r="Q1361" s="114" t="s">
        <v>1685</v>
      </c>
      <c r="R1361" s="114">
        <v>0.6</v>
      </c>
      <c r="AA1361" s="114" t="s">
        <v>1708</v>
      </c>
      <c r="AB1361" s="114">
        <f>(SUM(AB1356:AB1359)*AB1360)+SUM(AB1356:AB1359)</f>
        <v>6005.148395523147</v>
      </c>
    </row>
    <row r="1362" spans="3:31" s="29" customFormat="1" x14ac:dyDescent="0.25">
      <c r="C1362" s="990"/>
      <c r="D1362" s="990"/>
      <c r="E1362" s="990"/>
      <c r="F1362" s="991"/>
      <c r="G1362" s="991"/>
      <c r="H1362" s="991"/>
      <c r="I1362" s="991"/>
      <c r="J1362" s="991"/>
      <c r="Q1362" s="114" t="s">
        <v>1708</v>
      </c>
      <c r="R1362" s="114">
        <f>(SUM(R1357:R1360)*R1361)+SUM(R1357:R1360)</f>
        <v>16739.170248524395</v>
      </c>
      <c r="AA1362" s="114" t="s">
        <v>2130</v>
      </c>
      <c r="AB1362" s="114">
        <f>AB1361*0.08</f>
        <v>480.41187164185175</v>
      </c>
    </row>
    <row r="1363" spans="3:31" s="29" customFormat="1" x14ac:dyDescent="0.25">
      <c r="C1363" s="990"/>
      <c r="D1363" s="990"/>
      <c r="E1363" s="990"/>
      <c r="F1363" s="991"/>
      <c r="G1363" s="991"/>
      <c r="H1363" s="991"/>
      <c r="I1363" s="991"/>
      <c r="J1363" s="991"/>
      <c r="Q1363" s="114" t="s">
        <v>2130</v>
      </c>
      <c r="R1363" s="114">
        <f>R1362*0.08</f>
        <v>1339.1336198819515</v>
      </c>
      <c r="AA1363" s="114" t="s">
        <v>1686</v>
      </c>
      <c r="AB1363" s="114">
        <f>SUM(AB1361+AB1362)</f>
        <v>6485.5602671649985</v>
      </c>
    </row>
    <row r="1364" spans="3:31" s="29" customFormat="1" x14ac:dyDescent="0.25">
      <c r="C1364" s="990" t="s">
        <v>7</v>
      </c>
      <c r="D1364" s="990"/>
      <c r="E1364" s="990"/>
      <c r="F1364" s="991" t="s">
        <v>162</v>
      </c>
      <c r="G1364" s="991"/>
      <c r="H1364" s="991"/>
      <c r="I1364" s="991"/>
      <c r="J1364" s="991"/>
      <c r="Q1364" s="114" t="s">
        <v>1686</v>
      </c>
      <c r="R1364" s="114">
        <f>SUM(R1362+R1363)</f>
        <v>18078.303868406347</v>
      </c>
    </row>
    <row r="1365" spans="3:31" s="29" customFormat="1" x14ac:dyDescent="0.25">
      <c r="C1365" s="990"/>
      <c r="D1365" s="990"/>
      <c r="E1365" s="990"/>
      <c r="F1365" s="991"/>
      <c r="G1365" s="991"/>
      <c r="H1365" s="991"/>
      <c r="I1365" s="991"/>
      <c r="J1365" s="991"/>
    </row>
    <row r="1366" spans="3:31" s="29" customFormat="1" x14ac:dyDescent="0.25">
      <c r="C1366" s="990"/>
      <c r="D1366" s="990"/>
      <c r="E1366" s="990"/>
      <c r="F1366" s="991"/>
      <c r="G1366" s="991"/>
      <c r="H1366" s="991"/>
      <c r="I1366" s="991"/>
      <c r="J1366" s="991"/>
    </row>
    <row r="1367" spans="3:31" s="29" customFormat="1" x14ac:dyDescent="0.25"/>
    <row r="1368" spans="3:31" s="29" customFormat="1" x14ac:dyDescent="0.25"/>
    <row r="1369" spans="3:31" s="29" customFormat="1" x14ac:dyDescent="0.25">
      <c r="C1369" s="993" t="s">
        <v>8</v>
      </c>
      <c r="D1369" s="993"/>
      <c r="E1369" s="993"/>
      <c r="F1369" s="993"/>
      <c r="G1369" s="993"/>
      <c r="H1369" s="993"/>
      <c r="I1369" s="993"/>
      <c r="J1369" s="993"/>
    </row>
    <row r="1370" spans="3:31" s="29" customFormat="1" x14ac:dyDescent="0.25">
      <c r="C1370" s="989" t="s">
        <v>0</v>
      </c>
      <c r="D1370" s="989"/>
      <c r="E1370" s="989"/>
      <c r="F1370" s="989" t="s">
        <v>1</v>
      </c>
      <c r="G1370" s="989"/>
      <c r="H1370" s="989"/>
      <c r="I1370" s="989"/>
      <c r="J1370" s="989"/>
    </row>
    <row r="1371" spans="3:31" s="29" customFormat="1" x14ac:dyDescent="0.25">
      <c r="C1371" s="990" t="s">
        <v>2</v>
      </c>
      <c r="D1371" s="990"/>
      <c r="E1371" s="990"/>
      <c r="F1371" s="991" t="s">
        <v>132</v>
      </c>
      <c r="G1371" s="991"/>
      <c r="H1371" s="991"/>
      <c r="I1371" s="991"/>
      <c r="J1371" s="991"/>
      <c r="M1371" s="113" t="s">
        <v>336</v>
      </c>
      <c r="N1371" s="113" t="s">
        <v>174</v>
      </c>
      <c r="O1371" s="113" t="s">
        <v>248</v>
      </c>
      <c r="P1371" s="113" t="s">
        <v>176</v>
      </c>
      <c r="Q1371" s="113" t="s">
        <v>337</v>
      </c>
      <c r="R1371" s="301" t="s">
        <v>1641</v>
      </c>
      <c r="S1371" s="301" t="s">
        <v>1642</v>
      </c>
      <c r="T1371" s="301" t="s">
        <v>1643</v>
      </c>
      <c r="U1371" s="301" t="s">
        <v>1644</v>
      </c>
      <c r="W1371" s="988" t="s">
        <v>1459</v>
      </c>
      <c r="X1371" s="988"/>
      <c r="Y1371" s="988"/>
      <c r="Z1371" s="988"/>
      <c r="AA1371" s="988"/>
      <c r="AB1371" s="988"/>
      <c r="AC1371" s="988"/>
      <c r="AD1371" s="988"/>
      <c r="AE1371" s="988"/>
    </row>
    <row r="1372" spans="3:31" s="29" customFormat="1" x14ac:dyDescent="0.25">
      <c r="C1372" s="990"/>
      <c r="D1372" s="990"/>
      <c r="E1372" s="990"/>
      <c r="F1372" s="991"/>
      <c r="G1372" s="991"/>
      <c r="H1372" s="991"/>
      <c r="I1372" s="991"/>
      <c r="J1372" s="991"/>
      <c r="M1372" s="114" t="s">
        <v>344</v>
      </c>
      <c r="N1372" s="114">
        <f>E4</f>
        <v>2099.0723984875517</v>
      </c>
      <c r="O1372" s="114" t="str">
        <f>D4</f>
        <v>g</v>
      </c>
      <c r="P1372" s="114">
        <v>50</v>
      </c>
      <c r="Q1372" s="114">
        <f>N1372</f>
        <v>2099.0723984875517</v>
      </c>
      <c r="R1372" s="114">
        <v>0</v>
      </c>
      <c r="S1372" s="114">
        <f>P1372*R1372</f>
        <v>0</v>
      </c>
      <c r="T1372" s="114">
        <f>P1372-S1372</f>
        <v>50</v>
      </c>
      <c r="U1372" s="114">
        <f>Q1372+((S1372*Q1372)/P1372)</f>
        <v>2099.0723984875517</v>
      </c>
      <c r="W1372" s="113" t="s">
        <v>336</v>
      </c>
      <c r="X1372" s="113" t="s">
        <v>174</v>
      </c>
      <c r="Y1372" s="113" t="s">
        <v>248</v>
      </c>
      <c r="Z1372" s="113" t="s">
        <v>176</v>
      </c>
      <c r="AA1372" s="113" t="s">
        <v>337</v>
      </c>
      <c r="AB1372" s="301" t="s">
        <v>1641</v>
      </c>
      <c r="AC1372" s="301" t="s">
        <v>1642</v>
      </c>
      <c r="AD1372" s="301" t="s">
        <v>1643</v>
      </c>
      <c r="AE1372" s="301" t="s">
        <v>1644</v>
      </c>
    </row>
    <row r="1373" spans="3:31" s="29" customFormat="1" x14ac:dyDescent="0.25">
      <c r="C1373" s="990"/>
      <c r="D1373" s="990"/>
      <c r="E1373" s="990"/>
      <c r="F1373" s="991"/>
      <c r="G1373" s="991"/>
      <c r="H1373" s="991"/>
      <c r="I1373" s="991"/>
      <c r="J1373" s="991"/>
      <c r="M1373" s="114" t="s">
        <v>340</v>
      </c>
      <c r="N1373" s="114">
        <f>Y20</f>
        <v>0.64</v>
      </c>
      <c r="O1373" s="114" t="str">
        <f>X20</f>
        <v>g</v>
      </c>
      <c r="P1373" s="114">
        <v>2</v>
      </c>
      <c r="Q1373" s="114">
        <f>N1373*P1373</f>
        <v>1.28</v>
      </c>
      <c r="R1373" s="114">
        <v>0</v>
      </c>
      <c r="S1373" s="114">
        <f t="shared" ref="S1373:S1374" si="332">P1373*R1373</f>
        <v>0</v>
      </c>
      <c r="T1373" s="114">
        <f t="shared" ref="T1373:T1377" si="333">P1373-S1373</f>
        <v>2</v>
      </c>
      <c r="U1373" s="114">
        <f t="shared" ref="U1373:U1377" si="334">Q1373+((S1373*Q1373)/P1373)</f>
        <v>1.28</v>
      </c>
      <c r="W1373" s="114" t="s">
        <v>430</v>
      </c>
      <c r="X1373" s="114">
        <f>P10</f>
        <v>0.7</v>
      </c>
      <c r="Y1373" s="114" t="str">
        <f>O10</f>
        <v>g</v>
      </c>
      <c r="Z1373" s="114">
        <v>20</v>
      </c>
      <c r="AA1373" s="114">
        <f t="shared" ref="AA1373:AA1378" si="335">X1373*Z1373</f>
        <v>14</v>
      </c>
      <c r="AB1373" s="114">
        <f>AJ7</f>
        <v>0.15</v>
      </c>
      <c r="AC1373" s="114">
        <f>Z1373*AB1373</f>
        <v>3</v>
      </c>
      <c r="AD1373" s="114">
        <f>Z1373-AC1373</f>
        <v>17</v>
      </c>
      <c r="AE1373" s="114">
        <f>AA1373+((AC1373*AA1373)/Z1373)</f>
        <v>16.100000000000001</v>
      </c>
    </row>
    <row r="1374" spans="3:31" s="29" customFormat="1" x14ac:dyDescent="0.25">
      <c r="C1374" s="989" t="s">
        <v>0</v>
      </c>
      <c r="D1374" s="989"/>
      <c r="E1374" s="989"/>
      <c r="F1374" s="989" t="s">
        <v>1</v>
      </c>
      <c r="G1374" s="989"/>
      <c r="H1374" s="989"/>
      <c r="I1374" s="989"/>
      <c r="J1374" s="989"/>
      <c r="M1374" s="114" t="s">
        <v>346</v>
      </c>
      <c r="N1374" s="114">
        <f>P3</f>
        <v>7</v>
      </c>
      <c r="O1374" s="114" t="str">
        <f>O3</f>
        <v>g</v>
      </c>
      <c r="P1374" s="114">
        <v>6</v>
      </c>
      <c r="Q1374" s="114">
        <f>N1374*P1374</f>
        <v>42</v>
      </c>
      <c r="R1374" s="114">
        <f>AJ2</f>
        <v>0.23</v>
      </c>
      <c r="S1374" s="114">
        <f t="shared" si="332"/>
        <v>1.3800000000000001</v>
      </c>
      <c r="T1374" s="114">
        <f t="shared" si="333"/>
        <v>4.62</v>
      </c>
      <c r="U1374" s="114">
        <f t="shared" si="334"/>
        <v>51.660000000000004</v>
      </c>
      <c r="W1374" s="114" t="s">
        <v>436</v>
      </c>
      <c r="X1374" s="114">
        <f>P31</f>
        <v>2.6</v>
      </c>
      <c r="Y1374" s="114" t="str">
        <f>O31</f>
        <v>g</v>
      </c>
      <c r="Z1374" s="114">
        <v>15</v>
      </c>
      <c r="AA1374" s="114">
        <f t="shared" si="335"/>
        <v>39</v>
      </c>
      <c r="AB1374" s="114">
        <f>AJ19</f>
        <v>0.37</v>
      </c>
      <c r="AC1374" s="114">
        <f t="shared" ref="AC1374:AC1375" si="336">Z1374*AB1374</f>
        <v>5.55</v>
      </c>
      <c r="AD1374" s="114">
        <f t="shared" ref="AD1374:AD1378" si="337">Z1374-AC1374</f>
        <v>9.4499999999999993</v>
      </c>
      <c r="AE1374" s="114">
        <f t="shared" ref="AE1374:AE1378" si="338">AA1374+((AC1374*AA1374)/Z1374)</f>
        <v>53.43</v>
      </c>
    </row>
    <row r="1375" spans="3:31" s="29" customFormat="1" x14ac:dyDescent="0.25">
      <c r="C1375" s="990" t="s">
        <v>3</v>
      </c>
      <c r="D1375" s="990"/>
      <c r="E1375" s="990"/>
      <c r="F1375" s="992" t="s">
        <v>133</v>
      </c>
      <c r="G1375" s="991"/>
      <c r="H1375" s="991"/>
      <c r="I1375" s="991"/>
      <c r="J1375" s="991"/>
      <c r="M1375" s="114" t="s">
        <v>500</v>
      </c>
      <c r="N1375" s="114">
        <f>AE1380</f>
        <v>4123.38</v>
      </c>
      <c r="O1375" s="114" t="s">
        <v>1388</v>
      </c>
      <c r="P1375" s="114">
        <v>120</v>
      </c>
      <c r="Q1375" s="114">
        <f>N1375</f>
        <v>4123.38</v>
      </c>
      <c r="R1375" s="114">
        <v>0</v>
      </c>
      <c r="S1375" s="114">
        <f>P1375*R1375</f>
        <v>0</v>
      </c>
      <c r="T1375" s="114">
        <f t="shared" si="333"/>
        <v>120</v>
      </c>
      <c r="U1375" s="114">
        <f t="shared" si="334"/>
        <v>4123.38</v>
      </c>
      <c r="W1375" s="114" t="s">
        <v>435</v>
      </c>
      <c r="X1375" s="114">
        <f>P5</f>
        <v>2.5</v>
      </c>
      <c r="Y1375" s="114" t="str">
        <f>O5</f>
        <v>g</v>
      </c>
      <c r="Z1375" s="114">
        <v>8</v>
      </c>
      <c r="AA1375" s="114">
        <f t="shared" si="335"/>
        <v>20</v>
      </c>
      <c r="AB1375" s="114">
        <f>AJ3</f>
        <v>0.37</v>
      </c>
      <c r="AC1375" s="114">
        <f t="shared" si="336"/>
        <v>2.96</v>
      </c>
      <c r="AD1375" s="114">
        <f t="shared" si="337"/>
        <v>5.04</v>
      </c>
      <c r="AE1375" s="114">
        <f t="shared" si="338"/>
        <v>27.4</v>
      </c>
    </row>
    <row r="1376" spans="3:31" s="29" customFormat="1" x14ac:dyDescent="0.25">
      <c r="C1376" s="990"/>
      <c r="D1376" s="990"/>
      <c r="E1376" s="990"/>
      <c r="F1376" s="991"/>
      <c r="G1376" s="991"/>
      <c r="H1376" s="991"/>
      <c r="I1376" s="991"/>
      <c r="J1376" s="991"/>
      <c r="M1376" s="114" t="s">
        <v>427</v>
      </c>
      <c r="N1376" s="114">
        <f>S8</f>
        <v>59</v>
      </c>
      <c r="O1376" s="114" t="str">
        <f>R8</f>
        <v>g</v>
      </c>
      <c r="P1376" s="114">
        <v>100</v>
      </c>
      <c r="Q1376" s="114">
        <f>N1376*P1376</f>
        <v>5900</v>
      </c>
      <c r="R1376" s="114">
        <f>AN4</f>
        <v>0.41</v>
      </c>
      <c r="S1376" s="114">
        <f t="shared" ref="S1376:S1377" si="339">P1376*R1376</f>
        <v>41</v>
      </c>
      <c r="T1376" s="114">
        <f t="shared" si="333"/>
        <v>59</v>
      </c>
      <c r="U1376" s="114">
        <f t="shared" si="334"/>
        <v>8319</v>
      </c>
      <c r="W1376" s="114" t="s">
        <v>429</v>
      </c>
      <c r="X1376" s="114">
        <f>P29</f>
        <v>1.8</v>
      </c>
      <c r="Y1376" s="114" t="str">
        <f>O29</f>
        <v>g</v>
      </c>
      <c r="Z1376" s="114">
        <v>40</v>
      </c>
      <c r="AA1376" s="114">
        <f t="shared" si="335"/>
        <v>72</v>
      </c>
      <c r="AB1376" s="114">
        <f>AJ18</f>
        <v>0.05</v>
      </c>
      <c r="AC1376" s="114">
        <f>Z1376*AB1376</f>
        <v>2</v>
      </c>
      <c r="AD1376" s="114">
        <f t="shared" si="337"/>
        <v>38</v>
      </c>
      <c r="AE1376" s="114">
        <f t="shared" si="338"/>
        <v>75.599999999999994</v>
      </c>
    </row>
    <row r="1377" spans="3:31" s="29" customFormat="1" x14ac:dyDescent="0.25">
      <c r="C1377" s="990"/>
      <c r="D1377" s="990"/>
      <c r="E1377" s="990"/>
      <c r="F1377" s="991"/>
      <c r="G1377" s="991"/>
      <c r="H1377" s="991"/>
      <c r="I1377" s="991"/>
      <c r="J1377" s="991"/>
      <c r="M1377" s="114" t="s">
        <v>462</v>
      </c>
      <c r="N1377" s="114">
        <f>V12</f>
        <v>25.98</v>
      </c>
      <c r="O1377" s="114" t="str">
        <f>U12</f>
        <v>g</v>
      </c>
      <c r="P1377" s="114">
        <v>60</v>
      </c>
      <c r="Q1377" s="114">
        <f>N1377*P1377</f>
        <v>1558.8</v>
      </c>
      <c r="R1377" s="114">
        <v>0</v>
      </c>
      <c r="S1377" s="114">
        <f t="shared" si="339"/>
        <v>0</v>
      </c>
      <c r="T1377" s="114">
        <f t="shared" si="333"/>
        <v>60</v>
      </c>
      <c r="U1377" s="114">
        <f t="shared" si="334"/>
        <v>1558.8</v>
      </c>
      <c r="W1377" s="114" t="s">
        <v>432</v>
      </c>
      <c r="X1377" s="114">
        <f>S8</f>
        <v>59</v>
      </c>
      <c r="Y1377" s="114" t="str">
        <f>R8</f>
        <v>g</v>
      </c>
      <c r="Z1377" s="114">
        <v>35</v>
      </c>
      <c r="AA1377" s="114">
        <f t="shared" si="335"/>
        <v>2065</v>
      </c>
      <c r="AB1377" s="114">
        <f>AN4</f>
        <v>0.41</v>
      </c>
      <c r="AC1377" s="114">
        <f t="shared" ref="AC1377:AC1378" si="340">Z1377*AB1377</f>
        <v>14.35</v>
      </c>
      <c r="AD1377" s="114">
        <f t="shared" si="337"/>
        <v>20.65</v>
      </c>
      <c r="AE1377" s="114">
        <f t="shared" si="338"/>
        <v>2911.65</v>
      </c>
    </row>
    <row r="1378" spans="3:31" s="29" customFormat="1" x14ac:dyDescent="0.25">
      <c r="C1378" s="990" t="s">
        <v>4</v>
      </c>
      <c r="D1378" s="990"/>
      <c r="E1378" s="990"/>
      <c r="F1378" s="991" t="s">
        <v>15</v>
      </c>
      <c r="G1378" s="991"/>
      <c r="H1378" s="991"/>
      <c r="I1378" s="991"/>
      <c r="J1378" s="991"/>
      <c r="M1378" s="114"/>
      <c r="N1378" s="114"/>
      <c r="O1378" s="114"/>
      <c r="P1378" s="114"/>
      <c r="Q1378" s="114"/>
      <c r="R1378" s="114"/>
      <c r="S1378" s="114"/>
      <c r="T1378" s="114"/>
      <c r="U1378" s="114"/>
      <c r="W1378" s="114" t="s">
        <v>455</v>
      </c>
      <c r="X1378" s="114">
        <f>AE15</f>
        <v>51.96</v>
      </c>
      <c r="Y1378" s="114" t="str">
        <f>AD15</f>
        <v>mL</v>
      </c>
      <c r="Z1378" s="114">
        <v>20</v>
      </c>
      <c r="AA1378" s="114">
        <f t="shared" si="335"/>
        <v>1039.2</v>
      </c>
      <c r="AB1378" s="114">
        <v>0</v>
      </c>
      <c r="AC1378" s="114">
        <f t="shared" si="340"/>
        <v>0</v>
      </c>
      <c r="AD1378" s="114">
        <f t="shared" si="337"/>
        <v>20</v>
      </c>
      <c r="AE1378" s="114">
        <f t="shared" si="338"/>
        <v>1039.2</v>
      </c>
    </row>
    <row r="1379" spans="3:31" s="29" customFormat="1" x14ac:dyDescent="0.25">
      <c r="C1379" s="990"/>
      <c r="D1379" s="990"/>
      <c r="E1379" s="990"/>
      <c r="F1379" s="991"/>
      <c r="G1379" s="991"/>
      <c r="H1379" s="991"/>
      <c r="I1379" s="991"/>
      <c r="J1379" s="991"/>
      <c r="M1379" s="114"/>
      <c r="N1379" s="114"/>
      <c r="O1379" s="114"/>
      <c r="P1379" s="114"/>
      <c r="Q1379" s="114"/>
      <c r="R1379" s="114"/>
      <c r="S1379" s="114"/>
      <c r="T1379" s="114"/>
      <c r="U1379" s="114"/>
      <c r="W1379" s="114"/>
      <c r="X1379" s="114"/>
      <c r="Y1379" s="114"/>
      <c r="Z1379" s="114"/>
      <c r="AA1379" s="114"/>
      <c r="AB1379" s="114"/>
      <c r="AC1379" s="114"/>
      <c r="AD1379" s="114"/>
      <c r="AE1379" s="114"/>
    </row>
    <row r="1380" spans="3:31" s="29" customFormat="1" x14ac:dyDescent="0.25">
      <c r="C1380" s="990"/>
      <c r="D1380" s="990"/>
      <c r="E1380" s="990"/>
      <c r="F1380" s="991"/>
      <c r="G1380" s="991"/>
      <c r="H1380" s="991"/>
      <c r="I1380" s="991"/>
      <c r="J1380" s="991"/>
      <c r="M1380" s="114" t="s">
        <v>337</v>
      </c>
      <c r="N1380" s="114">
        <f>SUM(N1372:N1379)</f>
        <v>6315.0723984875513</v>
      </c>
      <c r="O1380" s="114"/>
      <c r="P1380" s="114">
        <f>SUM(P1372:P1379)</f>
        <v>338</v>
      </c>
      <c r="Q1380" s="114">
        <f>SUM(Q1372:Q1379)</f>
        <v>13724.53239848755</v>
      </c>
      <c r="R1380" s="114"/>
      <c r="S1380" s="114"/>
      <c r="T1380" s="114"/>
      <c r="U1380" s="114">
        <f>SUM(U1372:U1379)</f>
        <v>16153.19239848755</v>
      </c>
      <c r="W1380" s="114" t="s">
        <v>337</v>
      </c>
      <c r="X1380" s="114">
        <f>SUM(X1373:X1379)</f>
        <v>118.56</v>
      </c>
      <c r="Y1380" s="114"/>
      <c r="Z1380" s="114">
        <f>SUM(Z1373:Z1379)</f>
        <v>138</v>
      </c>
      <c r="AA1380" s="114">
        <f>SUM(AA1373:AA1379)</f>
        <v>3249.2</v>
      </c>
      <c r="AB1380" s="114"/>
      <c r="AC1380" s="114"/>
      <c r="AD1380" s="114"/>
      <c r="AE1380" s="114">
        <f>SUM(AE1373:AE1379)</f>
        <v>4123.38</v>
      </c>
    </row>
    <row r="1381" spans="3:31" s="29" customFormat="1" x14ac:dyDescent="0.25">
      <c r="C1381" s="990" t="s">
        <v>5</v>
      </c>
      <c r="D1381" s="990"/>
      <c r="E1381" s="990"/>
      <c r="F1381" s="991" t="s">
        <v>134</v>
      </c>
      <c r="G1381" s="991"/>
      <c r="H1381" s="991"/>
      <c r="I1381" s="991"/>
      <c r="J1381" s="991"/>
    </row>
    <row r="1382" spans="3:31" s="29" customFormat="1" x14ac:dyDescent="0.25">
      <c r="C1382" s="990"/>
      <c r="D1382" s="990"/>
      <c r="E1382" s="990"/>
      <c r="F1382" s="991"/>
      <c r="G1382" s="991"/>
      <c r="H1382" s="991"/>
      <c r="I1382" s="991"/>
      <c r="J1382" s="991"/>
      <c r="Q1382" s="114" t="s">
        <v>1681</v>
      </c>
      <c r="R1382" s="114">
        <f>U1380</f>
        <v>16153.19239848755</v>
      </c>
      <c r="S1382" s="608" t="s">
        <v>2142</v>
      </c>
      <c r="T1382" s="608">
        <f>(R1382*100)/R1389</f>
        <v>51.645777452829243</v>
      </c>
      <c r="AA1382" s="114" t="s">
        <v>1681</v>
      </c>
      <c r="AB1382" s="114">
        <f>AE1380</f>
        <v>4123.38</v>
      </c>
      <c r="AC1382" s="608" t="s">
        <v>2142</v>
      </c>
      <c r="AD1382" s="608">
        <f>(AB1382*100)/AB1389</f>
        <v>38.69644286922049</v>
      </c>
    </row>
    <row r="1383" spans="3:31" s="29" customFormat="1" x14ac:dyDescent="0.25">
      <c r="C1383" s="990"/>
      <c r="D1383" s="990"/>
      <c r="E1383" s="990"/>
      <c r="F1383" s="991"/>
      <c r="G1383" s="991"/>
      <c r="H1383" s="991"/>
      <c r="I1383" s="991"/>
      <c r="J1383" s="991"/>
      <c r="Q1383" s="114" t="s">
        <v>2326</v>
      </c>
      <c r="R1383" s="114">
        <f>$AL$26</f>
        <v>1801.715474357886</v>
      </c>
      <c r="AA1383" s="114" t="s">
        <v>2326</v>
      </c>
      <c r="AB1383" s="114">
        <f>$AO$26/2</f>
        <v>476.87414947063905</v>
      </c>
    </row>
    <row r="1384" spans="3:31" s="29" customFormat="1" x14ac:dyDescent="0.25">
      <c r="C1384" s="990" t="s">
        <v>6</v>
      </c>
      <c r="D1384" s="990"/>
      <c r="E1384" s="990"/>
      <c r="F1384" s="991" t="s">
        <v>9</v>
      </c>
      <c r="G1384" s="991"/>
      <c r="H1384" s="991"/>
      <c r="I1384" s="991"/>
      <c r="J1384" s="991"/>
      <c r="Q1384" s="114" t="s">
        <v>2325</v>
      </c>
      <c r="R1384" s="114">
        <f>$AL$27</f>
        <v>75.599999999999994</v>
      </c>
      <c r="AA1384" s="114" t="s">
        <v>2325</v>
      </c>
      <c r="AB1384" s="114">
        <f>$AO$27/4</f>
        <v>18.899999999999999</v>
      </c>
    </row>
    <row r="1385" spans="3:31" s="29" customFormat="1" x14ac:dyDescent="0.25">
      <c r="C1385" s="990"/>
      <c r="D1385" s="990"/>
      <c r="E1385" s="990"/>
      <c r="F1385" s="991"/>
      <c r="G1385" s="991"/>
      <c r="H1385" s="991"/>
      <c r="I1385" s="991"/>
      <c r="J1385" s="991"/>
      <c r="Q1385" s="114" t="s">
        <v>1684</v>
      </c>
      <c r="R1385" s="114">
        <f>$AL$29</f>
        <v>69.543532482306858</v>
      </c>
      <c r="AA1385" s="114" t="s">
        <v>1684</v>
      </c>
      <c r="AB1385" s="114">
        <f>$AO$29</f>
        <v>1547.3435977313275</v>
      </c>
    </row>
    <row r="1386" spans="3:31" s="29" customFormat="1" x14ac:dyDescent="0.25">
      <c r="C1386" s="990"/>
      <c r="D1386" s="990"/>
      <c r="E1386" s="990"/>
      <c r="F1386" s="991"/>
      <c r="G1386" s="991"/>
      <c r="H1386" s="991"/>
      <c r="I1386" s="991"/>
      <c r="J1386" s="991"/>
      <c r="Q1386" s="114" t="s">
        <v>1685</v>
      </c>
      <c r="R1386" s="114">
        <v>0.6</v>
      </c>
      <c r="AA1386" s="114" t="s">
        <v>1685</v>
      </c>
      <c r="AB1386" s="114">
        <v>0.6</v>
      </c>
    </row>
    <row r="1387" spans="3:31" s="29" customFormat="1" x14ac:dyDescent="0.25">
      <c r="C1387" s="990" t="s">
        <v>7</v>
      </c>
      <c r="D1387" s="990"/>
      <c r="E1387" s="990"/>
      <c r="F1387" s="991" t="s">
        <v>621</v>
      </c>
      <c r="G1387" s="991"/>
      <c r="H1387" s="991"/>
      <c r="I1387" s="991"/>
      <c r="J1387" s="991"/>
      <c r="Q1387" s="114" t="s">
        <v>1708</v>
      </c>
      <c r="R1387" s="114">
        <f>(SUM(R1382:R1385)*R1386)+SUM(R1382:R1385)</f>
        <v>28960.082248524392</v>
      </c>
      <c r="AA1387" s="114" t="s">
        <v>1708</v>
      </c>
      <c r="AB1387" s="114">
        <f>(SUM(AB1382:AB1385)*AB1386)+SUM(AB1382:AB1385)</f>
        <v>9866.3963955231466</v>
      </c>
    </row>
    <row r="1388" spans="3:31" s="29" customFormat="1" x14ac:dyDescent="0.25">
      <c r="C1388" s="990"/>
      <c r="D1388" s="990"/>
      <c r="E1388" s="990"/>
      <c r="F1388" s="991"/>
      <c r="G1388" s="991"/>
      <c r="H1388" s="991"/>
      <c r="I1388" s="991"/>
      <c r="J1388" s="991"/>
      <c r="Q1388" s="114" t="s">
        <v>2130</v>
      </c>
      <c r="R1388" s="114">
        <f>R1387*0.08</f>
        <v>2316.8065798819512</v>
      </c>
      <c r="AA1388" s="114" t="s">
        <v>2130</v>
      </c>
      <c r="AB1388" s="114">
        <f>AB1387*0.08</f>
        <v>789.31171164185173</v>
      </c>
    </row>
    <row r="1389" spans="3:31" s="29" customFormat="1" x14ac:dyDescent="0.25">
      <c r="C1389" s="990"/>
      <c r="D1389" s="990"/>
      <c r="E1389" s="990"/>
      <c r="F1389" s="991"/>
      <c r="G1389" s="991"/>
      <c r="H1389" s="991"/>
      <c r="I1389" s="991"/>
      <c r="J1389" s="991"/>
      <c r="Q1389" s="114" t="s">
        <v>1686</v>
      </c>
      <c r="R1389" s="114">
        <f>SUM(R1387+R1388)</f>
        <v>31276.888828406343</v>
      </c>
      <c r="AA1389" s="114" t="s">
        <v>1686</v>
      </c>
      <c r="AB1389" s="114">
        <f>SUM(AB1387+AB1388)</f>
        <v>10655.708107164999</v>
      </c>
    </row>
    <row r="1390" spans="3:31" s="29" customFormat="1" x14ac:dyDescent="0.25"/>
    <row r="1391" spans="3:31" s="29" customFormat="1" x14ac:dyDescent="0.25"/>
    <row r="1392" spans="3:31" s="29" customFormat="1" x14ac:dyDescent="0.25">
      <c r="C1392" s="993" t="s">
        <v>8</v>
      </c>
      <c r="D1392" s="993"/>
      <c r="E1392" s="993"/>
      <c r="F1392" s="993"/>
      <c r="G1392" s="993"/>
      <c r="H1392" s="993"/>
      <c r="I1392" s="993"/>
      <c r="J1392" s="993"/>
    </row>
    <row r="1393" spans="3:31" s="29" customFormat="1" x14ac:dyDescent="0.25">
      <c r="C1393" s="989" t="s">
        <v>0</v>
      </c>
      <c r="D1393" s="989"/>
      <c r="E1393" s="989"/>
      <c r="F1393" s="989" t="s">
        <v>1</v>
      </c>
      <c r="G1393" s="989"/>
      <c r="H1393" s="989"/>
      <c r="I1393" s="989"/>
      <c r="J1393" s="989"/>
    </row>
    <row r="1394" spans="3:31" s="29" customFormat="1" x14ac:dyDescent="0.25">
      <c r="C1394" s="990" t="s">
        <v>2</v>
      </c>
      <c r="D1394" s="990"/>
      <c r="E1394" s="990"/>
      <c r="F1394" s="991" t="s">
        <v>163</v>
      </c>
      <c r="G1394" s="991"/>
      <c r="H1394" s="991"/>
      <c r="I1394" s="991"/>
      <c r="J1394" s="991"/>
      <c r="M1394" s="113" t="s">
        <v>336</v>
      </c>
      <c r="N1394" s="113" t="s">
        <v>174</v>
      </c>
      <c r="O1394" s="113" t="s">
        <v>248</v>
      </c>
      <c r="P1394" s="113" t="s">
        <v>176</v>
      </c>
      <c r="Q1394" s="113" t="s">
        <v>337</v>
      </c>
      <c r="R1394" s="301" t="s">
        <v>1641</v>
      </c>
      <c r="S1394" s="301" t="s">
        <v>1642</v>
      </c>
      <c r="T1394" s="301" t="s">
        <v>1643</v>
      </c>
      <c r="U1394" s="301" t="s">
        <v>1644</v>
      </c>
      <c r="W1394" s="988" t="s">
        <v>1461</v>
      </c>
      <c r="X1394" s="988"/>
      <c r="Y1394" s="988"/>
      <c r="Z1394" s="988"/>
      <c r="AA1394" s="988"/>
      <c r="AB1394" s="988"/>
      <c r="AC1394" s="988"/>
      <c r="AD1394" s="988"/>
      <c r="AE1394" s="988"/>
    </row>
    <row r="1395" spans="3:31" s="29" customFormat="1" x14ac:dyDescent="0.25">
      <c r="C1395" s="990"/>
      <c r="D1395" s="990"/>
      <c r="E1395" s="990"/>
      <c r="F1395" s="991"/>
      <c r="G1395" s="991"/>
      <c r="H1395" s="991"/>
      <c r="I1395" s="991"/>
      <c r="J1395" s="991"/>
      <c r="M1395" s="114" t="s">
        <v>344</v>
      </c>
      <c r="N1395" s="114">
        <f>E3</f>
        <v>2099.0723984875517</v>
      </c>
      <c r="O1395" s="114" t="str">
        <f>D3</f>
        <v>g</v>
      </c>
      <c r="P1395" s="114">
        <v>100</v>
      </c>
      <c r="Q1395" s="114">
        <f>N1395</f>
        <v>2099.0723984875517</v>
      </c>
      <c r="R1395" s="114">
        <v>0</v>
      </c>
      <c r="S1395" s="114">
        <f>P1395*R1395</f>
        <v>0</v>
      </c>
      <c r="T1395" s="114">
        <f>P1395-S1395</f>
        <v>100</v>
      </c>
      <c r="U1395" s="114">
        <f>Q1395+((S1395*Q1395)/P1395)</f>
        <v>2099.0723984875517</v>
      </c>
      <c r="W1395" s="113" t="s">
        <v>336</v>
      </c>
      <c r="X1395" s="113" t="s">
        <v>174</v>
      </c>
      <c r="Y1395" s="113" t="s">
        <v>248</v>
      </c>
      <c r="Z1395" s="113" t="s">
        <v>176</v>
      </c>
      <c r="AA1395" s="113" t="s">
        <v>337</v>
      </c>
      <c r="AB1395" s="301" t="s">
        <v>1641</v>
      </c>
      <c r="AC1395" s="301" t="s">
        <v>1642</v>
      </c>
      <c r="AD1395" s="301" t="s">
        <v>1643</v>
      </c>
      <c r="AE1395" s="301" t="s">
        <v>1644</v>
      </c>
    </row>
    <row r="1396" spans="3:31" s="29" customFormat="1" x14ac:dyDescent="0.25">
      <c r="C1396" s="990"/>
      <c r="D1396" s="990"/>
      <c r="E1396" s="990"/>
      <c r="F1396" s="991"/>
      <c r="G1396" s="991"/>
      <c r="H1396" s="991"/>
      <c r="I1396" s="991"/>
      <c r="J1396" s="991"/>
      <c r="M1396" s="114" t="s">
        <v>340</v>
      </c>
      <c r="N1396" s="114">
        <f>Y20</f>
        <v>0.64</v>
      </c>
      <c r="O1396" s="114" t="str">
        <f>X20</f>
        <v>g</v>
      </c>
      <c r="P1396" s="114">
        <v>2</v>
      </c>
      <c r="Q1396" s="114">
        <f t="shared" ref="Q1396:Q1400" si="341">N1396*P1396</f>
        <v>1.28</v>
      </c>
      <c r="R1396" s="114">
        <v>0</v>
      </c>
      <c r="S1396" s="114">
        <f t="shared" ref="S1396:S1397" si="342">P1396*R1396</f>
        <v>0</v>
      </c>
      <c r="T1396" s="114">
        <f t="shared" ref="T1396:T1400" si="343">P1396-S1396</f>
        <v>2</v>
      </c>
      <c r="U1396" s="114">
        <f t="shared" ref="U1396:U1400" si="344">Q1396+((S1396*Q1396)/P1396)</f>
        <v>1.28</v>
      </c>
      <c r="W1396" s="114" t="s">
        <v>430</v>
      </c>
      <c r="X1396" s="114">
        <f>P10</f>
        <v>0.7</v>
      </c>
      <c r="Y1396" s="114" t="str">
        <f>O10</f>
        <v>g</v>
      </c>
      <c r="Z1396" s="114">
        <v>20</v>
      </c>
      <c r="AA1396" s="114">
        <f t="shared" ref="AA1396:AA1404" si="345">X1396*Z1396</f>
        <v>14</v>
      </c>
      <c r="AB1396" s="114">
        <f>AJ7</f>
        <v>0.15</v>
      </c>
      <c r="AC1396" s="114">
        <f>Z1396*AB1396</f>
        <v>3</v>
      </c>
      <c r="AD1396" s="114">
        <f>Z1396-AC1396</f>
        <v>17</v>
      </c>
      <c r="AE1396" s="114">
        <f>AA1396+((AC1396*AA1396)/Z1396)</f>
        <v>16.100000000000001</v>
      </c>
    </row>
    <row r="1397" spans="3:31" s="29" customFormat="1" x14ac:dyDescent="0.25">
      <c r="C1397" s="989" t="s">
        <v>0</v>
      </c>
      <c r="D1397" s="989"/>
      <c r="E1397" s="989"/>
      <c r="F1397" s="989" t="s">
        <v>1</v>
      </c>
      <c r="G1397" s="989"/>
      <c r="H1397" s="989"/>
      <c r="I1397" s="989"/>
      <c r="J1397" s="989"/>
      <c r="M1397" s="114" t="s">
        <v>441</v>
      </c>
      <c r="N1397" s="114">
        <f>AE1405</f>
        <v>7214.81</v>
      </c>
      <c r="O1397" s="114" t="s">
        <v>1388</v>
      </c>
      <c r="P1397" s="114">
        <v>120</v>
      </c>
      <c r="Q1397" s="114">
        <f>N1397</f>
        <v>7214.81</v>
      </c>
      <c r="R1397" s="114">
        <v>0</v>
      </c>
      <c r="S1397" s="114">
        <f t="shared" si="342"/>
        <v>0</v>
      </c>
      <c r="T1397" s="114">
        <f t="shared" si="343"/>
        <v>120</v>
      </c>
      <c r="U1397" s="114">
        <f t="shared" si="344"/>
        <v>7214.81</v>
      </c>
      <c r="W1397" s="114" t="s">
        <v>429</v>
      </c>
      <c r="X1397" s="114">
        <f>P29</f>
        <v>1.8</v>
      </c>
      <c r="Y1397" s="114" t="str">
        <f>O29</f>
        <v>g</v>
      </c>
      <c r="Z1397" s="114">
        <v>60</v>
      </c>
      <c r="AA1397" s="114">
        <f t="shared" si="345"/>
        <v>108</v>
      </c>
      <c r="AB1397" s="114">
        <f>AJ18</f>
        <v>0.05</v>
      </c>
      <c r="AC1397" s="114">
        <f t="shared" ref="AC1397:AC1398" si="346">Z1397*AB1397</f>
        <v>3</v>
      </c>
      <c r="AD1397" s="114">
        <f t="shared" ref="AD1397:AD1404" si="347">Z1397-AC1397</f>
        <v>57</v>
      </c>
      <c r="AE1397" s="114">
        <f t="shared" ref="AE1397:AE1404" si="348">AA1397+((AC1397*AA1397)/Z1397)</f>
        <v>113.4</v>
      </c>
    </row>
    <row r="1398" spans="3:31" s="29" customFormat="1" x14ac:dyDescent="0.25">
      <c r="C1398" s="990" t="s">
        <v>3</v>
      </c>
      <c r="D1398" s="990"/>
      <c r="E1398" s="990"/>
      <c r="F1398" s="992" t="s">
        <v>164</v>
      </c>
      <c r="G1398" s="991"/>
      <c r="H1398" s="991"/>
      <c r="I1398" s="991"/>
      <c r="J1398" s="991"/>
      <c r="M1398" s="114" t="s">
        <v>427</v>
      </c>
      <c r="N1398" s="114">
        <f>S8</f>
        <v>59</v>
      </c>
      <c r="O1398" s="114" t="str">
        <f>R8</f>
        <v>g</v>
      </c>
      <c r="P1398" s="114">
        <v>125</v>
      </c>
      <c r="Q1398" s="114">
        <f t="shared" si="341"/>
        <v>7375</v>
      </c>
      <c r="R1398" s="114">
        <f>AN4</f>
        <v>0.41</v>
      </c>
      <c r="S1398" s="114">
        <f>P1398*R1398</f>
        <v>51.25</v>
      </c>
      <c r="T1398" s="114">
        <f t="shared" si="343"/>
        <v>73.75</v>
      </c>
      <c r="U1398" s="114">
        <f t="shared" si="344"/>
        <v>10398.75</v>
      </c>
      <c r="W1398" s="114" t="s">
        <v>442</v>
      </c>
      <c r="X1398" s="114">
        <f>Y3</f>
        <v>30</v>
      </c>
      <c r="Y1398" s="114" t="str">
        <f>X3</f>
        <v>g</v>
      </c>
      <c r="Z1398" s="114">
        <v>8</v>
      </c>
      <c r="AA1398" s="114">
        <f t="shared" si="345"/>
        <v>240</v>
      </c>
      <c r="AB1398" s="114">
        <v>0</v>
      </c>
      <c r="AC1398" s="114">
        <f t="shared" si="346"/>
        <v>0</v>
      </c>
      <c r="AD1398" s="114">
        <f t="shared" si="347"/>
        <v>8</v>
      </c>
      <c r="AE1398" s="114">
        <f t="shared" si="348"/>
        <v>240</v>
      </c>
    </row>
    <row r="1399" spans="3:31" s="29" customFormat="1" x14ac:dyDescent="0.25">
      <c r="C1399" s="990"/>
      <c r="D1399" s="990"/>
      <c r="E1399" s="990"/>
      <c r="F1399" s="991"/>
      <c r="G1399" s="991"/>
      <c r="H1399" s="991"/>
      <c r="I1399" s="991"/>
      <c r="J1399" s="991"/>
      <c r="M1399" s="114" t="s">
        <v>430</v>
      </c>
      <c r="N1399" s="114">
        <f>P10</f>
        <v>0.7</v>
      </c>
      <c r="O1399" s="114" t="str">
        <f>O10</f>
        <v>g</v>
      </c>
      <c r="P1399" s="114">
        <v>30</v>
      </c>
      <c r="Q1399" s="114">
        <f t="shared" si="341"/>
        <v>21</v>
      </c>
      <c r="R1399" s="114">
        <f>AJ7</f>
        <v>0.15</v>
      </c>
      <c r="S1399" s="114">
        <f t="shared" ref="S1399:S1400" si="349">P1399*R1399</f>
        <v>4.5</v>
      </c>
      <c r="T1399" s="114">
        <f t="shared" si="343"/>
        <v>25.5</v>
      </c>
      <c r="U1399" s="114">
        <f t="shared" si="344"/>
        <v>24.15</v>
      </c>
      <c r="W1399" s="114" t="s">
        <v>561</v>
      </c>
      <c r="X1399" s="114">
        <f>Y18</f>
        <v>223.57</v>
      </c>
      <c r="Y1399" s="114" t="str">
        <f>X18</f>
        <v>g</v>
      </c>
      <c r="Z1399" s="114">
        <v>6</v>
      </c>
      <c r="AA1399" s="114">
        <f t="shared" si="345"/>
        <v>1341.42</v>
      </c>
      <c r="AB1399" s="114">
        <v>0</v>
      </c>
      <c r="AC1399" s="114">
        <f>Z1399*AB1399</f>
        <v>0</v>
      </c>
      <c r="AD1399" s="114">
        <f t="shared" si="347"/>
        <v>6</v>
      </c>
      <c r="AE1399" s="114">
        <f t="shared" si="348"/>
        <v>1341.42</v>
      </c>
    </row>
    <row r="1400" spans="3:31" s="29" customFormat="1" x14ac:dyDescent="0.25">
      <c r="C1400" s="990"/>
      <c r="D1400" s="990"/>
      <c r="E1400" s="990"/>
      <c r="F1400" s="991"/>
      <c r="G1400" s="991"/>
      <c r="H1400" s="991"/>
      <c r="I1400" s="991"/>
      <c r="J1400" s="991"/>
      <c r="M1400" s="114" t="s">
        <v>463</v>
      </c>
      <c r="N1400" s="114">
        <f>Y21+Y13</f>
        <v>239.9</v>
      </c>
      <c r="O1400" s="114" t="str">
        <f>X13</f>
        <v>g</v>
      </c>
      <c r="P1400" s="114">
        <v>15</v>
      </c>
      <c r="Q1400" s="114">
        <f t="shared" si="341"/>
        <v>3598.5</v>
      </c>
      <c r="R1400" s="114">
        <v>0</v>
      </c>
      <c r="S1400" s="114">
        <f t="shared" si="349"/>
        <v>0</v>
      </c>
      <c r="T1400" s="114">
        <f t="shared" si="343"/>
        <v>15</v>
      </c>
      <c r="U1400" s="114">
        <f t="shared" si="344"/>
        <v>3598.5</v>
      </c>
      <c r="W1400" s="114" t="s">
        <v>443</v>
      </c>
      <c r="X1400" s="114">
        <f>Y7</f>
        <v>3.6</v>
      </c>
      <c r="Y1400" s="114" t="str">
        <f>X7</f>
        <v>g</v>
      </c>
      <c r="Z1400" s="114">
        <v>5</v>
      </c>
      <c r="AA1400" s="114">
        <f t="shared" si="345"/>
        <v>18</v>
      </c>
      <c r="AB1400" s="114">
        <v>0</v>
      </c>
      <c r="AC1400" s="114">
        <f t="shared" ref="AC1400:AC1404" si="350">Z1400*AB1400</f>
        <v>0</v>
      </c>
      <c r="AD1400" s="114">
        <f t="shared" si="347"/>
        <v>5</v>
      </c>
      <c r="AE1400" s="114">
        <f t="shared" si="348"/>
        <v>18</v>
      </c>
    </row>
    <row r="1401" spans="3:31" s="29" customFormat="1" x14ac:dyDescent="0.25">
      <c r="C1401" s="990" t="s">
        <v>4</v>
      </c>
      <c r="D1401" s="990"/>
      <c r="E1401" s="990"/>
      <c r="F1401" s="991" t="s">
        <v>15</v>
      </c>
      <c r="G1401" s="991"/>
      <c r="H1401" s="991"/>
      <c r="I1401" s="991"/>
      <c r="J1401" s="991"/>
      <c r="M1401" s="114"/>
      <c r="N1401" s="114"/>
      <c r="O1401" s="114"/>
      <c r="P1401" s="114"/>
      <c r="Q1401" s="114"/>
      <c r="R1401" s="114"/>
      <c r="S1401" s="114"/>
      <c r="T1401" s="114"/>
      <c r="U1401" s="114"/>
      <c r="W1401" s="114" t="s">
        <v>444</v>
      </c>
      <c r="X1401" s="114">
        <f>AE3</f>
        <v>49.18</v>
      </c>
      <c r="Y1401" s="114" t="str">
        <f>AD3</f>
        <v>mL</v>
      </c>
      <c r="Z1401" s="114">
        <v>20</v>
      </c>
      <c r="AA1401" s="114">
        <f t="shared" si="345"/>
        <v>983.6</v>
      </c>
      <c r="AB1401" s="114">
        <v>0</v>
      </c>
      <c r="AC1401" s="114">
        <f t="shared" si="350"/>
        <v>0</v>
      </c>
      <c r="AD1401" s="114">
        <f t="shared" si="347"/>
        <v>20</v>
      </c>
      <c r="AE1401" s="114">
        <f t="shared" si="348"/>
        <v>983.6</v>
      </c>
    </row>
    <row r="1402" spans="3:31" s="29" customFormat="1" x14ac:dyDescent="0.25">
      <c r="C1402" s="990"/>
      <c r="D1402" s="990"/>
      <c r="E1402" s="990"/>
      <c r="F1402" s="991"/>
      <c r="G1402" s="991"/>
      <c r="H1402" s="991"/>
      <c r="I1402" s="991"/>
      <c r="J1402" s="991"/>
      <c r="M1402" s="114"/>
      <c r="N1402" s="114"/>
      <c r="O1402" s="114"/>
      <c r="P1402" s="114"/>
      <c r="Q1402" s="114"/>
      <c r="R1402" s="114"/>
      <c r="S1402" s="114"/>
      <c r="T1402" s="114"/>
      <c r="U1402" s="114"/>
      <c r="W1402" s="114" t="s">
        <v>432</v>
      </c>
      <c r="X1402" s="114">
        <f>S8</f>
        <v>59</v>
      </c>
      <c r="Y1402" s="114" t="str">
        <f>R8</f>
        <v>g</v>
      </c>
      <c r="Z1402" s="114">
        <v>35</v>
      </c>
      <c r="AA1402" s="114">
        <f t="shared" si="345"/>
        <v>2065</v>
      </c>
      <c r="AB1402" s="114">
        <f>AN4</f>
        <v>0.41</v>
      </c>
      <c r="AC1402" s="114">
        <f t="shared" si="350"/>
        <v>14.35</v>
      </c>
      <c r="AD1402" s="114">
        <f t="shared" si="347"/>
        <v>20.65</v>
      </c>
      <c r="AE1402" s="114">
        <f t="shared" si="348"/>
        <v>2911.65</v>
      </c>
    </row>
    <row r="1403" spans="3:31" s="29" customFormat="1" x14ac:dyDescent="0.25">
      <c r="C1403" s="990"/>
      <c r="D1403" s="990"/>
      <c r="E1403" s="990"/>
      <c r="F1403" s="991"/>
      <c r="G1403" s="991"/>
      <c r="H1403" s="991"/>
      <c r="I1403" s="991"/>
      <c r="J1403" s="991"/>
      <c r="M1403" s="114" t="s">
        <v>337</v>
      </c>
      <c r="N1403" s="114">
        <f>SUM(N1395:N1402)</f>
        <v>9614.1223984875523</v>
      </c>
      <c r="O1403" s="114"/>
      <c r="P1403" s="114">
        <f>SUM(P1395:P1402)</f>
        <v>392</v>
      </c>
      <c r="Q1403" s="114">
        <f>SUM(Q1395:Q1402)</f>
        <v>20309.662398487551</v>
      </c>
      <c r="R1403" s="114"/>
      <c r="S1403" s="114"/>
      <c r="T1403" s="114"/>
      <c r="U1403" s="114">
        <f>SUM(U1395:U1402)</f>
        <v>23336.562398487553</v>
      </c>
      <c r="W1403" s="114" t="s">
        <v>445</v>
      </c>
      <c r="X1403" s="114">
        <f>Y15</f>
        <v>159</v>
      </c>
      <c r="Y1403" s="114" t="str">
        <f>X15</f>
        <v>g</v>
      </c>
      <c r="Z1403" s="114">
        <v>10</v>
      </c>
      <c r="AA1403" s="114">
        <f t="shared" si="345"/>
        <v>1590</v>
      </c>
      <c r="AB1403" s="114">
        <v>0</v>
      </c>
      <c r="AC1403" s="114">
        <f t="shared" si="350"/>
        <v>0</v>
      </c>
      <c r="AD1403" s="114">
        <f t="shared" si="347"/>
        <v>10</v>
      </c>
      <c r="AE1403" s="114">
        <f t="shared" si="348"/>
        <v>1590</v>
      </c>
    </row>
    <row r="1404" spans="3:31" s="29" customFormat="1" x14ac:dyDescent="0.25">
      <c r="C1404" s="990" t="s">
        <v>5</v>
      </c>
      <c r="D1404" s="990"/>
      <c r="E1404" s="990"/>
      <c r="F1404" s="991" t="s">
        <v>165</v>
      </c>
      <c r="G1404" s="991"/>
      <c r="H1404" s="991"/>
      <c r="I1404" s="991"/>
      <c r="J1404" s="991"/>
      <c r="W1404" s="114" t="s">
        <v>340</v>
      </c>
      <c r="X1404" s="114">
        <f>Y20</f>
        <v>0.64</v>
      </c>
      <c r="Y1404" s="114" t="str">
        <f>X20</f>
        <v>g</v>
      </c>
      <c r="Z1404" s="114">
        <v>1</v>
      </c>
      <c r="AA1404" s="114">
        <f t="shared" si="345"/>
        <v>0.64</v>
      </c>
      <c r="AB1404" s="114">
        <v>0</v>
      </c>
      <c r="AC1404" s="114">
        <f t="shared" si="350"/>
        <v>0</v>
      </c>
      <c r="AD1404" s="114">
        <f t="shared" si="347"/>
        <v>1</v>
      </c>
      <c r="AE1404" s="114">
        <f t="shared" si="348"/>
        <v>0.64</v>
      </c>
    </row>
    <row r="1405" spans="3:31" s="29" customFormat="1" x14ac:dyDescent="0.25">
      <c r="C1405" s="990"/>
      <c r="D1405" s="990"/>
      <c r="E1405" s="990"/>
      <c r="F1405" s="991"/>
      <c r="G1405" s="991"/>
      <c r="H1405" s="991"/>
      <c r="I1405" s="991"/>
      <c r="J1405" s="991"/>
      <c r="Q1405" s="114" t="s">
        <v>1681</v>
      </c>
      <c r="R1405" s="114">
        <f>U1403</f>
        <v>23336.562398487553</v>
      </c>
      <c r="S1405" s="608" t="s">
        <v>2142</v>
      </c>
      <c r="T1405" s="608">
        <f>(R1405*100)/R1412</f>
        <v>53.414270462903239</v>
      </c>
      <c r="W1405" s="114" t="s">
        <v>337</v>
      </c>
      <c r="X1405" s="114">
        <f>SUM(X1396:X1404)</f>
        <v>527.49</v>
      </c>
      <c r="Y1405" s="114"/>
      <c r="Z1405" s="114">
        <f>SUM(Z1396:Z1404)</f>
        <v>165</v>
      </c>
      <c r="AA1405" s="114">
        <f>SUM(AA1396:AA1404)</f>
        <v>6360.6600000000008</v>
      </c>
      <c r="AB1405" s="114"/>
      <c r="AC1405" s="114"/>
      <c r="AD1405" s="114"/>
      <c r="AE1405" s="114">
        <f>SUM(AE1396:AE1404)</f>
        <v>7214.81</v>
      </c>
    </row>
    <row r="1406" spans="3:31" s="29" customFormat="1" x14ac:dyDescent="0.25">
      <c r="C1406" s="990"/>
      <c r="D1406" s="990"/>
      <c r="E1406" s="990"/>
      <c r="F1406" s="991"/>
      <c r="G1406" s="991"/>
      <c r="H1406" s="991"/>
      <c r="I1406" s="991"/>
      <c r="J1406" s="991"/>
      <c r="Q1406" s="114" t="s">
        <v>2326</v>
      </c>
      <c r="R1406" s="114">
        <f>$AL$26</f>
        <v>1801.715474357886</v>
      </c>
    </row>
    <row r="1407" spans="3:31" s="29" customFormat="1" x14ac:dyDescent="0.25">
      <c r="C1407" s="990" t="s">
        <v>6</v>
      </c>
      <c r="D1407" s="990"/>
      <c r="E1407" s="990"/>
      <c r="F1407" s="991" t="s">
        <v>9</v>
      </c>
      <c r="G1407" s="991"/>
      <c r="H1407" s="991"/>
      <c r="I1407" s="991"/>
      <c r="J1407" s="991"/>
      <c r="Q1407" s="114" t="s">
        <v>2325</v>
      </c>
      <c r="R1407" s="114">
        <f>$AL$27</f>
        <v>75.599999999999994</v>
      </c>
      <c r="AA1407" s="114" t="s">
        <v>1681</v>
      </c>
      <c r="AB1407" s="114">
        <f>AE1405</f>
        <v>7214.81</v>
      </c>
      <c r="AC1407" s="608" t="s">
        <v>2142</v>
      </c>
      <c r="AD1407" s="608">
        <f>(AB1407*100)/AB1414</f>
        <v>45.099047892012386</v>
      </c>
    </row>
    <row r="1408" spans="3:31" s="29" customFormat="1" x14ac:dyDescent="0.25">
      <c r="C1408" s="990"/>
      <c r="D1408" s="990"/>
      <c r="E1408" s="990"/>
      <c r="F1408" s="991"/>
      <c r="G1408" s="991"/>
      <c r="H1408" s="991"/>
      <c r="I1408" s="991"/>
      <c r="J1408" s="991"/>
      <c r="Q1408" s="114" t="s">
        <v>1684</v>
      </c>
      <c r="R1408" s="114">
        <f>$AL$29</f>
        <v>69.543532482306858</v>
      </c>
      <c r="AA1408" s="114" t="s">
        <v>2326</v>
      </c>
      <c r="AB1408" s="114">
        <f>$AO$26/2</f>
        <v>476.87414947063905</v>
      </c>
    </row>
    <row r="1409" spans="3:31" s="29" customFormat="1" x14ac:dyDescent="0.25">
      <c r="C1409" s="990"/>
      <c r="D1409" s="990"/>
      <c r="E1409" s="990"/>
      <c r="F1409" s="991"/>
      <c r="G1409" s="991"/>
      <c r="H1409" s="991"/>
      <c r="I1409" s="991"/>
      <c r="J1409" s="991"/>
      <c r="Q1409" s="114" t="s">
        <v>1685</v>
      </c>
      <c r="R1409" s="114">
        <v>0.6</v>
      </c>
      <c r="AA1409" s="114" t="s">
        <v>2325</v>
      </c>
      <c r="AB1409" s="114">
        <f>$AO$27/4</f>
        <v>18.899999999999999</v>
      </c>
    </row>
    <row r="1410" spans="3:31" s="29" customFormat="1" x14ac:dyDescent="0.25">
      <c r="C1410" s="990" t="s">
        <v>7</v>
      </c>
      <c r="D1410" s="990"/>
      <c r="E1410" s="990"/>
      <c r="F1410" s="991" t="s">
        <v>622</v>
      </c>
      <c r="G1410" s="991"/>
      <c r="H1410" s="991"/>
      <c r="I1410" s="991"/>
      <c r="J1410" s="991"/>
      <c r="Q1410" s="114" t="s">
        <v>1708</v>
      </c>
      <c r="R1410" s="114">
        <f>(SUM(R1405:R1408)*R1409)+SUM(R1405:R1408)</f>
        <v>40453.474248524391</v>
      </c>
      <c r="AA1410" s="114" t="s">
        <v>1684</v>
      </c>
      <c r="AB1410" s="114">
        <f>$AO$29</f>
        <v>1547.3435977313275</v>
      </c>
    </row>
    <row r="1411" spans="3:31" s="29" customFormat="1" x14ac:dyDescent="0.25">
      <c r="C1411" s="990"/>
      <c r="D1411" s="990"/>
      <c r="E1411" s="990"/>
      <c r="F1411" s="991"/>
      <c r="G1411" s="991"/>
      <c r="H1411" s="991"/>
      <c r="I1411" s="991"/>
      <c r="J1411" s="991"/>
      <c r="Q1411" s="114" t="s">
        <v>2130</v>
      </c>
      <c r="R1411" s="114">
        <f>R1410*0.08</f>
        <v>3236.2779398819512</v>
      </c>
      <c r="AA1411" s="114" t="s">
        <v>1685</v>
      </c>
      <c r="AB1411" s="114">
        <v>0.6</v>
      </c>
    </row>
    <row r="1412" spans="3:31" s="29" customFormat="1" x14ac:dyDescent="0.25">
      <c r="C1412" s="990"/>
      <c r="D1412" s="990"/>
      <c r="E1412" s="990"/>
      <c r="F1412" s="991"/>
      <c r="G1412" s="991"/>
      <c r="H1412" s="991"/>
      <c r="I1412" s="991"/>
      <c r="J1412" s="991"/>
      <c r="Q1412" s="114" t="s">
        <v>1686</v>
      </c>
      <c r="R1412" s="114">
        <f>SUM(R1410+R1411)</f>
        <v>43689.752188406346</v>
      </c>
      <c r="AA1412" s="114" t="s">
        <v>1708</v>
      </c>
      <c r="AB1412" s="114">
        <f>(SUM(AB1407:AB1410)*AB1411)+SUM(AB1407:AB1410)</f>
        <v>14812.684395523149</v>
      </c>
    </row>
    <row r="1413" spans="3:31" s="29" customFormat="1" x14ac:dyDescent="0.25">
      <c r="AA1413" s="114" t="s">
        <v>2130</v>
      </c>
      <c r="AB1413" s="114">
        <f>AB1412*0.08</f>
        <v>1185.0147516418519</v>
      </c>
    </row>
    <row r="1414" spans="3:31" s="29" customFormat="1" x14ac:dyDescent="0.25">
      <c r="AA1414" s="114" t="s">
        <v>1686</v>
      </c>
      <c r="AB1414" s="114">
        <f>SUM(AB1412+AB1413)</f>
        <v>15997.699147165</v>
      </c>
    </row>
    <row r="1415" spans="3:31" s="29" customFormat="1" x14ac:dyDescent="0.25"/>
    <row r="1416" spans="3:31" s="29" customFormat="1" x14ac:dyDescent="0.25"/>
    <row r="1417" spans="3:31" s="29" customFormat="1" x14ac:dyDescent="0.25"/>
    <row r="1418" spans="3:31" s="29" customFormat="1" x14ac:dyDescent="0.25">
      <c r="C1418" s="993" t="s">
        <v>8</v>
      </c>
      <c r="D1418" s="993"/>
      <c r="E1418" s="993"/>
      <c r="F1418" s="993"/>
      <c r="G1418" s="993"/>
      <c r="H1418" s="993"/>
      <c r="I1418" s="993"/>
      <c r="J1418" s="993"/>
    </row>
    <row r="1419" spans="3:31" s="29" customFormat="1" x14ac:dyDescent="0.25">
      <c r="C1419" s="989" t="s">
        <v>0</v>
      </c>
      <c r="D1419" s="989"/>
      <c r="E1419" s="989"/>
      <c r="F1419" s="989" t="s">
        <v>1</v>
      </c>
      <c r="G1419" s="989"/>
      <c r="H1419" s="989"/>
      <c r="I1419" s="989"/>
      <c r="J1419" s="989"/>
    </row>
    <row r="1420" spans="3:31" s="29" customFormat="1" x14ac:dyDescent="0.25">
      <c r="C1420" s="990" t="s">
        <v>2</v>
      </c>
      <c r="D1420" s="990"/>
      <c r="E1420" s="990"/>
      <c r="F1420" s="991" t="s">
        <v>224</v>
      </c>
      <c r="G1420" s="991"/>
      <c r="H1420" s="991"/>
      <c r="I1420" s="991"/>
      <c r="J1420" s="991"/>
      <c r="M1420" s="113" t="s">
        <v>336</v>
      </c>
      <c r="N1420" s="113" t="s">
        <v>174</v>
      </c>
      <c r="O1420" s="113" t="s">
        <v>248</v>
      </c>
      <c r="P1420" s="113" t="s">
        <v>176</v>
      </c>
      <c r="Q1420" s="113" t="s">
        <v>337</v>
      </c>
      <c r="R1420" s="301" t="s">
        <v>1641</v>
      </c>
      <c r="S1420" s="301" t="s">
        <v>1642</v>
      </c>
      <c r="T1420" s="301" t="s">
        <v>1643</v>
      </c>
      <c r="U1420" s="301" t="s">
        <v>1644</v>
      </c>
      <c r="W1420" s="988" t="s">
        <v>1467</v>
      </c>
      <c r="X1420" s="988"/>
      <c r="Y1420" s="988"/>
      <c r="Z1420" s="988"/>
      <c r="AA1420" s="988"/>
      <c r="AB1420" s="988"/>
      <c r="AC1420" s="988"/>
      <c r="AD1420" s="988"/>
      <c r="AE1420" s="988"/>
    </row>
    <row r="1421" spans="3:31" s="29" customFormat="1" x14ac:dyDescent="0.25">
      <c r="C1421" s="990"/>
      <c r="D1421" s="990"/>
      <c r="E1421" s="990"/>
      <c r="F1421" s="991"/>
      <c r="G1421" s="991"/>
      <c r="H1421" s="991"/>
      <c r="I1421" s="991"/>
      <c r="J1421" s="991"/>
      <c r="M1421" s="114" t="s">
        <v>344</v>
      </c>
      <c r="N1421" s="114">
        <f>E3</f>
        <v>2099.0723984875517</v>
      </c>
      <c r="O1421" s="114" t="str">
        <f>D3</f>
        <v>g</v>
      </c>
      <c r="P1421" s="114">
        <v>100</v>
      </c>
      <c r="Q1421" s="114">
        <f>N1421</f>
        <v>2099.0723984875517</v>
      </c>
      <c r="R1421" s="114">
        <v>0</v>
      </c>
      <c r="S1421" s="114">
        <f>P1421*R1421</f>
        <v>0</v>
      </c>
      <c r="T1421" s="114">
        <f>P1421-S1421</f>
        <v>100</v>
      </c>
      <c r="U1421" s="114">
        <f>Q1421+((S1421*Q1421)/P1421)</f>
        <v>2099.0723984875517</v>
      </c>
      <c r="W1421" s="301" t="s">
        <v>336</v>
      </c>
      <c r="X1421" s="301" t="s">
        <v>174</v>
      </c>
      <c r="Y1421" s="301" t="s">
        <v>248</v>
      </c>
      <c r="Z1421" s="301" t="s">
        <v>176</v>
      </c>
      <c r="AA1421" s="301" t="s">
        <v>337</v>
      </c>
      <c r="AB1421" s="301" t="s">
        <v>1641</v>
      </c>
      <c r="AC1421" s="301" t="s">
        <v>1642</v>
      </c>
      <c r="AD1421" s="301" t="s">
        <v>1643</v>
      </c>
      <c r="AE1421" s="301" t="s">
        <v>1644</v>
      </c>
    </row>
    <row r="1422" spans="3:31" s="29" customFormat="1" x14ac:dyDescent="0.25">
      <c r="C1422" s="990"/>
      <c r="D1422" s="990"/>
      <c r="E1422" s="990"/>
      <c r="F1422" s="991"/>
      <c r="G1422" s="991"/>
      <c r="H1422" s="991"/>
      <c r="I1422" s="991"/>
      <c r="J1422" s="991"/>
      <c r="M1422" s="114" t="s">
        <v>340</v>
      </c>
      <c r="N1422" s="114">
        <f>Y20</f>
        <v>0.64</v>
      </c>
      <c r="O1422" s="114" t="str">
        <f>X20</f>
        <v>g</v>
      </c>
      <c r="P1422" s="114">
        <v>2</v>
      </c>
      <c r="Q1422" s="114">
        <f t="shared" ref="Q1422:Q1428" si="351">N1422*P1422</f>
        <v>1.28</v>
      </c>
      <c r="R1422" s="114">
        <v>0</v>
      </c>
      <c r="S1422" s="114">
        <f t="shared" ref="S1422:S1423" si="352">P1422*R1422</f>
        <v>0</v>
      </c>
      <c r="T1422" s="114">
        <f t="shared" ref="T1422:T1427" si="353">P1422-S1422</f>
        <v>2</v>
      </c>
      <c r="U1422" s="114">
        <f t="shared" ref="U1422:U1427" si="354">Q1422+((S1422*Q1422)/P1422)</f>
        <v>1.28</v>
      </c>
      <c r="W1422" s="114" t="s">
        <v>442</v>
      </c>
      <c r="X1422" s="114">
        <f>Y3</f>
        <v>30</v>
      </c>
      <c r="Y1422" s="114" t="str">
        <f>X3</f>
        <v>g</v>
      </c>
      <c r="Z1422" s="114">
        <v>15</v>
      </c>
      <c r="AA1422" s="114">
        <f>X1422*Z1422</f>
        <v>450</v>
      </c>
      <c r="AB1422" s="114">
        <v>0</v>
      </c>
      <c r="AC1422" s="114">
        <f>Z1422*AB1422</f>
        <v>0</v>
      </c>
      <c r="AD1422" s="114">
        <f>Z1422-AC1422</f>
        <v>15</v>
      </c>
      <c r="AE1422" s="114">
        <f>AA1422+((AC1422*AA1422)/Z1422)</f>
        <v>450</v>
      </c>
    </row>
    <row r="1423" spans="3:31" s="29" customFormat="1" x14ac:dyDescent="0.25">
      <c r="C1423" s="989" t="s">
        <v>0</v>
      </c>
      <c r="D1423" s="989"/>
      <c r="E1423" s="989"/>
      <c r="F1423" s="989" t="s">
        <v>1</v>
      </c>
      <c r="G1423" s="989"/>
      <c r="H1423" s="989"/>
      <c r="I1423" s="989"/>
      <c r="J1423" s="989"/>
      <c r="M1423" s="114" t="s">
        <v>346</v>
      </c>
      <c r="N1423" s="114">
        <f>P3</f>
        <v>7</v>
      </c>
      <c r="O1423" s="114" t="str">
        <f>O3</f>
        <v>g</v>
      </c>
      <c r="P1423" s="114">
        <v>6</v>
      </c>
      <c r="Q1423" s="114">
        <f t="shared" si="351"/>
        <v>42</v>
      </c>
      <c r="R1423" s="114">
        <f>AJ2</f>
        <v>0.23</v>
      </c>
      <c r="S1423" s="114">
        <f t="shared" si="352"/>
        <v>1.3800000000000001</v>
      </c>
      <c r="T1423" s="114">
        <f t="shared" si="353"/>
        <v>4.62</v>
      </c>
      <c r="U1423" s="114">
        <f t="shared" si="354"/>
        <v>51.660000000000004</v>
      </c>
      <c r="W1423" s="114" t="s">
        <v>482</v>
      </c>
      <c r="X1423" s="114">
        <f>P18</f>
        <v>5</v>
      </c>
      <c r="Y1423" s="114" t="str">
        <f>O18</f>
        <v>g</v>
      </c>
      <c r="Z1423" s="114">
        <v>10</v>
      </c>
      <c r="AA1423" s="114">
        <f t="shared" ref="AA1423:AA1428" si="355">X1423*Z1423</f>
        <v>50</v>
      </c>
      <c r="AB1423" s="114">
        <f>AJ11</f>
        <v>0.23</v>
      </c>
      <c r="AC1423" s="114">
        <f t="shared" ref="AC1423:AC1424" si="356">Z1423*AB1423</f>
        <v>2.3000000000000003</v>
      </c>
      <c r="AD1423" s="114">
        <f t="shared" ref="AD1423:AD1428" si="357">Z1423-AC1423</f>
        <v>7.6999999999999993</v>
      </c>
      <c r="AE1423" s="114">
        <f t="shared" ref="AE1423:AE1428" si="358">AA1423+((AC1423*AA1423)/Z1423)</f>
        <v>61.5</v>
      </c>
    </row>
    <row r="1424" spans="3:31" s="29" customFormat="1" x14ac:dyDescent="0.25">
      <c r="C1424" s="990" t="s">
        <v>3</v>
      </c>
      <c r="D1424" s="990"/>
      <c r="E1424" s="990"/>
      <c r="F1424" s="992" t="s">
        <v>224</v>
      </c>
      <c r="G1424" s="991"/>
      <c r="H1424" s="991"/>
      <c r="I1424" s="991"/>
      <c r="J1424" s="991"/>
      <c r="M1424" s="114" t="s">
        <v>349</v>
      </c>
      <c r="N1424" s="114">
        <f>S15</f>
        <v>41</v>
      </c>
      <c r="O1424" s="114" t="str">
        <f>R15</f>
        <v>g</v>
      </c>
      <c r="P1424" s="114">
        <v>100</v>
      </c>
      <c r="Q1424" s="114">
        <f t="shared" si="351"/>
        <v>4100</v>
      </c>
      <c r="R1424" s="114">
        <f>AN3</f>
        <v>0.47</v>
      </c>
      <c r="S1424" s="114">
        <f>P1424*R1424</f>
        <v>47</v>
      </c>
      <c r="T1424" s="114">
        <f t="shared" si="353"/>
        <v>53</v>
      </c>
      <c r="U1424" s="114">
        <f t="shared" si="354"/>
        <v>6027</v>
      </c>
      <c r="W1424" s="114" t="s">
        <v>547</v>
      </c>
      <c r="X1424" s="114">
        <f>V13</f>
        <v>81.900000000000006</v>
      </c>
      <c r="Y1424" s="114" t="str">
        <f>U13</f>
        <v>g</v>
      </c>
      <c r="Z1424" s="114">
        <v>15</v>
      </c>
      <c r="AA1424" s="114">
        <f t="shared" si="355"/>
        <v>1228.5</v>
      </c>
      <c r="AB1424" s="114">
        <v>0</v>
      </c>
      <c r="AC1424" s="114">
        <f t="shared" si="356"/>
        <v>0</v>
      </c>
      <c r="AD1424" s="114">
        <f t="shared" si="357"/>
        <v>15</v>
      </c>
      <c r="AE1424" s="114">
        <f t="shared" si="358"/>
        <v>1228.5</v>
      </c>
    </row>
    <row r="1425" spans="3:31" s="29" customFormat="1" x14ac:dyDescent="0.25">
      <c r="C1425" s="990"/>
      <c r="D1425" s="990"/>
      <c r="E1425" s="990"/>
      <c r="F1425" s="991"/>
      <c r="G1425" s="991"/>
      <c r="H1425" s="991"/>
      <c r="I1425" s="991"/>
      <c r="J1425" s="991"/>
      <c r="M1425" s="114" t="s">
        <v>521</v>
      </c>
      <c r="N1425" s="114">
        <f>AE1429</f>
        <v>5620.16</v>
      </c>
      <c r="O1425" s="114" t="s">
        <v>1388</v>
      </c>
      <c r="P1425" s="114">
        <v>120</v>
      </c>
      <c r="Q1425" s="114">
        <f>N1425</f>
        <v>5620.16</v>
      </c>
      <c r="R1425" s="114">
        <v>0</v>
      </c>
      <c r="S1425" s="114">
        <f t="shared" ref="S1425:S1427" si="359">P1425*R1425</f>
        <v>0</v>
      </c>
      <c r="T1425" s="114">
        <f t="shared" si="353"/>
        <v>120</v>
      </c>
      <c r="U1425" s="114">
        <f t="shared" si="354"/>
        <v>5620.16</v>
      </c>
      <c r="W1425" s="114" t="s">
        <v>340</v>
      </c>
      <c r="X1425" s="114">
        <f>Y20</f>
        <v>0.64</v>
      </c>
      <c r="Y1425" s="114" t="str">
        <f>X20</f>
        <v>g</v>
      </c>
      <c r="Z1425" s="114">
        <v>1</v>
      </c>
      <c r="AA1425" s="114">
        <f t="shared" si="355"/>
        <v>0.64</v>
      </c>
      <c r="AB1425" s="114">
        <v>0</v>
      </c>
      <c r="AC1425" s="114">
        <f>Z1425*AB1425</f>
        <v>0</v>
      </c>
      <c r="AD1425" s="114">
        <f t="shared" si="357"/>
        <v>1</v>
      </c>
      <c r="AE1425" s="114">
        <f t="shared" si="358"/>
        <v>0.64</v>
      </c>
    </row>
    <row r="1426" spans="3:31" s="29" customFormat="1" x14ac:dyDescent="0.25">
      <c r="C1426" s="990"/>
      <c r="D1426" s="990"/>
      <c r="E1426" s="990"/>
      <c r="F1426" s="991"/>
      <c r="G1426" s="991"/>
      <c r="H1426" s="991"/>
      <c r="I1426" s="991"/>
      <c r="J1426" s="991"/>
      <c r="M1426" s="114" t="s">
        <v>433</v>
      </c>
      <c r="N1426" s="114">
        <f>Y18</f>
        <v>223.57</v>
      </c>
      <c r="O1426" s="114" t="str">
        <f>X18</f>
        <v>g</v>
      </c>
      <c r="P1426" s="114">
        <v>10</v>
      </c>
      <c r="Q1426" s="114">
        <f t="shared" si="351"/>
        <v>2235.6999999999998</v>
      </c>
      <c r="R1426" s="114">
        <v>0</v>
      </c>
      <c r="S1426" s="114">
        <f t="shared" si="359"/>
        <v>0</v>
      </c>
      <c r="T1426" s="114">
        <f t="shared" si="353"/>
        <v>10</v>
      </c>
      <c r="U1426" s="114">
        <f t="shared" si="354"/>
        <v>2235.6999999999998</v>
      </c>
      <c r="W1426" s="114" t="s">
        <v>346</v>
      </c>
      <c r="X1426" s="114">
        <f>P3</f>
        <v>7</v>
      </c>
      <c r="Y1426" s="114" t="str">
        <f>O3</f>
        <v>g</v>
      </c>
      <c r="Z1426" s="114">
        <v>4</v>
      </c>
      <c r="AA1426" s="114">
        <f t="shared" si="355"/>
        <v>28</v>
      </c>
      <c r="AB1426" s="114">
        <f>AJ2</f>
        <v>0.23</v>
      </c>
      <c r="AC1426" s="114">
        <f t="shared" ref="AC1426:AC1428" si="360">Z1426*AB1426</f>
        <v>0.92</v>
      </c>
      <c r="AD1426" s="114">
        <f t="shared" si="357"/>
        <v>3.08</v>
      </c>
      <c r="AE1426" s="114">
        <f t="shared" si="358"/>
        <v>34.44</v>
      </c>
    </row>
    <row r="1427" spans="3:31" s="29" customFormat="1" x14ac:dyDescent="0.25">
      <c r="C1427" s="990" t="s">
        <v>4</v>
      </c>
      <c r="D1427" s="990"/>
      <c r="E1427" s="990"/>
      <c r="F1427" s="991" t="s">
        <v>15</v>
      </c>
      <c r="G1427" s="991"/>
      <c r="H1427" s="991"/>
      <c r="I1427" s="991"/>
      <c r="J1427" s="991"/>
      <c r="M1427" s="114" t="s">
        <v>502</v>
      </c>
      <c r="N1427" s="114">
        <f>V10</f>
        <v>50.2</v>
      </c>
      <c r="O1427" s="114" t="str">
        <f>U10</f>
        <v>g</v>
      </c>
      <c r="P1427" s="114">
        <v>40</v>
      </c>
      <c r="Q1427" s="114">
        <f t="shared" si="351"/>
        <v>2008</v>
      </c>
      <c r="R1427" s="114">
        <v>0</v>
      </c>
      <c r="S1427" s="114">
        <f t="shared" si="359"/>
        <v>0</v>
      </c>
      <c r="T1427" s="114">
        <f t="shared" si="353"/>
        <v>40</v>
      </c>
      <c r="U1427" s="114">
        <f t="shared" si="354"/>
        <v>2008</v>
      </c>
      <c r="W1427" s="114" t="s">
        <v>433</v>
      </c>
      <c r="X1427" s="114">
        <f>Y18</f>
        <v>223.57</v>
      </c>
      <c r="Y1427" s="114" t="str">
        <f>X18</f>
        <v>g</v>
      </c>
      <c r="Z1427" s="114">
        <v>4</v>
      </c>
      <c r="AA1427" s="114">
        <f t="shared" si="355"/>
        <v>894.28</v>
      </c>
      <c r="AB1427" s="114">
        <v>0</v>
      </c>
      <c r="AC1427" s="114">
        <f t="shared" si="360"/>
        <v>0</v>
      </c>
      <c r="AD1427" s="114">
        <f t="shared" si="357"/>
        <v>4</v>
      </c>
      <c r="AE1427" s="114">
        <f t="shared" si="358"/>
        <v>894.28</v>
      </c>
    </row>
    <row r="1428" spans="3:31" s="29" customFormat="1" x14ac:dyDescent="0.25">
      <c r="C1428" s="990"/>
      <c r="D1428" s="990"/>
      <c r="E1428" s="990"/>
      <c r="F1428" s="991"/>
      <c r="G1428" s="991"/>
      <c r="H1428" s="991"/>
      <c r="I1428" s="991"/>
      <c r="J1428" s="991"/>
      <c r="M1428" s="114"/>
      <c r="N1428" s="114"/>
      <c r="O1428" s="114"/>
      <c r="P1428" s="114"/>
      <c r="Q1428" s="114">
        <f t="shared" si="351"/>
        <v>0</v>
      </c>
      <c r="R1428" s="114"/>
      <c r="S1428" s="114"/>
      <c r="T1428" s="114"/>
      <c r="U1428" s="114"/>
      <c r="W1428" s="114" t="s">
        <v>546</v>
      </c>
      <c r="X1428" s="114">
        <f>AE3</f>
        <v>49.18</v>
      </c>
      <c r="Y1428" s="114" t="str">
        <f>AD3</f>
        <v>mL</v>
      </c>
      <c r="Z1428" s="114">
        <v>60</v>
      </c>
      <c r="AA1428" s="114">
        <f t="shared" si="355"/>
        <v>2950.8</v>
      </c>
      <c r="AB1428" s="114">
        <v>0</v>
      </c>
      <c r="AC1428" s="114">
        <f t="shared" si="360"/>
        <v>0</v>
      </c>
      <c r="AD1428" s="114">
        <f t="shared" si="357"/>
        <v>60</v>
      </c>
      <c r="AE1428" s="114">
        <f t="shared" si="358"/>
        <v>2950.8</v>
      </c>
    </row>
    <row r="1429" spans="3:31" s="29" customFormat="1" x14ac:dyDescent="0.25">
      <c r="C1429" s="990"/>
      <c r="D1429" s="990"/>
      <c r="E1429" s="990"/>
      <c r="F1429" s="991"/>
      <c r="G1429" s="991"/>
      <c r="H1429" s="991"/>
      <c r="I1429" s="991"/>
      <c r="J1429" s="991"/>
      <c r="M1429" s="114" t="s">
        <v>337</v>
      </c>
      <c r="N1429" s="114">
        <f>SUM(N1421:N1428)</f>
        <v>8041.642398487551</v>
      </c>
      <c r="O1429" s="114"/>
      <c r="P1429" s="114">
        <f>SUM(P1421:P1428)</f>
        <v>378</v>
      </c>
      <c r="Q1429" s="114">
        <f>SUM(Q1421:Q1428)</f>
        <v>16106.212398487551</v>
      </c>
      <c r="R1429" s="114"/>
      <c r="S1429" s="114"/>
      <c r="T1429" s="114"/>
      <c r="U1429" s="114">
        <f>SUM(U1421:U1428)</f>
        <v>18042.872398487551</v>
      </c>
      <c r="W1429" s="114" t="s">
        <v>337</v>
      </c>
      <c r="X1429" s="114">
        <f>SUM(X1422:X1428)</f>
        <v>397.29</v>
      </c>
      <c r="Y1429" s="114"/>
      <c r="Z1429" s="114">
        <f>SUM(Z1422:Z1428)</f>
        <v>109</v>
      </c>
      <c r="AA1429" s="114">
        <f>SUM(AA1422:AA1428)</f>
        <v>5602.22</v>
      </c>
      <c r="AB1429" s="114"/>
      <c r="AC1429" s="114"/>
      <c r="AD1429" s="114"/>
      <c r="AE1429" s="114">
        <f>SUM(AE1422:AE1428)</f>
        <v>5620.16</v>
      </c>
    </row>
    <row r="1430" spans="3:31" s="29" customFormat="1" x14ac:dyDescent="0.25">
      <c r="C1430" s="990" t="s">
        <v>5</v>
      </c>
      <c r="D1430" s="990"/>
      <c r="E1430" s="990"/>
      <c r="F1430" s="991" t="s">
        <v>225</v>
      </c>
      <c r="G1430" s="991"/>
      <c r="H1430" s="991"/>
      <c r="I1430" s="991"/>
      <c r="J1430" s="991"/>
    </row>
    <row r="1431" spans="3:31" s="29" customFormat="1" x14ac:dyDescent="0.25">
      <c r="C1431" s="990"/>
      <c r="D1431" s="990"/>
      <c r="E1431" s="990"/>
      <c r="F1431" s="991"/>
      <c r="G1431" s="991"/>
      <c r="H1431" s="991"/>
      <c r="I1431" s="991"/>
      <c r="J1431" s="991"/>
      <c r="Q1431" s="114" t="s">
        <v>1681</v>
      </c>
      <c r="R1431" s="114">
        <f>U1429</f>
        <v>18042.872398487551</v>
      </c>
      <c r="S1431" s="608" t="s">
        <v>2142</v>
      </c>
      <c r="T1431" s="608">
        <f>(R1431*100)/R1438</f>
        <v>52.234204005738512</v>
      </c>
      <c r="AA1431" s="114" t="s">
        <v>1681</v>
      </c>
      <c r="AB1431" s="114">
        <f>AE1429</f>
        <v>5620.16</v>
      </c>
      <c r="AC1431" s="608" t="s">
        <v>2142</v>
      </c>
      <c r="AD1431" s="608">
        <f>(AB1431*100)/AB1438</f>
        <v>42.441465841361861</v>
      </c>
    </row>
    <row r="1432" spans="3:31" s="29" customFormat="1" x14ac:dyDescent="0.25">
      <c r="C1432" s="990"/>
      <c r="D1432" s="990"/>
      <c r="E1432" s="990"/>
      <c r="F1432" s="991"/>
      <c r="G1432" s="991"/>
      <c r="H1432" s="991"/>
      <c r="I1432" s="991"/>
      <c r="J1432" s="991"/>
      <c r="Q1432" s="114" t="s">
        <v>2326</v>
      </c>
      <c r="R1432" s="114">
        <f>$AL$26</f>
        <v>1801.715474357886</v>
      </c>
      <c r="AA1432" s="114" t="s">
        <v>2326</v>
      </c>
      <c r="AB1432" s="114">
        <f>$AO$26/2</f>
        <v>476.87414947063905</v>
      </c>
    </row>
    <row r="1433" spans="3:31" s="29" customFormat="1" x14ac:dyDescent="0.25">
      <c r="C1433" s="990" t="s">
        <v>6</v>
      </c>
      <c r="D1433" s="990"/>
      <c r="E1433" s="990"/>
      <c r="F1433" s="991" t="s">
        <v>9</v>
      </c>
      <c r="G1433" s="991"/>
      <c r="H1433" s="991"/>
      <c r="I1433" s="991"/>
      <c r="J1433" s="991"/>
      <c r="Q1433" s="114" t="s">
        <v>2325</v>
      </c>
      <c r="R1433" s="114">
        <f>$AL$27</f>
        <v>75.599999999999994</v>
      </c>
      <c r="AA1433" s="114" t="s">
        <v>2325</v>
      </c>
      <c r="AB1433" s="114">
        <f>$AO$27/4</f>
        <v>18.899999999999999</v>
      </c>
    </row>
    <row r="1434" spans="3:31" s="29" customFormat="1" x14ac:dyDescent="0.25">
      <c r="C1434" s="990"/>
      <c r="D1434" s="990"/>
      <c r="E1434" s="990"/>
      <c r="F1434" s="991"/>
      <c r="G1434" s="991"/>
      <c r="H1434" s="991"/>
      <c r="I1434" s="991"/>
      <c r="J1434" s="991"/>
      <c r="Q1434" s="114" t="s">
        <v>1684</v>
      </c>
      <c r="R1434" s="114">
        <f>$AL$29</f>
        <v>69.543532482306858</v>
      </c>
      <c r="AA1434" s="114" t="s">
        <v>1684</v>
      </c>
      <c r="AB1434" s="114">
        <f>$AO$29</f>
        <v>1547.3435977313275</v>
      </c>
    </row>
    <row r="1435" spans="3:31" s="29" customFormat="1" x14ac:dyDescent="0.25">
      <c r="C1435" s="990"/>
      <c r="D1435" s="990"/>
      <c r="E1435" s="990"/>
      <c r="F1435" s="991"/>
      <c r="G1435" s="991"/>
      <c r="H1435" s="991"/>
      <c r="I1435" s="991"/>
      <c r="J1435" s="991"/>
      <c r="Q1435" s="114" t="s">
        <v>1685</v>
      </c>
      <c r="R1435" s="114">
        <v>0.6</v>
      </c>
      <c r="AA1435" s="114" t="s">
        <v>1685</v>
      </c>
      <c r="AB1435" s="114">
        <v>0.6</v>
      </c>
    </row>
    <row r="1436" spans="3:31" s="29" customFormat="1" x14ac:dyDescent="0.25">
      <c r="C1436" s="990" t="s">
        <v>7</v>
      </c>
      <c r="D1436" s="990"/>
      <c r="E1436" s="990"/>
      <c r="F1436" s="991" t="s">
        <v>623</v>
      </c>
      <c r="G1436" s="991"/>
      <c r="H1436" s="991"/>
      <c r="I1436" s="991"/>
      <c r="J1436" s="991"/>
      <c r="Q1436" s="114" t="s">
        <v>1708</v>
      </c>
      <c r="R1436" s="114">
        <f>(SUM(R1431:R1434)*R1435)+SUM(R1431:R1434)</f>
        <v>31983.570248524389</v>
      </c>
      <c r="AA1436" s="114" t="s">
        <v>1708</v>
      </c>
      <c r="AB1436" s="114">
        <f>(SUM(AB1431:AB1434)*AB1435)+SUM(AB1431:AB1434)</f>
        <v>12261.244395523147</v>
      </c>
    </row>
    <row r="1437" spans="3:31" s="29" customFormat="1" x14ac:dyDescent="0.25">
      <c r="C1437" s="990"/>
      <c r="D1437" s="990"/>
      <c r="E1437" s="990"/>
      <c r="F1437" s="991"/>
      <c r="G1437" s="991"/>
      <c r="H1437" s="991"/>
      <c r="I1437" s="991"/>
      <c r="J1437" s="991"/>
      <c r="Q1437" s="114" t="s">
        <v>2130</v>
      </c>
      <c r="R1437" s="114">
        <f>R1436*0.08</f>
        <v>2558.685619881951</v>
      </c>
      <c r="AA1437" s="114" t="s">
        <v>2130</v>
      </c>
      <c r="AB1437" s="114">
        <f>AB1436*0.08</f>
        <v>980.89955164185176</v>
      </c>
    </row>
    <row r="1438" spans="3:31" s="29" customFormat="1" x14ac:dyDescent="0.25">
      <c r="C1438" s="990"/>
      <c r="D1438" s="990"/>
      <c r="E1438" s="990"/>
      <c r="F1438" s="991"/>
      <c r="G1438" s="991"/>
      <c r="H1438" s="991"/>
      <c r="I1438" s="991"/>
      <c r="J1438" s="991"/>
      <c r="Q1438" s="114" t="s">
        <v>1686</v>
      </c>
      <c r="R1438" s="114">
        <f>SUM(R1436+R1437)</f>
        <v>34542.255868406341</v>
      </c>
      <c r="AA1438" s="114" t="s">
        <v>1686</v>
      </c>
      <c r="AB1438" s="114">
        <f>SUM(AB1436+AB1437)</f>
        <v>13242.143947164997</v>
      </c>
    </row>
    <row r="1439" spans="3:31" s="29" customFormat="1" x14ac:dyDescent="0.25">
      <c r="C1439" s="106"/>
      <c r="D1439" s="106"/>
      <c r="E1439" s="106"/>
      <c r="F1439" s="107"/>
      <c r="G1439" s="107"/>
      <c r="H1439" s="107"/>
      <c r="I1439" s="107"/>
      <c r="J1439" s="107"/>
    </row>
    <row r="1440" spans="3:31" s="29" customFormat="1" x14ac:dyDescent="0.25">
      <c r="C1440" s="106"/>
      <c r="D1440" s="106"/>
      <c r="E1440" s="106"/>
      <c r="F1440" s="107"/>
      <c r="G1440" s="107"/>
      <c r="H1440" s="107"/>
      <c r="I1440" s="107"/>
      <c r="J1440" s="107"/>
    </row>
    <row r="1441" spans="3:31" s="29" customFormat="1" x14ac:dyDescent="0.25">
      <c r="C1441" s="993" t="s">
        <v>8</v>
      </c>
      <c r="D1441" s="993"/>
      <c r="E1441" s="993"/>
      <c r="F1441" s="993"/>
      <c r="G1441" s="993"/>
      <c r="H1441" s="993"/>
      <c r="I1441" s="993"/>
      <c r="J1441" s="993"/>
    </row>
    <row r="1442" spans="3:31" s="29" customFormat="1" x14ac:dyDescent="0.25">
      <c r="C1442" s="989" t="s">
        <v>0</v>
      </c>
      <c r="D1442" s="989"/>
      <c r="E1442" s="989"/>
      <c r="F1442" s="989" t="s">
        <v>1</v>
      </c>
      <c r="G1442" s="989"/>
      <c r="H1442" s="989"/>
      <c r="I1442" s="989"/>
      <c r="J1442" s="989"/>
    </row>
    <row r="1443" spans="3:31" s="29" customFormat="1" x14ac:dyDescent="0.25">
      <c r="C1443" s="990" t="s">
        <v>2</v>
      </c>
      <c r="D1443" s="990"/>
      <c r="E1443" s="990"/>
      <c r="F1443" s="991" t="s">
        <v>938</v>
      </c>
      <c r="G1443" s="991"/>
      <c r="H1443" s="991"/>
      <c r="I1443" s="991"/>
      <c r="J1443" s="991"/>
      <c r="M1443" s="113" t="s">
        <v>336</v>
      </c>
      <c r="N1443" s="113" t="s">
        <v>174</v>
      </c>
      <c r="O1443" s="113" t="s">
        <v>248</v>
      </c>
      <c r="P1443" s="113" t="s">
        <v>176</v>
      </c>
      <c r="Q1443" s="113" t="s">
        <v>337</v>
      </c>
      <c r="R1443" s="301" t="s">
        <v>1641</v>
      </c>
      <c r="S1443" s="301" t="s">
        <v>1642</v>
      </c>
      <c r="T1443" s="301" t="s">
        <v>1643</v>
      </c>
      <c r="U1443" s="301" t="s">
        <v>1644</v>
      </c>
      <c r="W1443" s="988" t="s">
        <v>1474</v>
      </c>
      <c r="X1443" s="988"/>
      <c r="Y1443" s="988"/>
      <c r="Z1443" s="988"/>
      <c r="AA1443" s="988"/>
      <c r="AB1443" s="988"/>
      <c r="AC1443" s="988"/>
      <c r="AD1443" s="988"/>
      <c r="AE1443" s="988"/>
    </row>
    <row r="1444" spans="3:31" s="29" customFormat="1" x14ac:dyDescent="0.25">
      <c r="C1444" s="990"/>
      <c r="D1444" s="990"/>
      <c r="E1444" s="990"/>
      <c r="F1444" s="991"/>
      <c r="G1444" s="991"/>
      <c r="H1444" s="991"/>
      <c r="I1444" s="991"/>
      <c r="J1444" s="991"/>
      <c r="M1444" s="114" t="s">
        <v>344</v>
      </c>
      <c r="N1444" s="114">
        <f>E3</f>
        <v>2099.0723984875517</v>
      </c>
      <c r="O1444" s="114" t="str">
        <f>D3</f>
        <v>g</v>
      </c>
      <c r="P1444" s="114">
        <v>100</v>
      </c>
      <c r="Q1444" s="114">
        <f>N1444</f>
        <v>2099.0723984875517</v>
      </c>
      <c r="R1444" s="114">
        <v>0</v>
      </c>
      <c r="S1444" s="114">
        <f>P1444*R1444</f>
        <v>0</v>
      </c>
      <c r="T1444" s="114">
        <f>P1444-S1444</f>
        <v>100</v>
      </c>
      <c r="U1444" s="114">
        <f>Q1444+((S1444*Q1444)/P1444)</f>
        <v>2099.0723984875517</v>
      </c>
      <c r="W1444" s="113" t="s">
        <v>336</v>
      </c>
      <c r="X1444" s="113" t="s">
        <v>174</v>
      </c>
      <c r="Y1444" s="113" t="s">
        <v>248</v>
      </c>
      <c r="Z1444" s="113" t="s">
        <v>176</v>
      </c>
      <c r="AA1444" s="113" t="s">
        <v>337</v>
      </c>
      <c r="AB1444" s="301" t="s">
        <v>1641</v>
      </c>
      <c r="AC1444" s="301" t="s">
        <v>1642</v>
      </c>
      <c r="AD1444" s="301" t="s">
        <v>1643</v>
      </c>
      <c r="AE1444" s="301" t="s">
        <v>1644</v>
      </c>
    </row>
    <row r="1445" spans="3:31" s="29" customFormat="1" x14ac:dyDescent="0.25">
      <c r="C1445" s="990"/>
      <c r="D1445" s="990"/>
      <c r="E1445" s="990"/>
      <c r="F1445" s="991"/>
      <c r="G1445" s="991"/>
      <c r="H1445" s="991"/>
      <c r="I1445" s="991"/>
      <c r="J1445" s="991"/>
      <c r="M1445" s="114" t="s">
        <v>340</v>
      </c>
      <c r="N1445" s="114">
        <f>Y20</f>
        <v>0.64</v>
      </c>
      <c r="O1445" s="114" t="str">
        <f>X20</f>
        <v>g</v>
      </c>
      <c r="P1445" s="114">
        <v>2</v>
      </c>
      <c r="Q1445" s="114">
        <f t="shared" ref="Q1445:Q1449" si="361">N1445*P1445</f>
        <v>1.28</v>
      </c>
      <c r="R1445" s="114">
        <v>0</v>
      </c>
      <c r="S1445" s="114">
        <f t="shared" ref="S1445:S1446" si="362">P1445*R1445</f>
        <v>0</v>
      </c>
      <c r="T1445" s="114">
        <f t="shared" ref="T1445:T1449" si="363">P1445-S1445</f>
        <v>2</v>
      </c>
      <c r="U1445" s="114">
        <f t="shared" ref="U1445:U1449" si="364">Q1445+((S1445*Q1445)/P1445)</f>
        <v>1.28</v>
      </c>
      <c r="W1445" s="114" t="s">
        <v>462</v>
      </c>
      <c r="X1445" s="114">
        <f>V12</f>
        <v>25.98</v>
      </c>
      <c r="Y1445" s="114" t="str">
        <f>U12</f>
        <v>g</v>
      </c>
      <c r="Z1445" s="114">
        <v>15</v>
      </c>
      <c r="AA1445" s="114">
        <f>X1445*Z1445</f>
        <v>389.7</v>
      </c>
      <c r="AB1445" s="114">
        <v>0</v>
      </c>
      <c r="AC1445" s="114">
        <f>Z1445*AB1445</f>
        <v>0</v>
      </c>
      <c r="AD1445" s="114">
        <f>Z1445-AC1445</f>
        <v>15</v>
      </c>
      <c r="AE1445" s="114">
        <f>AA1445+((AC1445*AA1445)/Z1445)</f>
        <v>389.7</v>
      </c>
    </row>
    <row r="1446" spans="3:31" s="29" customFormat="1" x14ac:dyDescent="0.25">
      <c r="C1446" s="989" t="s">
        <v>0</v>
      </c>
      <c r="D1446" s="989"/>
      <c r="E1446" s="989"/>
      <c r="F1446" s="989" t="s">
        <v>1</v>
      </c>
      <c r="G1446" s="989"/>
      <c r="H1446" s="989"/>
      <c r="I1446" s="989"/>
      <c r="J1446" s="989"/>
      <c r="M1446" s="114" t="s">
        <v>346</v>
      </c>
      <c r="N1446" s="114">
        <f>P3</f>
        <v>7</v>
      </c>
      <c r="O1446" s="114" t="str">
        <f>O3</f>
        <v>g</v>
      </c>
      <c r="P1446" s="114">
        <v>6</v>
      </c>
      <c r="Q1446" s="114">
        <f t="shared" si="361"/>
        <v>42</v>
      </c>
      <c r="R1446" s="114">
        <f>AJ2</f>
        <v>0.23</v>
      </c>
      <c r="S1446" s="114">
        <f t="shared" si="362"/>
        <v>1.3800000000000001</v>
      </c>
      <c r="T1446" s="114">
        <f t="shared" si="363"/>
        <v>4.62</v>
      </c>
      <c r="U1446" s="114">
        <f t="shared" si="364"/>
        <v>51.660000000000004</v>
      </c>
      <c r="W1446" s="114" t="s">
        <v>576</v>
      </c>
      <c r="X1446" s="114">
        <f>V9</f>
        <v>19.36</v>
      </c>
      <c r="Y1446" s="114" t="str">
        <f>U9</f>
        <v>g</v>
      </c>
      <c r="Z1446" s="114">
        <v>15</v>
      </c>
      <c r="AA1446" s="114">
        <f t="shared" ref="AA1446:AA1452" si="365">X1446*Z1446</f>
        <v>290.39999999999998</v>
      </c>
      <c r="AB1446" s="114">
        <v>0</v>
      </c>
      <c r="AC1446" s="114">
        <f t="shared" ref="AC1446:AC1447" si="366">Z1446*AB1446</f>
        <v>0</v>
      </c>
      <c r="AD1446" s="114">
        <f t="shared" ref="AD1446:AD1453" si="367">Z1446-AC1446</f>
        <v>15</v>
      </c>
      <c r="AE1446" s="114">
        <f t="shared" ref="AE1446:AE1453" si="368">AA1446+((AC1446*AA1446)/Z1446)</f>
        <v>290.39999999999998</v>
      </c>
    </row>
    <row r="1447" spans="3:31" s="29" customFormat="1" x14ac:dyDescent="0.25">
      <c r="C1447" s="990" t="s">
        <v>3</v>
      </c>
      <c r="D1447" s="990"/>
      <c r="E1447" s="990"/>
      <c r="F1447" s="992" t="s">
        <v>939</v>
      </c>
      <c r="G1447" s="991"/>
      <c r="H1447" s="991"/>
      <c r="I1447" s="991"/>
      <c r="J1447" s="991"/>
      <c r="M1447" s="114" t="s">
        <v>675</v>
      </c>
      <c r="N1447" s="114">
        <f>S9</f>
        <v>46.63</v>
      </c>
      <c r="O1447" s="114" t="str">
        <f>R9</f>
        <v>g</v>
      </c>
      <c r="P1447" s="114">
        <v>100</v>
      </c>
      <c r="Q1447" s="114">
        <f t="shared" si="361"/>
        <v>4663</v>
      </c>
      <c r="R1447" s="114">
        <v>0</v>
      </c>
      <c r="S1447" s="114">
        <f>P1447*R1447</f>
        <v>0</v>
      </c>
      <c r="T1447" s="114">
        <f t="shared" si="363"/>
        <v>100</v>
      </c>
      <c r="U1447" s="114">
        <f t="shared" si="364"/>
        <v>4663</v>
      </c>
      <c r="W1447" s="114" t="s">
        <v>547</v>
      </c>
      <c r="X1447" s="114">
        <f>V13</f>
        <v>81.900000000000006</v>
      </c>
      <c r="Y1447" s="114" t="str">
        <f>U13</f>
        <v>g</v>
      </c>
      <c r="Z1447" s="114">
        <v>15</v>
      </c>
      <c r="AA1447" s="114">
        <f t="shared" si="365"/>
        <v>1228.5</v>
      </c>
      <c r="AB1447" s="114">
        <v>0</v>
      </c>
      <c r="AC1447" s="114">
        <f t="shared" si="366"/>
        <v>0</v>
      </c>
      <c r="AD1447" s="114">
        <f t="shared" si="367"/>
        <v>15</v>
      </c>
      <c r="AE1447" s="114">
        <f t="shared" si="368"/>
        <v>1228.5</v>
      </c>
    </row>
    <row r="1448" spans="3:31" s="29" customFormat="1" x14ac:dyDescent="0.25">
      <c r="C1448" s="990"/>
      <c r="D1448" s="990"/>
      <c r="E1448" s="990"/>
      <c r="F1448" s="991"/>
      <c r="G1448" s="991"/>
      <c r="H1448" s="991"/>
      <c r="I1448" s="991"/>
      <c r="J1448" s="991"/>
      <c r="M1448" s="114" t="s">
        <v>942</v>
      </c>
      <c r="N1448" s="114">
        <f>AE1454</f>
        <v>3567.1349999999993</v>
      </c>
      <c r="O1448" s="114" t="s">
        <v>1388</v>
      </c>
      <c r="P1448" s="114">
        <v>120</v>
      </c>
      <c r="Q1448" s="114">
        <f>N1448</f>
        <v>3567.1349999999993</v>
      </c>
      <c r="R1448" s="114">
        <v>0</v>
      </c>
      <c r="S1448" s="114">
        <f t="shared" ref="S1448:S1449" si="369">P1448*R1448</f>
        <v>0</v>
      </c>
      <c r="T1448" s="114">
        <f t="shared" si="363"/>
        <v>120</v>
      </c>
      <c r="U1448" s="114">
        <f t="shared" si="364"/>
        <v>3567.1349999999993</v>
      </c>
      <c r="W1448" s="114" t="s">
        <v>348</v>
      </c>
      <c r="X1448" s="114">
        <f>V2</f>
        <v>13.11</v>
      </c>
      <c r="Y1448" s="114" t="str">
        <f>U2</f>
        <v>g</v>
      </c>
      <c r="Z1448" s="114">
        <v>50</v>
      </c>
      <c r="AA1448" s="114">
        <f t="shared" si="365"/>
        <v>655.5</v>
      </c>
      <c r="AB1448" s="114">
        <v>0</v>
      </c>
      <c r="AC1448" s="114">
        <f>Z1448*AB1448</f>
        <v>0</v>
      </c>
      <c r="AD1448" s="114">
        <f t="shared" si="367"/>
        <v>50</v>
      </c>
      <c r="AE1448" s="114">
        <f t="shared" si="368"/>
        <v>655.5</v>
      </c>
    </row>
    <row r="1449" spans="3:31" s="29" customFormat="1" x14ac:dyDescent="0.25">
      <c r="C1449" s="990"/>
      <c r="D1449" s="990"/>
      <c r="E1449" s="990"/>
      <c r="F1449" s="991"/>
      <c r="G1449" s="991"/>
      <c r="H1449" s="991"/>
      <c r="I1449" s="991"/>
      <c r="J1449" s="991"/>
      <c r="M1449" s="114" t="s">
        <v>433</v>
      </c>
      <c r="N1449" s="114">
        <f>Y18</f>
        <v>223.57</v>
      </c>
      <c r="O1449" s="114" t="str">
        <f>X18</f>
        <v>g</v>
      </c>
      <c r="P1449" s="114">
        <v>10</v>
      </c>
      <c r="Q1449" s="114">
        <f t="shared" si="361"/>
        <v>2235.6999999999998</v>
      </c>
      <c r="R1449" s="114">
        <v>0</v>
      </c>
      <c r="S1449" s="114">
        <f t="shared" si="369"/>
        <v>0</v>
      </c>
      <c r="T1449" s="114">
        <f t="shared" si="363"/>
        <v>10</v>
      </c>
      <c r="U1449" s="114">
        <f t="shared" si="364"/>
        <v>2235.6999999999998</v>
      </c>
      <c r="W1449" s="114" t="s">
        <v>346</v>
      </c>
      <c r="X1449" s="114">
        <f>P3</f>
        <v>7</v>
      </c>
      <c r="Y1449" s="114" t="str">
        <f>O3</f>
        <v>g</v>
      </c>
      <c r="Z1449" s="114">
        <v>4</v>
      </c>
      <c r="AA1449" s="114">
        <f t="shared" si="365"/>
        <v>28</v>
      </c>
      <c r="AB1449" s="114">
        <f>AJ2</f>
        <v>0.23</v>
      </c>
      <c r="AC1449" s="114">
        <f t="shared" ref="AC1449:AC1453" si="370">Z1449*AB1449</f>
        <v>0.92</v>
      </c>
      <c r="AD1449" s="114">
        <f t="shared" si="367"/>
        <v>3.08</v>
      </c>
      <c r="AE1449" s="114">
        <f t="shared" si="368"/>
        <v>34.44</v>
      </c>
    </row>
    <row r="1450" spans="3:31" s="29" customFormat="1" x14ac:dyDescent="0.25">
      <c r="C1450" s="990" t="s">
        <v>4</v>
      </c>
      <c r="D1450" s="990"/>
      <c r="E1450" s="990"/>
      <c r="F1450" s="991" t="s">
        <v>15</v>
      </c>
      <c r="G1450" s="991"/>
      <c r="H1450" s="991"/>
      <c r="I1450" s="991"/>
      <c r="J1450" s="991"/>
      <c r="M1450" s="114"/>
      <c r="N1450" s="114"/>
      <c r="O1450" s="114"/>
      <c r="P1450" s="114"/>
      <c r="Q1450" s="114"/>
      <c r="R1450" s="114"/>
      <c r="S1450" s="114"/>
      <c r="T1450" s="114"/>
      <c r="U1450" s="114"/>
      <c r="W1450" s="114" t="s">
        <v>493</v>
      </c>
      <c r="X1450" s="114">
        <f>P10</f>
        <v>0.7</v>
      </c>
      <c r="Y1450" s="114" t="str">
        <f>O10</f>
        <v>g</v>
      </c>
      <c r="Z1450" s="114">
        <v>15</v>
      </c>
      <c r="AA1450" s="114">
        <f t="shared" si="365"/>
        <v>10.5</v>
      </c>
      <c r="AB1450" s="114">
        <f>AJ7</f>
        <v>0.15</v>
      </c>
      <c r="AC1450" s="114">
        <f t="shared" si="370"/>
        <v>2.25</v>
      </c>
      <c r="AD1450" s="114">
        <f t="shared" si="367"/>
        <v>12.75</v>
      </c>
      <c r="AE1450" s="114">
        <f t="shared" si="368"/>
        <v>12.074999999999999</v>
      </c>
    </row>
    <row r="1451" spans="3:31" s="29" customFormat="1" x14ac:dyDescent="0.25">
      <c r="C1451" s="990"/>
      <c r="D1451" s="990"/>
      <c r="E1451" s="990"/>
      <c r="F1451" s="991"/>
      <c r="G1451" s="991"/>
      <c r="H1451" s="991"/>
      <c r="I1451" s="991"/>
      <c r="J1451" s="991"/>
      <c r="M1451" s="114"/>
      <c r="N1451" s="114"/>
      <c r="O1451" s="114"/>
      <c r="P1451" s="114"/>
      <c r="Q1451" s="114"/>
      <c r="R1451" s="114"/>
      <c r="S1451" s="114"/>
      <c r="T1451" s="114"/>
      <c r="U1451" s="114"/>
      <c r="W1451" s="114" t="s">
        <v>354</v>
      </c>
      <c r="X1451" s="114">
        <f>V4</f>
        <v>3.08</v>
      </c>
      <c r="Y1451" s="114" t="str">
        <f>U4</f>
        <v>mL</v>
      </c>
      <c r="Z1451" s="114">
        <v>20</v>
      </c>
      <c r="AA1451" s="114">
        <f t="shared" si="365"/>
        <v>61.6</v>
      </c>
      <c r="AB1451" s="114">
        <v>0</v>
      </c>
      <c r="AC1451" s="114">
        <f t="shared" si="370"/>
        <v>0</v>
      </c>
      <c r="AD1451" s="114">
        <f t="shared" si="367"/>
        <v>20</v>
      </c>
      <c r="AE1451" s="114">
        <f t="shared" si="368"/>
        <v>61.6</v>
      </c>
    </row>
    <row r="1452" spans="3:31" s="29" customFormat="1" x14ac:dyDescent="0.25">
      <c r="C1452" s="990"/>
      <c r="D1452" s="990"/>
      <c r="E1452" s="990"/>
      <c r="F1452" s="991"/>
      <c r="G1452" s="991"/>
      <c r="H1452" s="991"/>
      <c r="I1452" s="991"/>
      <c r="J1452" s="991"/>
      <c r="M1452" s="114" t="s">
        <v>337</v>
      </c>
      <c r="N1452" s="114">
        <f>SUM(N1444:N1451)</f>
        <v>5944.0473984875507</v>
      </c>
      <c r="O1452" s="114"/>
      <c r="P1452" s="114">
        <f>SUM(P1444:P1451)</f>
        <v>338</v>
      </c>
      <c r="Q1452" s="114">
        <f>SUM(Q1444:Q1451)</f>
        <v>12608.187398487553</v>
      </c>
      <c r="R1452" s="114"/>
      <c r="S1452" s="114"/>
      <c r="T1452" s="114"/>
      <c r="U1452" s="114">
        <f>SUM(U1444:U1451)</f>
        <v>12617.847398487553</v>
      </c>
      <c r="W1452" s="114" t="s">
        <v>340</v>
      </c>
      <c r="X1452" s="114">
        <f>Y20</f>
        <v>0.64</v>
      </c>
      <c r="Y1452" s="114" t="str">
        <f>X20</f>
        <v>g</v>
      </c>
      <c r="Z1452" s="114">
        <v>1</v>
      </c>
      <c r="AA1452" s="114">
        <f t="shared" si="365"/>
        <v>0.64</v>
      </c>
      <c r="AB1452" s="114">
        <v>0</v>
      </c>
      <c r="AC1452" s="114">
        <f t="shared" si="370"/>
        <v>0</v>
      </c>
      <c r="AD1452" s="114">
        <f t="shared" si="367"/>
        <v>1</v>
      </c>
      <c r="AE1452" s="114">
        <f t="shared" si="368"/>
        <v>0.64</v>
      </c>
    </row>
    <row r="1453" spans="3:31" s="29" customFormat="1" x14ac:dyDescent="0.25">
      <c r="C1453" s="990" t="s">
        <v>5</v>
      </c>
      <c r="D1453" s="990"/>
      <c r="E1453" s="990"/>
      <c r="F1453" s="991" t="s">
        <v>940</v>
      </c>
      <c r="G1453" s="991"/>
      <c r="H1453" s="991"/>
      <c r="I1453" s="991"/>
      <c r="J1453" s="991"/>
      <c r="W1453" s="114" t="s">
        <v>433</v>
      </c>
      <c r="X1453" s="114">
        <f>Y18</f>
        <v>223.57</v>
      </c>
      <c r="Y1453" s="114" t="str">
        <f>X18</f>
        <v>g</v>
      </c>
      <c r="Z1453" s="114">
        <v>4</v>
      </c>
      <c r="AA1453" s="114">
        <f>X1453*Z1453</f>
        <v>894.28</v>
      </c>
      <c r="AB1453" s="114">
        <v>0</v>
      </c>
      <c r="AC1453" s="114">
        <f t="shared" si="370"/>
        <v>0</v>
      </c>
      <c r="AD1453" s="114">
        <f t="shared" si="367"/>
        <v>4</v>
      </c>
      <c r="AE1453" s="114">
        <f t="shared" si="368"/>
        <v>894.28</v>
      </c>
    </row>
    <row r="1454" spans="3:31" s="29" customFormat="1" x14ac:dyDescent="0.25">
      <c r="C1454" s="990"/>
      <c r="D1454" s="990"/>
      <c r="E1454" s="990"/>
      <c r="F1454" s="991"/>
      <c r="G1454" s="991"/>
      <c r="H1454" s="991"/>
      <c r="I1454" s="991"/>
      <c r="J1454" s="991"/>
      <c r="Q1454" s="114" t="s">
        <v>1681</v>
      </c>
      <c r="R1454" s="114">
        <f>U1452</f>
        <v>12617.847398487553</v>
      </c>
      <c r="S1454" s="608" t="s">
        <v>2142</v>
      </c>
      <c r="T1454" s="608">
        <f>(R1454*100)/R1461</f>
        <v>50.134859015090278</v>
      </c>
      <c r="W1454" s="114" t="s">
        <v>337</v>
      </c>
      <c r="X1454" s="114">
        <f>SUM(X1445:X1453)</f>
        <v>375.34000000000003</v>
      </c>
      <c r="Y1454" s="114"/>
      <c r="Z1454" s="114">
        <f>SUM(Z1445:Z1453)</f>
        <v>139</v>
      </c>
      <c r="AA1454" s="114">
        <f>SUM(AA1445:AA1453)</f>
        <v>3559.12</v>
      </c>
      <c r="AB1454" s="114"/>
      <c r="AC1454" s="114"/>
      <c r="AD1454" s="114"/>
      <c r="AE1454" s="114">
        <f>SUM(AE1445:AE1453)</f>
        <v>3567.1349999999993</v>
      </c>
    </row>
    <row r="1455" spans="3:31" s="29" customFormat="1" x14ac:dyDescent="0.25">
      <c r="C1455" s="990"/>
      <c r="D1455" s="990"/>
      <c r="E1455" s="990"/>
      <c r="F1455" s="991"/>
      <c r="G1455" s="991"/>
      <c r="H1455" s="991"/>
      <c r="I1455" s="991"/>
      <c r="J1455" s="991"/>
      <c r="Q1455" s="114" t="s">
        <v>2326</v>
      </c>
      <c r="R1455" s="114">
        <f>$AL$26</f>
        <v>1801.715474357886</v>
      </c>
    </row>
    <row r="1456" spans="3:31" s="29" customFormat="1" x14ac:dyDescent="0.25">
      <c r="C1456" s="990" t="s">
        <v>6</v>
      </c>
      <c r="D1456" s="990"/>
      <c r="E1456" s="990"/>
      <c r="F1456" s="991" t="s">
        <v>9</v>
      </c>
      <c r="G1456" s="991"/>
      <c r="H1456" s="991"/>
      <c r="I1456" s="991"/>
      <c r="J1456" s="991"/>
      <c r="Q1456" s="114" t="s">
        <v>2325</v>
      </c>
      <c r="R1456" s="114">
        <f>$AL$27</f>
        <v>75.599999999999994</v>
      </c>
      <c r="AA1456" s="114" t="s">
        <v>1681</v>
      </c>
      <c r="AB1456" s="114">
        <f>AE1454</f>
        <v>3567.1349999999993</v>
      </c>
      <c r="AC1456" s="608" t="s">
        <v>2142</v>
      </c>
      <c r="AD1456" s="608">
        <f>(AB1456*100)/AB1463</f>
        <v>36.79538746521996</v>
      </c>
    </row>
    <row r="1457" spans="3:28" s="29" customFormat="1" x14ac:dyDescent="0.25">
      <c r="C1457" s="990"/>
      <c r="D1457" s="990"/>
      <c r="E1457" s="990"/>
      <c r="F1457" s="991"/>
      <c r="G1457" s="991"/>
      <c r="H1457" s="991"/>
      <c r="I1457" s="991"/>
      <c r="J1457" s="991"/>
      <c r="Q1457" s="114" t="s">
        <v>1684</v>
      </c>
      <c r="R1457" s="114">
        <f>$AL$29</f>
        <v>69.543532482306858</v>
      </c>
      <c r="AA1457" s="114" t="s">
        <v>2326</v>
      </c>
      <c r="AB1457" s="114">
        <f>$AO$26/2</f>
        <v>476.87414947063905</v>
      </c>
    </row>
    <row r="1458" spans="3:28" s="29" customFormat="1" x14ac:dyDescent="0.25">
      <c r="C1458" s="990"/>
      <c r="D1458" s="990"/>
      <c r="E1458" s="990"/>
      <c r="F1458" s="991"/>
      <c r="G1458" s="991"/>
      <c r="H1458" s="991"/>
      <c r="I1458" s="991"/>
      <c r="J1458" s="991"/>
      <c r="Q1458" s="114" t="s">
        <v>1685</v>
      </c>
      <c r="R1458" s="114">
        <v>0.6</v>
      </c>
      <c r="AA1458" s="114" t="s">
        <v>2325</v>
      </c>
      <c r="AB1458" s="114">
        <f>$AO$27/4</f>
        <v>18.899999999999999</v>
      </c>
    </row>
    <row r="1459" spans="3:28" s="29" customFormat="1" x14ac:dyDescent="0.25">
      <c r="C1459" s="990" t="s">
        <v>7</v>
      </c>
      <c r="D1459" s="990"/>
      <c r="E1459" s="990"/>
      <c r="F1459" s="991" t="s">
        <v>941</v>
      </c>
      <c r="G1459" s="991"/>
      <c r="H1459" s="991"/>
      <c r="I1459" s="991"/>
      <c r="J1459" s="991"/>
      <c r="Q1459" s="114" t="s">
        <v>1708</v>
      </c>
      <c r="R1459" s="114">
        <f>(SUM(R1454:R1457)*R1458)+SUM(R1454:R1457)</f>
        <v>23303.530248524396</v>
      </c>
      <c r="AA1459" s="114" t="s">
        <v>1684</v>
      </c>
      <c r="AB1459" s="114">
        <f>$AO$29</f>
        <v>1547.3435977313275</v>
      </c>
    </row>
    <row r="1460" spans="3:28" s="29" customFormat="1" x14ac:dyDescent="0.25">
      <c r="C1460" s="990"/>
      <c r="D1460" s="990"/>
      <c r="E1460" s="990"/>
      <c r="F1460" s="991"/>
      <c r="G1460" s="991"/>
      <c r="H1460" s="991"/>
      <c r="I1460" s="991"/>
      <c r="J1460" s="991"/>
      <c r="Q1460" s="114" t="s">
        <v>2130</v>
      </c>
      <c r="R1460" s="114">
        <f>R1459*0.08</f>
        <v>1864.2824198819517</v>
      </c>
      <c r="AA1460" s="114" t="s">
        <v>1685</v>
      </c>
      <c r="AB1460" s="114">
        <v>0.6</v>
      </c>
    </row>
    <row r="1461" spans="3:28" s="29" customFormat="1" x14ac:dyDescent="0.25">
      <c r="C1461" s="990"/>
      <c r="D1461" s="990"/>
      <c r="E1461" s="990"/>
      <c r="F1461" s="991"/>
      <c r="G1461" s="991"/>
      <c r="H1461" s="991"/>
      <c r="I1461" s="991"/>
      <c r="J1461" s="991"/>
      <c r="Q1461" s="114" t="s">
        <v>1686</v>
      </c>
      <c r="R1461" s="114">
        <f>SUM(R1459+R1460)</f>
        <v>25167.812668406346</v>
      </c>
      <c r="AA1461" s="114" t="s">
        <v>1708</v>
      </c>
      <c r="AB1461" s="114">
        <f>(SUM(AB1456:AB1459)*AB1460)+SUM(AB1456:AB1459)</f>
        <v>8976.4043955231464</v>
      </c>
    </row>
    <row r="1462" spans="3:28" s="29" customFormat="1" x14ac:dyDescent="0.25">
      <c r="C1462" s="106"/>
      <c r="D1462" s="106"/>
      <c r="E1462" s="106"/>
      <c r="F1462" s="107"/>
      <c r="G1462" s="107"/>
      <c r="H1462" s="107"/>
      <c r="I1462" s="107"/>
      <c r="J1462" s="107"/>
      <c r="AA1462" s="114" t="s">
        <v>2130</v>
      </c>
      <c r="AB1462" s="114">
        <f>AB1461*0.08</f>
        <v>718.11235164185177</v>
      </c>
    </row>
    <row r="1463" spans="3:28" s="29" customFormat="1" x14ac:dyDescent="0.25">
      <c r="C1463" s="106"/>
      <c r="D1463" s="106"/>
      <c r="E1463" s="106"/>
      <c r="F1463" s="107"/>
      <c r="G1463" s="107"/>
      <c r="H1463" s="107"/>
      <c r="I1463" s="107"/>
      <c r="J1463" s="107"/>
      <c r="AA1463" s="114" t="s">
        <v>1686</v>
      </c>
      <c r="AB1463" s="114">
        <f>SUM(AB1461+AB1462)</f>
        <v>9694.5167471649984</v>
      </c>
    </row>
    <row r="1464" spans="3:28" s="29" customFormat="1" x14ac:dyDescent="0.25"/>
    <row r="1465" spans="3:28" s="29" customFormat="1" x14ac:dyDescent="0.25"/>
    <row r="1466" spans="3:28" s="29" customFormat="1" x14ac:dyDescent="0.25">
      <c r="C1466" s="993" t="s">
        <v>8</v>
      </c>
      <c r="D1466" s="993"/>
      <c r="E1466" s="993"/>
      <c r="F1466" s="993"/>
      <c r="G1466" s="993"/>
      <c r="H1466" s="993"/>
      <c r="I1466" s="993"/>
      <c r="J1466" s="993"/>
    </row>
    <row r="1467" spans="3:28" s="29" customFormat="1" x14ac:dyDescent="0.25">
      <c r="C1467" s="989" t="s">
        <v>0</v>
      </c>
      <c r="D1467" s="989"/>
      <c r="E1467" s="989"/>
      <c r="F1467" s="989" t="s">
        <v>1</v>
      </c>
      <c r="G1467" s="989"/>
      <c r="H1467" s="989"/>
      <c r="I1467" s="989"/>
      <c r="J1467" s="989"/>
      <c r="T1467" s="30"/>
      <c r="U1467" s="30"/>
      <c r="V1467" s="30"/>
      <c r="W1467" s="30"/>
      <c r="X1467" s="30"/>
      <c r="Y1467" s="30"/>
    </row>
    <row r="1468" spans="3:28" s="29" customFormat="1" x14ac:dyDescent="0.25">
      <c r="C1468" s="990" t="s">
        <v>2</v>
      </c>
      <c r="D1468" s="990"/>
      <c r="E1468" s="990"/>
      <c r="F1468" s="991" t="s">
        <v>138</v>
      </c>
      <c r="G1468" s="991"/>
      <c r="H1468" s="991"/>
      <c r="I1468" s="991"/>
      <c r="J1468" s="991"/>
      <c r="M1468" s="113" t="s">
        <v>336</v>
      </c>
      <c r="N1468" s="113" t="s">
        <v>174</v>
      </c>
      <c r="O1468" s="113" t="s">
        <v>248</v>
      </c>
      <c r="P1468" s="113" t="s">
        <v>176</v>
      </c>
      <c r="Q1468" s="113" t="s">
        <v>337</v>
      </c>
      <c r="R1468" s="301" t="s">
        <v>1641</v>
      </c>
      <c r="S1468" s="301" t="s">
        <v>1642</v>
      </c>
      <c r="T1468" s="301" t="s">
        <v>1643</v>
      </c>
      <c r="U1468" s="301" t="s">
        <v>1644</v>
      </c>
      <c r="V1468" s="103"/>
      <c r="W1468" s="103"/>
      <c r="X1468" s="103"/>
      <c r="Y1468" s="30"/>
    </row>
    <row r="1469" spans="3:28" s="29" customFormat="1" x14ac:dyDescent="0.25">
      <c r="C1469" s="990"/>
      <c r="D1469" s="990"/>
      <c r="E1469" s="990"/>
      <c r="F1469" s="991"/>
      <c r="G1469" s="991"/>
      <c r="H1469" s="991"/>
      <c r="I1469" s="991"/>
      <c r="J1469" s="991"/>
      <c r="M1469" s="114" t="s">
        <v>522</v>
      </c>
      <c r="N1469" s="114">
        <f>S7</f>
        <v>54</v>
      </c>
      <c r="O1469" s="114" t="str">
        <f>R7</f>
        <v>g</v>
      </c>
      <c r="P1469" s="114">
        <v>250</v>
      </c>
      <c r="Q1469" s="114">
        <f>N1469*P1469</f>
        <v>13500</v>
      </c>
      <c r="R1469" s="114">
        <v>0</v>
      </c>
      <c r="S1469" s="114">
        <f>P1469*R1469</f>
        <v>0</v>
      </c>
      <c r="T1469" s="114">
        <f>P1469-S1469</f>
        <v>250</v>
      </c>
      <c r="U1469" s="114">
        <f>Q1469+((S1469*Q1469)/P1469)</f>
        <v>13500</v>
      </c>
      <c r="V1469" s="104"/>
      <c r="W1469" s="104"/>
      <c r="X1469" s="104"/>
      <c r="Y1469" s="30"/>
    </row>
    <row r="1470" spans="3:28" s="29" customFormat="1" x14ac:dyDescent="0.25">
      <c r="C1470" s="990"/>
      <c r="D1470" s="990"/>
      <c r="E1470" s="990"/>
      <c r="F1470" s="991"/>
      <c r="G1470" s="991"/>
      <c r="H1470" s="991"/>
      <c r="I1470" s="991"/>
      <c r="J1470" s="991"/>
      <c r="M1470" s="114" t="s">
        <v>523</v>
      </c>
      <c r="N1470" s="114">
        <f>P27</f>
        <v>5.4</v>
      </c>
      <c r="O1470" s="114" t="str">
        <f>O27</f>
        <v>g</v>
      </c>
      <c r="P1470" s="114">
        <v>2</v>
      </c>
      <c r="Q1470" s="114">
        <f t="shared" ref="Q1470:Q1476" si="371">N1470*P1470</f>
        <v>10.8</v>
      </c>
      <c r="R1470" s="114">
        <v>0</v>
      </c>
      <c r="S1470" s="114">
        <f t="shared" ref="S1470:S1471" si="372">P1470*R1470</f>
        <v>0</v>
      </c>
      <c r="T1470" s="114">
        <f t="shared" ref="T1470:T1476" si="373">P1470-S1470</f>
        <v>2</v>
      </c>
      <c r="U1470" s="114">
        <f t="shared" ref="U1470:U1476" si="374">Q1470+((S1470*Q1470)/P1470)</f>
        <v>10.8</v>
      </c>
      <c r="V1470" s="30"/>
      <c r="W1470" s="30"/>
      <c r="X1470" s="30"/>
      <c r="Y1470" s="30"/>
    </row>
    <row r="1471" spans="3:28" s="29" customFormat="1" x14ac:dyDescent="0.25">
      <c r="C1471" s="989" t="s">
        <v>0</v>
      </c>
      <c r="D1471" s="989"/>
      <c r="E1471" s="989"/>
      <c r="F1471" s="989" t="s">
        <v>1</v>
      </c>
      <c r="G1471" s="989"/>
      <c r="H1471" s="989"/>
      <c r="I1471" s="989"/>
      <c r="J1471" s="989"/>
      <c r="M1471" s="114" t="s">
        <v>524</v>
      </c>
      <c r="N1471" s="114">
        <f>AE6</f>
        <v>80</v>
      </c>
      <c r="O1471" s="114" t="str">
        <f>AD6</f>
        <v>g</v>
      </c>
      <c r="P1471" s="114">
        <v>30</v>
      </c>
      <c r="Q1471" s="114">
        <f t="shared" si="371"/>
        <v>2400</v>
      </c>
      <c r="R1471" s="114">
        <v>0</v>
      </c>
      <c r="S1471" s="114">
        <f t="shared" si="372"/>
        <v>0</v>
      </c>
      <c r="T1471" s="114">
        <f t="shared" si="373"/>
        <v>30</v>
      </c>
      <c r="U1471" s="114">
        <f t="shared" si="374"/>
        <v>2400</v>
      </c>
      <c r="V1471" s="30"/>
      <c r="W1471" s="30"/>
      <c r="X1471" s="30"/>
      <c r="Y1471" s="30"/>
    </row>
    <row r="1472" spans="3:28" s="29" customFormat="1" x14ac:dyDescent="0.25">
      <c r="C1472" s="990" t="s">
        <v>3</v>
      </c>
      <c r="D1472" s="990"/>
      <c r="E1472" s="990"/>
      <c r="F1472" s="991" t="s">
        <v>166</v>
      </c>
      <c r="G1472" s="991"/>
      <c r="H1472" s="991"/>
      <c r="I1472" s="991"/>
      <c r="J1472" s="991"/>
      <c r="M1472" s="114" t="s">
        <v>439</v>
      </c>
      <c r="N1472" s="114">
        <f>AE7</f>
        <v>0.4</v>
      </c>
      <c r="O1472" s="114" t="str">
        <f>AD7</f>
        <v>g</v>
      </c>
      <c r="P1472" s="114">
        <v>50</v>
      </c>
      <c r="Q1472" s="114">
        <f t="shared" si="371"/>
        <v>20</v>
      </c>
      <c r="R1472" s="114">
        <v>0</v>
      </c>
      <c r="S1472" s="114">
        <f>P1472*R1472</f>
        <v>0</v>
      </c>
      <c r="T1472" s="114">
        <f t="shared" si="373"/>
        <v>50</v>
      </c>
      <c r="U1472" s="114">
        <f t="shared" si="374"/>
        <v>20</v>
      </c>
      <c r="V1472" s="30"/>
      <c r="W1472" s="30"/>
      <c r="X1472" s="30"/>
      <c r="Y1472" s="30"/>
    </row>
    <row r="1473" spans="3:25" s="29" customFormat="1" x14ac:dyDescent="0.25">
      <c r="C1473" s="990"/>
      <c r="D1473" s="990"/>
      <c r="E1473" s="990"/>
      <c r="F1473" s="991"/>
      <c r="G1473" s="991"/>
      <c r="H1473" s="991"/>
      <c r="I1473" s="991"/>
      <c r="J1473" s="991"/>
      <c r="M1473" s="114" t="s">
        <v>438</v>
      </c>
      <c r="N1473" s="114">
        <f>S14</f>
        <v>72.95</v>
      </c>
      <c r="O1473" s="114" t="str">
        <f>R14</f>
        <v>g</v>
      </c>
      <c r="P1473" s="114">
        <v>30</v>
      </c>
      <c r="Q1473" s="114">
        <f t="shared" si="371"/>
        <v>2188.5</v>
      </c>
      <c r="R1473" s="114">
        <v>0</v>
      </c>
      <c r="S1473" s="114">
        <f t="shared" ref="S1473:S1476" si="375">P1473*R1473</f>
        <v>0</v>
      </c>
      <c r="T1473" s="114">
        <f t="shared" si="373"/>
        <v>30</v>
      </c>
      <c r="U1473" s="114">
        <f t="shared" si="374"/>
        <v>2188.5</v>
      </c>
      <c r="V1473" s="30"/>
      <c r="W1473" s="30"/>
      <c r="X1473" s="30"/>
      <c r="Y1473" s="30"/>
    </row>
    <row r="1474" spans="3:25" s="29" customFormat="1" x14ac:dyDescent="0.25">
      <c r="C1474" s="990"/>
      <c r="D1474" s="990"/>
      <c r="E1474" s="990"/>
      <c r="F1474" s="991"/>
      <c r="G1474" s="991"/>
      <c r="H1474" s="991"/>
      <c r="I1474" s="991"/>
      <c r="J1474" s="991"/>
      <c r="M1474" s="114" t="s">
        <v>388</v>
      </c>
      <c r="N1474" s="114">
        <f>E12</f>
        <v>2099.0723984875517</v>
      </c>
      <c r="O1474" s="114" t="str">
        <f>D12</f>
        <v>g</v>
      </c>
      <c r="P1474" s="114">
        <v>100</v>
      </c>
      <c r="Q1474" s="114">
        <f>N1474</f>
        <v>2099.0723984875517</v>
      </c>
      <c r="R1474" s="114">
        <v>0</v>
      </c>
      <c r="S1474" s="114">
        <f t="shared" si="375"/>
        <v>0</v>
      </c>
      <c r="T1474" s="114">
        <f t="shared" si="373"/>
        <v>100</v>
      </c>
      <c r="U1474" s="114">
        <f t="shared" si="374"/>
        <v>2099.0723984875517</v>
      </c>
      <c r="V1474" s="30"/>
      <c r="W1474" s="30"/>
      <c r="X1474" s="30"/>
      <c r="Y1474" s="30"/>
    </row>
    <row r="1475" spans="3:25" s="29" customFormat="1" x14ac:dyDescent="0.25">
      <c r="C1475" s="990" t="s">
        <v>4</v>
      </c>
      <c r="D1475" s="990"/>
      <c r="E1475" s="990"/>
      <c r="F1475" s="991" t="s">
        <v>15</v>
      </c>
      <c r="G1475" s="991"/>
      <c r="H1475" s="991"/>
      <c r="I1475" s="991"/>
      <c r="J1475" s="991"/>
      <c r="M1475" s="114" t="s">
        <v>525</v>
      </c>
      <c r="N1475" s="114">
        <f>P13</f>
        <v>2</v>
      </c>
      <c r="O1475" s="114" t="str">
        <f>O13</f>
        <v>g</v>
      </c>
      <c r="P1475" s="114">
        <v>15</v>
      </c>
      <c r="Q1475" s="114">
        <f t="shared" si="371"/>
        <v>30</v>
      </c>
      <c r="R1475" s="114">
        <v>0</v>
      </c>
      <c r="S1475" s="114">
        <f t="shared" si="375"/>
        <v>0</v>
      </c>
      <c r="T1475" s="114">
        <f t="shared" si="373"/>
        <v>15</v>
      </c>
      <c r="U1475" s="114">
        <f t="shared" si="374"/>
        <v>30</v>
      </c>
      <c r="V1475" s="30"/>
      <c r="W1475" s="30"/>
      <c r="X1475" s="30"/>
      <c r="Y1475" s="30"/>
    </row>
    <row r="1476" spans="3:25" s="29" customFormat="1" x14ac:dyDescent="0.25">
      <c r="C1476" s="990"/>
      <c r="D1476" s="990"/>
      <c r="E1476" s="990"/>
      <c r="F1476" s="991"/>
      <c r="G1476" s="991"/>
      <c r="H1476" s="991"/>
      <c r="I1476" s="991"/>
      <c r="J1476" s="991"/>
      <c r="M1476" s="114" t="s">
        <v>484</v>
      </c>
      <c r="N1476" s="114">
        <f>S7</f>
        <v>54</v>
      </c>
      <c r="O1476" s="114" t="str">
        <f>R7</f>
        <v>g</v>
      </c>
      <c r="P1476" s="114">
        <v>40</v>
      </c>
      <c r="Q1476" s="114">
        <f t="shared" si="371"/>
        <v>2160</v>
      </c>
      <c r="R1476" s="114">
        <f>AN2</f>
        <v>0.33</v>
      </c>
      <c r="S1476" s="114">
        <f t="shared" si="375"/>
        <v>13.200000000000001</v>
      </c>
      <c r="T1476" s="114">
        <f t="shared" si="373"/>
        <v>26.799999999999997</v>
      </c>
      <c r="U1476" s="114">
        <f t="shared" si="374"/>
        <v>2872.8</v>
      </c>
      <c r="V1476" s="30"/>
      <c r="W1476" s="30"/>
      <c r="X1476" s="30"/>
      <c r="Y1476" s="30"/>
    </row>
    <row r="1477" spans="3:25" s="29" customFormat="1" x14ac:dyDescent="0.25">
      <c r="C1477" s="990"/>
      <c r="D1477" s="990"/>
      <c r="E1477" s="990"/>
      <c r="F1477" s="991"/>
      <c r="G1477" s="991"/>
      <c r="H1477" s="991"/>
      <c r="I1477" s="991"/>
      <c r="J1477" s="991"/>
      <c r="M1477" s="114"/>
      <c r="N1477" s="114"/>
      <c r="O1477" s="114" t="str">
        <f>R8</f>
        <v>g</v>
      </c>
      <c r="P1477" s="114"/>
      <c r="Q1477" s="114"/>
      <c r="R1477" s="114"/>
      <c r="S1477" s="114"/>
      <c r="T1477" s="114"/>
      <c r="U1477" s="114"/>
      <c r="V1477" s="30"/>
      <c r="W1477" s="30"/>
      <c r="X1477" s="30"/>
      <c r="Y1477" s="30"/>
    </row>
    <row r="1478" spans="3:25" s="29" customFormat="1" x14ac:dyDescent="0.25">
      <c r="C1478" s="990" t="s">
        <v>5</v>
      </c>
      <c r="D1478" s="990"/>
      <c r="E1478" s="990"/>
      <c r="F1478" s="991" t="s">
        <v>167</v>
      </c>
      <c r="G1478" s="991"/>
      <c r="H1478" s="991"/>
      <c r="I1478" s="991"/>
      <c r="J1478" s="991"/>
      <c r="M1478" s="114"/>
      <c r="N1478" s="114"/>
      <c r="O1478" s="114" t="str">
        <f>R9</f>
        <v>g</v>
      </c>
      <c r="P1478" s="114"/>
      <c r="Q1478" s="114"/>
      <c r="R1478" s="114"/>
      <c r="S1478" s="114"/>
      <c r="T1478" s="114"/>
      <c r="U1478" s="114"/>
    </row>
    <row r="1479" spans="3:25" s="29" customFormat="1" x14ac:dyDescent="0.25">
      <c r="C1479" s="990"/>
      <c r="D1479" s="990"/>
      <c r="E1479" s="990"/>
      <c r="F1479" s="991"/>
      <c r="G1479" s="991"/>
      <c r="H1479" s="991"/>
      <c r="I1479" s="991"/>
      <c r="J1479" s="991"/>
      <c r="M1479" s="114" t="s">
        <v>337</v>
      </c>
      <c r="N1479" s="114">
        <f>SUM(N1469:N1478)</f>
        <v>2367.8223984875517</v>
      </c>
      <c r="O1479" s="114"/>
      <c r="P1479" s="114">
        <f>SUM(P1469:P1478)</f>
        <v>517</v>
      </c>
      <c r="Q1479" s="114">
        <f>SUM(Q1469:Q1478)</f>
        <v>22408.372398487551</v>
      </c>
      <c r="R1479" s="114"/>
      <c r="S1479" s="114"/>
      <c r="T1479" s="114"/>
      <c r="U1479" s="114">
        <f>SUM(U1469:U1478)</f>
        <v>23121.17239848755</v>
      </c>
    </row>
    <row r="1480" spans="3:25" s="29" customFormat="1" x14ac:dyDescent="0.25">
      <c r="C1480" s="990"/>
      <c r="D1480" s="990"/>
      <c r="E1480" s="990"/>
      <c r="F1480" s="991"/>
      <c r="G1480" s="991"/>
      <c r="H1480" s="991"/>
      <c r="I1480" s="991"/>
      <c r="J1480" s="991"/>
    </row>
    <row r="1481" spans="3:25" s="29" customFormat="1" x14ac:dyDescent="0.25">
      <c r="C1481" s="990" t="s">
        <v>6</v>
      </c>
      <c r="D1481" s="990"/>
      <c r="E1481" s="990"/>
      <c r="F1481" s="991" t="s">
        <v>9</v>
      </c>
      <c r="G1481" s="991"/>
      <c r="H1481" s="991"/>
      <c r="I1481" s="991"/>
      <c r="J1481" s="991"/>
      <c r="Q1481" s="114" t="s">
        <v>1681</v>
      </c>
      <c r="R1481" s="114">
        <f>U1479</f>
        <v>23121.17239848755</v>
      </c>
      <c r="S1481" s="608" t="s">
        <v>2142</v>
      </c>
      <c r="T1481" s="608">
        <f>(R1481*100)/R1488</f>
        <v>53.375982679409184</v>
      </c>
    </row>
    <row r="1482" spans="3:25" s="29" customFormat="1" x14ac:dyDescent="0.25">
      <c r="C1482" s="990"/>
      <c r="D1482" s="990"/>
      <c r="E1482" s="990"/>
      <c r="F1482" s="991"/>
      <c r="G1482" s="991"/>
      <c r="H1482" s="991"/>
      <c r="I1482" s="991"/>
      <c r="J1482" s="991"/>
      <c r="Q1482" s="114" t="s">
        <v>2326</v>
      </c>
      <c r="R1482" s="114">
        <f>$AL$26</f>
        <v>1801.715474357886</v>
      </c>
    </row>
    <row r="1483" spans="3:25" s="29" customFormat="1" x14ac:dyDescent="0.25">
      <c r="C1483" s="990"/>
      <c r="D1483" s="990"/>
      <c r="E1483" s="990"/>
      <c r="F1483" s="991"/>
      <c r="G1483" s="991"/>
      <c r="H1483" s="991"/>
      <c r="I1483" s="991"/>
      <c r="J1483" s="991"/>
      <c r="Q1483" s="114" t="s">
        <v>2325</v>
      </c>
      <c r="R1483" s="114">
        <f>$AL$27</f>
        <v>75.599999999999994</v>
      </c>
    </row>
    <row r="1484" spans="3:25" s="29" customFormat="1" x14ac:dyDescent="0.25">
      <c r="C1484" s="990" t="s">
        <v>7</v>
      </c>
      <c r="D1484" s="990"/>
      <c r="E1484" s="990"/>
      <c r="F1484" s="991" t="s">
        <v>320</v>
      </c>
      <c r="G1484" s="991"/>
      <c r="H1484" s="991"/>
      <c r="I1484" s="991"/>
      <c r="J1484" s="991"/>
      <c r="Q1484" s="114" t="s">
        <v>1684</v>
      </c>
      <c r="R1484" s="114">
        <f>$AL$29</f>
        <v>69.543532482306858</v>
      </c>
    </row>
    <row r="1485" spans="3:25" s="29" customFormat="1" x14ac:dyDescent="0.25">
      <c r="C1485" s="990"/>
      <c r="D1485" s="990"/>
      <c r="E1485" s="990"/>
      <c r="F1485" s="991"/>
      <c r="G1485" s="991"/>
      <c r="H1485" s="991"/>
      <c r="I1485" s="991"/>
      <c r="J1485" s="991"/>
      <c r="Q1485" s="114" t="s">
        <v>1685</v>
      </c>
      <c r="R1485" s="114">
        <v>0.6</v>
      </c>
    </row>
    <row r="1486" spans="3:25" s="29" customFormat="1" x14ac:dyDescent="0.25">
      <c r="C1486" s="990"/>
      <c r="D1486" s="990"/>
      <c r="E1486" s="990"/>
      <c r="F1486" s="991"/>
      <c r="G1486" s="991"/>
      <c r="H1486" s="991"/>
      <c r="I1486" s="991"/>
      <c r="J1486" s="991"/>
      <c r="Q1486" s="114" t="s">
        <v>1708</v>
      </c>
      <c r="R1486" s="114">
        <f>(SUM(R1481:R1484)*R1485)+SUM(R1481:R1484)</f>
        <v>40108.850248524388</v>
      </c>
    </row>
    <row r="1487" spans="3:25" s="29" customFormat="1" x14ac:dyDescent="0.25">
      <c r="Q1487" s="114" t="s">
        <v>2130</v>
      </c>
      <c r="R1487" s="114">
        <f>R1486*0.08</f>
        <v>3208.7080198819513</v>
      </c>
    </row>
    <row r="1488" spans="3:25" s="29" customFormat="1" x14ac:dyDescent="0.25">
      <c r="Q1488" s="114" t="s">
        <v>1686</v>
      </c>
      <c r="R1488" s="114">
        <f>SUM(R1486+R1487)</f>
        <v>43317.558268406341</v>
      </c>
    </row>
    <row r="1489" spans="3:31" s="29" customFormat="1" x14ac:dyDescent="0.25"/>
    <row r="1490" spans="3:31" s="29" customFormat="1" x14ac:dyDescent="0.25"/>
    <row r="1491" spans="3:31" s="29" customFormat="1" x14ac:dyDescent="0.25">
      <c r="C1491" s="910" t="s">
        <v>8</v>
      </c>
      <c r="D1491" s="910"/>
      <c r="E1491" s="910"/>
      <c r="F1491" s="910"/>
      <c r="G1491" s="910"/>
      <c r="H1491" s="910"/>
      <c r="I1491" s="910"/>
      <c r="J1491" s="910"/>
    </row>
    <row r="1492" spans="3:31" s="29" customFormat="1" x14ac:dyDescent="0.25">
      <c r="C1492" s="895" t="s">
        <v>0</v>
      </c>
      <c r="D1492" s="895"/>
      <c r="E1492" s="895"/>
      <c r="F1492" s="895" t="s">
        <v>1</v>
      </c>
      <c r="G1492" s="895"/>
      <c r="H1492" s="895"/>
      <c r="I1492" s="895"/>
      <c r="J1492" s="895"/>
    </row>
    <row r="1493" spans="3:31" s="29" customFormat="1" x14ac:dyDescent="0.25">
      <c r="C1493" s="896" t="s">
        <v>2</v>
      </c>
      <c r="D1493" s="896"/>
      <c r="E1493" s="896"/>
      <c r="F1493" s="898" t="s">
        <v>321</v>
      </c>
      <c r="G1493" s="898"/>
      <c r="H1493" s="898"/>
      <c r="I1493" s="898"/>
      <c r="J1493" s="898"/>
      <c r="M1493" s="12" t="s">
        <v>336</v>
      </c>
      <c r="N1493" s="12" t="s">
        <v>174</v>
      </c>
      <c r="O1493" s="12" t="s">
        <v>248</v>
      </c>
      <c r="P1493" s="12" t="s">
        <v>176</v>
      </c>
      <c r="Q1493" s="12" t="s">
        <v>337</v>
      </c>
      <c r="R1493" s="298" t="s">
        <v>1641</v>
      </c>
      <c r="S1493" s="298" t="s">
        <v>1642</v>
      </c>
      <c r="T1493" s="298" t="s">
        <v>1643</v>
      </c>
      <c r="U1493" s="298" t="s">
        <v>1644</v>
      </c>
      <c r="W1493" s="1048" t="s">
        <v>1467</v>
      </c>
      <c r="X1493" s="1048"/>
      <c r="Y1493" s="1048"/>
      <c r="Z1493" s="1048"/>
      <c r="AA1493" s="1048"/>
      <c r="AB1493" s="1048"/>
      <c r="AC1493" s="1048"/>
      <c r="AD1493" s="1048"/>
      <c r="AE1493" s="1048"/>
    </row>
    <row r="1494" spans="3:31" s="29" customFormat="1" x14ac:dyDescent="0.25">
      <c r="C1494" s="896"/>
      <c r="D1494" s="896"/>
      <c r="E1494" s="896"/>
      <c r="F1494" s="898"/>
      <c r="G1494" s="898"/>
      <c r="H1494" s="898"/>
      <c r="I1494" s="898"/>
      <c r="J1494" s="898"/>
      <c r="M1494" s="13" t="s">
        <v>344</v>
      </c>
      <c r="N1494" s="13">
        <f>F23</f>
        <v>2073.8723984875514</v>
      </c>
      <c r="O1494" s="13" t="str">
        <f>D23</f>
        <v>g</v>
      </c>
      <c r="P1494" s="13">
        <v>100</v>
      </c>
      <c r="Q1494" s="13">
        <f>N1494</f>
        <v>2073.8723984875514</v>
      </c>
      <c r="R1494" s="13">
        <v>0</v>
      </c>
      <c r="S1494" s="13">
        <f>P1494*R1494</f>
        <v>0</v>
      </c>
      <c r="T1494" s="13">
        <f>P1494-S1494</f>
        <v>100</v>
      </c>
      <c r="U1494" s="13">
        <f>Q1494+((S1494*Q1494)/P1494)</f>
        <v>2073.8723984875514</v>
      </c>
      <c r="W1494" s="298" t="s">
        <v>336</v>
      </c>
      <c r="X1494" s="298" t="s">
        <v>174</v>
      </c>
      <c r="Y1494" s="298" t="s">
        <v>248</v>
      </c>
      <c r="Z1494" s="298" t="s">
        <v>176</v>
      </c>
      <c r="AA1494" s="298" t="s">
        <v>337</v>
      </c>
      <c r="AB1494" s="298" t="s">
        <v>1641</v>
      </c>
      <c r="AC1494" s="298" t="s">
        <v>1642</v>
      </c>
      <c r="AD1494" s="298" t="s">
        <v>1643</v>
      </c>
      <c r="AE1494" s="298" t="s">
        <v>1644</v>
      </c>
    </row>
    <row r="1495" spans="3:31" s="29" customFormat="1" x14ac:dyDescent="0.25">
      <c r="C1495" s="896"/>
      <c r="D1495" s="896"/>
      <c r="E1495" s="896"/>
      <c r="F1495" s="898"/>
      <c r="G1495" s="898"/>
      <c r="H1495" s="898"/>
      <c r="I1495" s="898"/>
      <c r="J1495" s="898"/>
      <c r="M1495" s="13" t="s">
        <v>340</v>
      </c>
      <c r="N1495" s="13">
        <f>Y20</f>
        <v>0.64</v>
      </c>
      <c r="O1495" s="13" t="str">
        <f>X20</f>
        <v>g</v>
      </c>
      <c r="P1495" s="13">
        <v>2</v>
      </c>
      <c r="Q1495" s="13">
        <f>N1495*P1495</f>
        <v>1.28</v>
      </c>
      <c r="R1495" s="13">
        <v>0</v>
      </c>
      <c r="S1495" s="13">
        <f t="shared" ref="S1495:S1496" si="376">P1495*R1495</f>
        <v>0</v>
      </c>
      <c r="T1495" s="13">
        <f t="shared" ref="T1495:T1499" si="377">P1495-S1495</f>
        <v>2</v>
      </c>
      <c r="U1495" s="13">
        <f t="shared" ref="U1495:U1499" si="378">Q1495+((S1495*Q1495)/P1495)</f>
        <v>1.28</v>
      </c>
      <c r="W1495" s="13" t="s">
        <v>442</v>
      </c>
      <c r="X1495" s="13">
        <f>Y3</f>
        <v>30</v>
      </c>
      <c r="Y1495" s="13" t="str">
        <f>X3</f>
        <v>g</v>
      </c>
      <c r="Z1495" s="13">
        <v>15</v>
      </c>
      <c r="AA1495" s="13">
        <f>X1495*Z1495</f>
        <v>450</v>
      </c>
      <c r="AB1495" s="13">
        <v>0</v>
      </c>
      <c r="AC1495" s="13">
        <f>Z1495*AB1495</f>
        <v>0</v>
      </c>
      <c r="AD1495" s="13">
        <f>Z1495-AC1495</f>
        <v>15</v>
      </c>
      <c r="AE1495" s="13">
        <f>AA1495+((AC1495*AA1495)/Z1495)</f>
        <v>450</v>
      </c>
    </row>
    <row r="1496" spans="3:31" s="29" customFormat="1" x14ac:dyDescent="0.25">
      <c r="C1496" s="895" t="s">
        <v>0</v>
      </c>
      <c r="D1496" s="895"/>
      <c r="E1496" s="895"/>
      <c r="F1496" s="895" t="s">
        <v>1</v>
      </c>
      <c r="G1496" s="895"/>
      <c r="H1496" s="895"/>
      <c r="I1496" s="895"/>
      <c r="J1496" s="895"/>
      <c r="M1496" s="13" t="s">
        <v>346</v>
      </c>
      <c r="N1496" s="13">
        <f>P3</f>
        <v>7</v>
      </c>
      <c r="O1496" s="13" t="str">
        <f>O3</f>
        <v>g</v>
      </c>
      <c r="P1496" s="13">
        <v>6</v>
      </c>
      <c r="Q1496" s="13">
        <f>N1496*P1496</f>
        <v>42</v>
      </c>
      <c r="R1496" s="13">
        <f>AJ2</f>
        <v>0.23</v>
      </c>
      <c r="S1496" s="13">
        <f t="shared" si="376"/>
        <v>1.3800000000000001</v>
      </c>
      <c r="T1496" s="13">
        <f t="shared" si="377"/>
        <v>4.62</v>
      </c>
      <c r="U1496" s="13">
        <f t="shared" si="378"/>
        <v>51.660000000000004</v>
      </c>
      <c r="W1496" s="13" t="s">
        <v>482</v>
      </c>
      <c r="X1496" s="13">
        <f>P18</f>
        <v>5</v>
      </c>
      <c r="Y1496" s="13" t="str">
        <f>O18</f>
        <v>g</v>
      </c>
      <c r="Z1496" s="13">
        <v>10</v>
      </c>
      <c r="AA1496" s="13">
        <f t="shared" ref="AA1496:AA1501" si="379">X1496*Z1496</f>
        <v>50</v>
      </c>
      <c r="AB1496" s="13">
        <f>AJ11</f>
        <v>0.23</v>
      </c>
      <c r="AC1496" s="13">
        <f t="shared" ref="AC1496:AC1497" si="380">Z1496*AB1496</f>
        <v>2.3000000000000003</v>
      </c>
      <c r="AD1496" s="13">
        <f t="shared" ref="AD1496:AD1501" si="381">Z1496-AC1496</f>
        <v>7.6999999999999993</v>
      </c>
      <c r="AE1496" s="13">
        <f t="shared" ref="AE1496:AE1501" si="382">AA1496+((AC1496*AA1496)/Z1496)</f>
        <v>61.5</v>
      </c>
    </row>
    <row r="1497" spans="3:31" s="29" customFormat="1" x14ac:dyDescent="0.25">
      <c r="C1497" s="896" t="s">
        <v>3</v>
      </c>
      <c r="D1497" s="896"/>
      <c r="E1497" s="896"/>
      <c r="F1497" s="897" t="s">
        <v>326</v>
      </c>
      <c r="G1497" s="898"/>
      <c r="H1497" s="898"/>
      <c r="I1497" s="898"/>
      <c r="J1497" s="898"/>
      <c r="M1497" s="13" t="s">
        <v>345</v>
      </c>
      <c r="N1497" s="13">
        <f>P23</f>
        <v>1.6</v>
      </c>
      <c r="O1497" s="13" t="str">
        <f>O23</f>
        <v>g</v>
      </c>
      <c r="P1497" s="13">
        <v>10</v>
      </c>
      <c r="Q1497" s="13">
        <f>N1497*P1497</f>
        <v>16</v>
      </c>
      <c r="R1497" s="13">
        <v>0</v>
      </c>
      <c r="S1497" s="13">
        <f>P1497*R1497</f>
        <v>0</v>
      </c>
      <c r="T1497" s="13">
        <f t="shared" si="377"/>
        <v>10</v>
      </c>
      <c r="U1497" s="13">
        <f t="shared" si="378"/>
        <v>16</v>
      </c>
      <c r="W1497" s="13" t="s">
        <v>547</v>
      </c>
      <c r="X1497" s="13">
        <f>V13</f>
        <v>81.900000000000006</v>
      </c>
      <c r="Y1497" s="13" t="str">
        <f>U13</f>
        <v>g</v>
      </c>
      <c r="Z1497" s="13">
        <v>15</v>
      </c>
      <c r="AA1497" s="13">
        <f t="shared" si="379"/>
        <v>1228.5</v>
      </c>
      <c r="AB1497" s="13">
        <v>0</v>
      </c>
      <c r="AC1497" s="13">
        <f t="shared" si="380"/>
        <v>0</v>
      </c>
      <c r="AD1497" s="13">
        <f t="shared" si="381"/>
        <v>15</v>
      </c>
      <c r="AE1497" s="13">
        <f t="shared" si="382"/>
        <v>1228.5</v>
      </c>
    </row>
    <row r="1498" spans="3:31" s="29" customFormat="1" x14ac:dyDescent="0.25">
      <c r="C1498" s="896"/>
      <c r="D1498" s="896"/>
      <c r="E1498" s="896"/>
      <c r="F1498" s="898"/>
      <c r="G1498" s="898"/>
      <c r="H1498" s="898"/>
      <c r="I1498" s="898"/>
      <c r="J1498" s="898"/>
      <c r="M1498" s="13" t="s">
        <v>521</v>
      </c>
      <c r="N1498" s="13">
        <f>AE1502</f>
        <v>5620.16</v>
      </c>
      <c r="O1498" s="13" t="s">
        <v>1388</v>
      </c>
      <c r="P1498" s="13">
        <v>120</v>
      </c>
      <c r="Q1498" s="13">
        <f>N1498</f>
        <v>5620.16</v>
      </c>
      <c r="R1498" s="13">
        <v>0</v>
      </c>
      <c r="S1498" s="13">
        <f t="shared" ref="S1498:S1499" si="383">P1498*R1498</f>
        <v>0</v>
      </c>
      <c r="T1498" s="13">
        <f t="shared" si="377"/>
        <v>120</v>
      </c>
      <c r="U1498" s="13">
        <f t="shared" si="378"/>
        <v>5620.16</v>
      </c>
      <c r="W1498" s="13" t="s">
        <v>340</v>
      </c>
      <c r="X1498" s="13">
        <f>Y20</f>
        <v>0.64</v>
      </c>
      <c r="Y1498" s="13" t="str">
        <f>X20</f>
        <v>g</v>
      </c>
      <c r="Z1498" s="13">
        <v>1</v>
      </c>
      <c r="AA1498" s="13">
        <f t="shared" si="379"/>
        <v>0.64</v>
      </c>
      <c r="AB1498" s="13">
        <v>0</v>
      </c>
      <c r="AC1498" s="13">
        <f>Z1498*AB1498</f>
        <v>0</v>
      </c>
      <c r="AD1498" s="13">
        <f t="shared" si="381"/>
        <v>1</v>
      </c>
      <c r="AE1498" s="13">
        <f t="shared" si="382"/>
        <v>0.64</v>
      </c>
    </row>
    <row r="1499" spans="3:31" s="29" customFormat="1" x14ac:dyDescent="0.25">
      <c r="C1499" s="896"/>
      <c r="D1499" s="896"/>
      <c r="E1499" s="896"/>
      <c r="F1499" s="898"/>
      <c r="G1499" s="898"/>
      <c r="H1499" s="898"/>
      <c r="I1499" s="898"/>
      <c r="J1499" s="898"/>
      <c r="M1499" s="13" t="s">
        <v>461</v>
      </c>
      <c r="N1499" s="13">
        <f>P8</f>
        <v>3.3330000000000002</v>
      </c>
      <c r="O1499" s="13" t="str">
        <f>O8</f>
        <v>g</v>
      </c>
      <c r="P1499" s="13">
        <v>100</v>
      </c>
      <c r="Q1499" s="13">
        <f>N1499*P1499</f>
        <v>333.3</v>
      </c>
      <c r="R1499" s="13">
        <f>AJ6</f>
        <v>0.5</v>
      </c>
      <c r="S1499" s="13">
        <f t="shared" si="383"/>
        <v>50</v>
      </c>
      <c r="T1499" s="13">
        <f t="shared" si="377"/>
        <v>50</v>
      </c>
      <c r="U1499" s="13">
        <f t="shared" si="378"/>
        <v>499.95000000000005</v>
      </c>
      <c r="W1499" s="13" t="s">
        <v>346</v>
      </c>
      <c r="X1499" s="13">
        <f>P3</f>
        <v>7</v>
      </c>
      <c r="Y1499" s="13" t="str">
        <f>O3</f>
        <v>g</v>
      </c>
      <c r="Z1499" s="13">
        <v>4</v>
      </c>
      <c r="AA1499" s="13">
        <f t="shared" si="379"/>
        <v>28</v>
      </c>
      <c r="AB1499" s="13">
        <f>AJ2</f>
        <v>0.23</v>
      </c>
      <c r="AC1499" s="13">
        <f t="shared" ref="AC1499:AC1501" si="384">Z1499*AB1499</f>
        <v>0.92</v>
      </c>
      <c r="AD1499" s="13">
        <f t="shared" si="381"/>
        <v>3.08</v>
      </c>
      <c r="AE1499" s="13">
        <f t="shared" si="382"/>
        <v>34.44</v>
      </c>
    </row>
    <row r="1500" spans="3:31" s="29" customFormat="1" x14ac:dyDescent="0.25">
      <c r="C1500" s="896" t="s">
        <v>4</v>
      </c>
      <c r="D1500" s="896"/>
      <c r="E1500" s="896"/>
      <c r="F1500" s="898" t="s">
        <v>15</v>
      </c>
      <c r="G1500" s="898"/>
      <c r="H1500" s="898"/>
      <c r="I1500" s="898"/>
      <c r="J1500" s="898"/>
      <c r="M1500" s="13"/>
      <c r="N1500" s="13"/>
      <c r="O1500" s="13"/>
      <c r="P1500" s="13"/>
      <c r="Q1500" s="13"/>
      <c r="R1500" s="13"/>
      <c r="S1500" s="13"/>
      <c r="T1500" s="13"/>
      <c r="U1500" s="13"/>
      <c r="W1500" s="13" t="s">
        <v>433</v>
      </c>
      <c r="X1500" s="13">
        <f>Y18</f>
        <v>223.57</v>
      </c>
      <c r="Y1500" s="13" t="str">
        <f>X18</f>
        <v>g</v>
      </c>
      <c r="Z1500" s="13">
        <v>4</v>
      </c>
      <c r="AA1500" s="13">
        <f t="shared" si="379"/>
        <v>894.28</v>
      </c>
      <c r="AB1500" s="13">
        <v>0</v>
      </c>
      <c r="AC1500" s="13">
        <f t="shared" si="384"/>
        <v>0</v>
      </c>
      <c r="AD1500" s="13">
        <f t="shared" si="381"/>
        <v>4</v>
      </c>
      <c r="AE1500" s="13">
        <f t="shared" si="382"/>
        <v>894.28</v>
      </c>
    </row>
    <row r="1501" spans="3:31" s="29" customFormat="1" x14ac:dyDescent="0.25">
      <c r="C1501" s="896"/>
      <c r="D1501" s="896"/>
      <c r="E1501" s="896"/>
      <c r="F1501" s="898"/>
      <c r="G1501" s="898"/>
      <c r="H1501" s="898"/>
      <c r="I1501" s="898"/>
      <c r="J1501" s="898"/>
      <c r="M1501" s="13"/>
      <c r="N1501" s="13"/>
      <c r="O1501" s="13"/>
      <c r="P1501" s="13"/>
      <c r="Q1501" s="13"/>
      <c r="R1501" s="13"/>
      <c r="S1501" s="13"/>
      <c r="T1501" s="13"/>
      <c r="U1501" s="13"/>
      <c r="W1501" s="13" t="s">
        <v>546</v>
      </c>
      <c r="X1501" s="13">
        <f>AE3</f>
        <v>49.18</v>
      </c>
      <c r="Y1501" s="13" t="str">
        <f>AD3</f>
        <v>mL</v>
      </c>
      <c r="Z1501" s="13">
        <v>60</v>
      </c>
      <c r="AA1501" s="13">
        <f t="shared" si="379"/>
        <v>2950.8</v>
      </c>
      <c r="AB1501" s="13">
        <v>0</v>
      </c>
      <c r="AC1501" s="13">
        <f t="shared" si="384"/>
        <v>0</v>
      </c>
      <c r="AD1501" s="13">
        <f t="shared" si="381"/>
        <v>60</v>
      </c>
      <c r="AE1501" s="13">
        <f t="shared" si="382"/>
        <v>2950.8</v>
      </c>
    </row>
    <row r="1502" spans="3:31" s="29" customFormat="1" x14ac:dyDescent="0.25">
      <c r="C1502" s="896"/>
      <c r="D1502" s="896"/>
      <c r="E1502" s="896"/>
      <c r="F1502" s="898"/>
      <c r="G1502" s="898"/>
      <c r="H1502" s="898"/>
      <c r="I1502" s="898"/>
      <c r="J1502" s="898"/>
      <c r="M1502" s="13" t="s">
        <v>337</v>
      </c>
      <c r="N1502" s="13">
        <f>SUM(N1494:N1501)</f>
        <v>7706.6053984875507</v>
      </c>
      <c r="O1502" s="13"/>
      <c r="P1502" s="13">
        <f>SUM(P1494:P1501)</f>
        <v>338</v>
      </c>
      <c r="Q1502" s="13">
        <f>SUM(Q1494:Q1501)</f>
        <v>8086.6123984875512</v>
      </c>
      <c r="R1502" s="13"/>
      <c r="S1502" s="13"/>
      <c r="T1502" s="13"/>
      <c r="U1502" s="13">
        <f>SUM(U1494:U1501)</f>
        <v>8262.9223984875516</v>
      </c>
      <c r="W1502" s="13" t="s">
        <v>337</v>
      </c>
      <c r="X1502" s="13">
        <f>SUM(X1495:X1501)</f>
        <v>397.29</v>
      </c>
      <c r="Y1502" s="13"/>
      <c r="Z1502" s="13">
        <f>SUM(Z1495:Z1501)</f>
        <v>109</v>
      </c>
      <c r="AA1502" s="13">
        <f>SUM(AA1495:AA1501)</f>
        <v>5602.22</v>
      </c>
      <c r="AB1502" s="13"/>
      <c r="AC1502" s="13"/>
      <c r="AD1502" s="13"/>
      <c r="AE1502" s="13">
        <f>SUM(AE1495:AE1501)</f>
        <v>5620.16</v>
      </c>
    </row>
    <row r="1503" spans="3:31" s="29" customFormat="1" x14ac:dyDescent="0.25">
      <c r="C1503" s="896" t="s">
        <v>5</v>
      </c>
      <c r="D1503" s="896"/>
      <c r="E1503" s="896"/>
      <c r="F1503" s="897" t="s">
        <v>526</v>
      </c>
      <c r="G1503" s="898"/>
      <c r="H1503" s="898"/>
      <c r="I1503" s="898"/>
      <c r="J1503" s="898"/>
    </row>
    <row r="1504" spans="3:31" s="29" customFormat="1" x14ac:dyDescent="0.25">
      <c r="C1504" s="896"/>
      <c r="D1504" s="896"/>
      <c r="E1504" s="896"/>
      <c r="F1504" s="898"/>
      <c r="G1504" s="898"/>
      <c r="H1504" s="898"/>
      <c r="I1504" s="898"/>
      <c r="J1504" s="898"/>
      <c r="Q1504" s="13" t="s">
        <v>1681</v>
      </c>
      <c r="R1504" s="13">
        <f>U1502</f>
        <v>8262.9223984875516</v>
      </c>
      <c r="S1504" s="608" t="s">
        <v>2142</v>
      </c>
      <c r="T1504" s="608">
        <f>(R1504*100)/R1511</f>
        <v>46.835320028749798</v>
      </c>
      <c r="AA1504" s="13" t="s">
        <v>1681</v>
      </c>
      <c r="AB1504" s="13">
        <f>AE1502</f>
        <v>5620.16</v>
      </c>
      <c r="AC1504" s="608" t="s">
        <v>2142</v>
      </c>
      <c r="AD1504" s="608">
        <f>(AB1504*100)/AB1511</f>
        <v>42.441465841361861</v>
      </c>
    </row>
    <row r="1505" spans="3:31" s="29" customFormat="1" x14ac:dyDescent="0.25">
      <c r="C1505" s="896"/>
      <c r="D1505" s="896"/>
      <c r="E1505" s="896"/>
      <c r="F1505" s="898"/>
      <c r="G1505" s="898"/>
      <c r="H1505" s="898"/>
      <c r="I1505" s="898"/>
      <c r="J1505" s="898"/>
      <c r="Q1505" s="13" t="s">
        <v>2326</v>
      </c>
      <c r="R1505" s="13">
        <f>$AL$26</f>
        <v>1801.715474357886</v>
      </c>
      <c r="AA1505" s="13" t="s">
        <v>2326</v>
      </c>
      <c r="AB1505" s="13">
        <f>$AO$26/2</f>
        <v>476.87414947063905</v>
      </c>
    </row>
    <row r="1506" spans="3:31" s="29" customFormat="1" x14ac:dyDescent="0.25">
      <c r="C1506" s="896" t="s">
        <v>6</v>
      </c>
      <c r="D1506" s="896"/>
      <c r="E1506" s="896"/>
      <c r="F1506" s="898" t="s">
        <v>329</v>
      </c>
      <c r="G1506" s="898"/>
      <c r="H1506" s="898"/>
      <c r="I1506" s="898"/>
      <c r="J1506" s="898"/>
      <c r="Q1506" s="13" t="s">
        <v>2325</v>
      </c>
      <c r="R1506" s="13">
        <f>$AL$27</f>
        <v>75.599999999999994</v>
      </c>
      <c r="AA1506" s="13" t="s">
        <v>2325</v>
      </c>
      <c r="AB1506" s="13">
        <f>$AO$27/4</f>
        <v>18.899999999999999</v>
      </c>
    </row>
    <row r="1507" spans="3:31" s="29" customFormat="1" x14ac:dyDescent="0.25">
      <c r="C1507" s="896"/>
      <c r="D1507" s="896"/>
      <c r="E1507" s="896"/>
      <c r="F1507" s="898"/>
      <c r="G1507" s="898"/>
      <c r="H1507" s="898"/>
      <c r="I1507" s="898"/>
      <c r="J1507" s="898"/>
      <c r="Q1507" s="13" t="s">
        <v>1684</v>
      </c>
      <c r="R1507" s="13">
        <f>$AL$29</f>
        <v>69.543532482306858</v>
      </c>
      <c r="AA1507" s="13" t="s">
        <v>1684</v>
      </c>
      <c r="AB1507" s="13">
        <f>$AO$29</f>
        <v>1547.3435977313275</v>
      </c>
    </row>
    <row r="1508" spans="3:31" s="29" customFormat="1" x14ac:dyDescent="0.25">
      <c r="C1508" s="896"/>
      <c r="D1508" s="896"/>
      <c r="E1508" s="896"/>
      <c r="F1508" s="898"/>
      <c r="G1508" s="898"/>
      <c r="H1508" s="898"/>
      <c r="I1508" s="898"/>
      <c r="J1508" s="898"/>
      <c r="Q1508" s="13" t="s">
        <v>1685</v>
      </c>
      <c r="R1508" s="13">
        <v>0.6</v>
      </c>
      <c r="AA1508" s="13" t="s">
        <v>1685</v>
      </c>
      <c r="AB1508" s="13">
        <v>0.6</v>
      </c>
    </row>
    <row r="1509" spans="3:31" s="29" customFormat="1" x14ac:dyDescent="0.25">
      <c r="C1509" s="896" t="s">
        <v>7</v>
      </c>
      <c r="D1509" s="896"/>
      <c r="E1509" s="896"/>
      <c r="F1509" s="897" t="s">
        <v>330</v>
      </c>
      <c r="G1509" s="898"/>
      <c r="H1509" s="898"/>
      <c r="I1509" s="898"/>
      <c r="J1509" s="898"/>
      <c r="Q1509" s="13" t="s">
        <v>1708</v>
      </c>
      <c r="R1509" s="13">
        <f>(SUM(R1504:R1507)*R1508)+SUM(R1504:R1507)</f>
        <v>16335.650248524391</v>
      </c>
      <c r="AA1509" s="13" t="s">
        <v>1708</v>
      </c>
      <c r="AB1509" s="13">
        <f>(SUM(AB1504:AB1507)*AB1508)+SUM(AB1504:AB1507)</f>
        <v>12261.244395523147</v>
      </c>
    </row>
    <row r="1510" spans="3:31" s="29" customFormat="1" x14ac:dyDescent="0.25">
      <c r="C1510" s="896"/>
      <c r="D1510" s="896"/>
      <c r="E1510" s="896"/>
      <c r="F1510" s="898"/>
      <c r="G1510" s="898"/>
      <c r="H1510" s="898"/>
      <c r="I1510" s="898"/>
      <c r="J1510" s="898"/>
      <c r="Q1510" s="13" t="s">
        <v>2130</v>
      </c>
      <c r="R1510" s="13">
        <f>R1509*0.08</f>
        <v>1306.8520198819513</v>
      </c>
      <c r="AA1510" s="13" t="s">
        <v>2130</v>
      </c>
      <c r="AB1510" s="13">
        <f>AB1509*0.08</f>
        <v>980.89955164185176</v>
      </c>
    </row>
    <row r="1511" spans="3:31" s="29" customFormat="1" x14ac:dyDescent="0.25">
      <c r="C1511" s="896"/>
      <c r="D1511" s="896"/>
      <c r="E1511" s="896"/>
      <c r="F1511" s="898"/>
      <c r="G1511" s="898"/>
      <c r="H1511" s="898"/>
      <c r="I1511" s="898"/>
      <c r="J1511" s="898"/>
      <c r="Q1511" s="13" t="s">
        <v>1686</v>
      </c>
      <c r="R1511" s="13">
        <f>SUM(R1509+R1510)</f>
        <v>17642.502268406341</v>
      </c>
      <c r="AA1511" s="13" t="s">
        <v>1686</v>
      </c>
      <c r="AB1511" s="13">
        <f>SUM(AB1509+AB1510)</f>
        <v>13242.143947164997</v>
      </c>
    </row>
    <row r="1512" spans="3:31" s="29" customFormat="1" x14ac:dyDescent="0.25"/>
    <row r="1513" spans="3:31" s="29" customFormat="1" x14ac:dyDescent="0.25"/>
    <row r="1514" spans="3:31" s="29" customFormat="1" x14ac:dyDescent="0.25">
      <c r="C1514" s="910" t="s">
        <v>8</v>
      </c>
      <c r="D1514" s="910"/>
      <c r="E1514" s="910"/>
      <c r="F1514" s="910"/>
      <c r="G1514" s="910"/>
      <c r="H1514" s="910"/>
      <c r="I1514" s="910"/>
      <c r="J1514" s="910"/>
    </row>
    <row r="1515" spans="3:31" s="29" customFormat="1" x14ac:dyDescent="0.25">
      <c r="C1515" s="895" t="s">
        <v>0</v>
      </c>
      <c r="D1515" s="895"/>
      <c r="E1515" s="895"/>
      <c r="F1515" s="895" t="s">
        <v>1</v>
      </c>
      <c r="G1515" s="895"/>
      <c r="H1515" s="895"/>
      <c r="I1515" s="895"/>
      <c r="J1515" s="895"/>
    </row>
    <row r="1516" spans="3:31" s="29" customFormat="1" x14ac:dyDescent="0.25">
      <c r="C1516" s="896" t="s">
        <v>2</v>
      </c>
      <c r="D1516" s="896"/>
      <c r="E1516" s="896"/>
      <c r="F1516" s="898" t="s">
        <v>322</v>
      </c>
      <c r="G1516" s="898"/>
      <c r="H1516" s="898"/>
      <c r="I1516" s="898"/>
      <c r="J1516" s="898"/>
      <c r="M1516" s="12" t="s">
        <v>336</v>
      </c>
      <c r="N1516" s="12" t="s">
        <v>174</v>
      </c>
      <c r="O1516" s="12" t="s">
        <v>248</v>
      </c>
      <c r="P1516" s="12" t="s">
        <v>176</v>
      </c>
      <c r="Q1516" s="12" t="s">
        <v>337</v>
      </c>
      <c r="R1516" s="298" t="s">
        <v>1641</v>
      </c>
      <c r="S1516" s="298" t="s">
        <v>1642</v>
      </c>
      <c r="T1516" s="298" t="s">
        <v>1643</v>
      </c>
      <c r="U1516" s="298" t="s">
        <v>1644</v>
      </c>
      <c r="W1516" s="1048" t="s">
        <v>1475</v>
      </c>
      <c r="X1516" s="1048"/>
      <c r="Y1516" s="1048"/>
      <c r="Z1516" s="1048"/>
      <c r="AA1516" s="1048"/>
      <c r="AB1516" s="1048"/>
      <c r="AC1516" s="1048"/>
      <c r="AD1516" s="1048"/>
      <c r="AE1516" s="1048"/>
    </row>
    <row r="1517" spans="3:31" s="29" customFormat="1" x14ac:dyDescent="0.25">
      <c r="C1517" s="896"/>
      <c r="D1517" s="896"/>
      <c r="E1517" s="896"/>
      <c r="F1517" s="898"/>
      <c r="G1517" s="898"/>
      <c r="H1517" s="898"/>
      <c r="I1517" s="898"/>
      <c r="J1517" s="898"/>
      <c r="M1517" s="13" t="s">
        <v>344</v>
      </c>
      <c r="N1517" s="13">
        <f>F23</f>
        <v>2073.8723984875514</v>
      </c>
      <c r="O1517" s="13" t="str">
        <f>D23</f>
        <v>g</v>
      </c>
      <c r="P1517" s="13">
        <v>100</v>
      </c>
      <c r="Q1517" s="13">
        <f>N1517</f>
        <v>2073.8723984875514</v>
      </c>
      <c r="R1517" s="13">
        <v>0</v>
      </c>
      <c r="S1517" s="13">
        <f>P1517*R1517</f>
        <v>0</v>
      </c>
      <c r="T1517" s="13">
        <f>P1517-S1517</f>
        <v>100</v>
      </c>
      <c r="U1517" s="13">
        <f>Q1517+((S1517*Q1517)/P1517)</f>
        <v>2073.8723984875514</v>
      </c>
      <c r="W1517" s="12" t="s">
        <v>336</v>
      </c>
      <c r="X1517" s="12" t="s">
        <v>174</v>
      </c>
      <c r="Y1517" s="12" t="s">
        <v>248</v>
      </c>
      <c r="Z1517" s="12" t="s">
        <v>176</v>
      </c>
      <c r="AA1517" s="12" t="s">
        <v>337</v>
      </c>
      <c r="AB1517" s="298" t="s">
        <v>1641</v>
      </c>
      <c r="AC1517" s="298" t="s">
        <v>1642</v>
      </c>
      <c r="AD1517" s="298" t="s">
        <v>1643</v>
      </c>
      <c r="AE1517" s="298" t="s">
        <v>1644</v>
      </c>
    </row>
    <row r="1518" spans="3:31" s="29" customFormat="1" x14ac:dyDescent="0.25">
      <c r="C1518" s="896"/>
      <c r="D1518" s="896"/>
      <c r="E1518" s="896"/>
      <c r="F1518" s="898"/>
      <c r="G1518" s="898"/>
      <c r="H1518" s="898"/>
      <c r="I1518" s="898"/>
      <c r="J1518" s="898"/>
      <c r="M1518" s="13" t="s">
        <v>340</v>
      </c>
      <c r="N1518" s="13">
        <f>Y20</f>
        <v>0.64</v>
      </c>
      <c r="O1518" s="13" t="str">
        <f>X20</f>
        <v>g</v>
      </c>
      <c r="P1518" s="13">
        <v>2</v>
      </c>
      <c r="Q1518" s="13">
        <f t="shared" ref="Q1518:Q1526" si="385">N1518*P1518</f>
        <v>1.28</v>
      </c>
      <c r="R1518" s="13">
        <v>0</v>
      </c>
      <c r="S1518" s="13">
        <f t="shared" ref="S1518:S1519" si="386">P1518*R1518</f>
        <v>0</v>
      </c>
      <c r="T1518" s="13">
        <f t="shared" ref="T1518:T1526" si="387">P1518-S1518</f>
        <v>2</v>
      </c>
      <c r="U1518" s="13">
        <f t="shared" ref="U1518:U1526" si="388">Q1518+((S1518*Q1518)/P1518)</f>
        <v>1.28</v>
      </c>
      <c r="W1518" s="13" t="s">
        <v>546</v>
      </c>
      <c r="X1518" s="13">
        <f>AE3</f>
        <v>49.18</v>
      </c>
      <c r="Y1518" s="13" t="str">
        <f>AD3</f>
        <v>mL</v>
      </c>
      <c r="Z1518" s="13">
        <v>20</v>
      </c>
      <c r="AA1518" s="13">
        <f>X1518*Z1518</f>
        <v>983.6</v>
      </c>
      <c r="AB1518" s="13">
        <v>0</v>
      </c>
      <c r="AC1518" s="13">
        <f>Z1518*AB1518</f>
        <v>0</v>
      </c>
      <c r="AD1518" s="13">
        <f>Z1518-AC1518</f>
        <v>20</v>
      </c>
      <c r="AE1518" s="13">
        <f>AA1518+((AC1518*AA1518)/Z1518)</f>
        <v>983.6</v>
      </c>
    </row>
    <row r="1519" spans="3:31" s="29" customFormat="1" x14ac:dyDescent="0.25">
      <c r="C1519" s="895" t="s">
        <v>0</v>
      </c>
      <c r="D1519" s="895"/>
      <c r="E1519" s="895"/>
      <c r="F1519" s="895" t="s">
        <v>1</v>
      </c>
      <c r="G1519" s="895"/>
      <c r="H1519" s="895"/>
      <c r="I1519" s="895"/>
      <c r="J1519" s="895"/>
      <c r="M1519" s="13" t="s">
        <v>346</v>
      </c>
      <c r="N1519" s="13">
        <f>P3</f>
        <v>7</v>
      </c>
      <c r="O1519" s="13" t="str">
        <f>O3</f>
        <v>g</v>
      </c>
      <c r="P1519" s="13">
        <v>6</v>
      </c>
      <c r="Q1519" s="13">
        <f t="shared" si="385"/>
        <v>42</v>
      </c>
      <c r="R1519" s="13">
        <f>AJ2</f>
        <v>0.23</v>
      </c>
      <c r="S1519" s="13">
        <f t="shared" si="386"/>
        <v>1.3800000000000001</v>
      </c>
      <c r="T1519" s="13">
        <f t="shared" si="387"/>
        <v>4.62</v>
      </c>
      <c r="U1519" s="13">
        <f t="shared" si="388"/>
        <v>51.660000000000004</v>
      </c>
      <c r="W1519" s="13" t="s">
        <v>346</v>
      </c>
      <c r="X1519" s="13">
        <f>P3</f>
        <v>7</v>
      </c>
      <c r="Y1519" s="13" t="str">
        <f>O3</f>
        <v>g</v>
      </c>
      <c r="Z1519" s="13">
        <v>4</v>
      </c>
      <c r="AA1519" s="13">
        <f t="shared" ref="AA1519:AA1524" si="389">X1519*Z1519</f>
        <v>28</v>
      </c>
      <c r="AB1519" s="13">
        <f>AJ2</f>
        <v>0.23</v>
      </c>
      <c r="AC1519" s="13">
        <f t="shared" ref="AC1519:AC1520" si="390">Z1519*AB1519</f>
        <v>0.92</v>
      </c>
      <c r="AD1519" s="13">
        <f t="shared" ref="AD1519:AD1524" si="391">Z1519-AC1519</f>
        <v>3.08</v>
      </c>
      <c r="AE1519" s="13">
        <f t="shared" ref="AE1519:AE1524" si="392">AA1519+((AC1519*AA1519)/Z1519)</f>
        <v>34.44</v>
      </c>
    </row>
    <row r="1520" spans="3:31" s="29" customFormat="1" x14ac:dyDescent="0.25">
      <c r="C1520" s="896" t="s">
        <v>3</v>
      </c>
      <c r="D1520" s="896"/>
      <c r="E1520" s="896"/>
      <c r="F1520" s="897" t="s">
        <v>327</v>
      </c>
      <c r="G1520" s="898"/>
      <c r="H1520" s="898"/>
      <c r="I1520" s="898"/>
      <c r="J1520" s="898"/>
      <c r="M1520" s="13" t="s">
        <v>433</v>
      </c>
      <c r="N1520" s="13">
        <f>Y17</f>
        <v>407.96</v>
      </c>
      <c r="O1520" s="13" t="str">
        <f>X17</f>
        <v>g</v>
      </c>
      <c r="P1520" s="13">
        <v>10</v>
      </c>
      <c r="Q1520" s="13">
        <f t="shared" si="385"/>
        <v>4079.6</v>
      </c>
      <c r="R1520" s="13">
        <v>0</v>
      </c>
      <c r="S1520" s="13">
        <f>P1520*R1520</f>
        <v>0</v>
      </c>
      <c r="T1520" s="13">
        <f t="shared" si="387"/>
        <v>10</v>
      </c>
      <c r="U1520" s="13">
        <f t="shared" si="388"/>
        <v>4079.6</v>
      </c>
      <c r="W1520" s="13" t="s">
        <v>430</v>
      </c>
      <c r="X1520" s="13">
        <f>P10</f>
        <v>0.7</v>
      </c>
      <c r="Y1520" s="13" t="str">
        <f>O10</f>
        <v>g</v>
      </c>
      <c r="Z1520" s="13">
        <v>40</v>
      </c>
      <c r="AA1520" s="13">
        <f t="shared" si="389"/>
        <v>28</v>
      </c>
      <c r="AB1520" s="13">
        <f>AJ7</f>
        <v>0.15</v>
      </c>
      <c r="AC1520" s="13">
        <f t="shared" si="390"/>
        <v>6</v>
      </c>
      <c r="AD1520" s="13">
        <f t="shared" si="391"/>
        <v>34</v>
      </c>
      <c r="AE1520" s="13">
        <f t="shared" si="392"/>
        <v>32.200000000000003</v>
      </c>
    </row>
    <row r="1521" spans="3:31" s="29" customFormat="1" x14ac:dyDescent="0.25">
      <c r="C1521" s="896"/>
      <c r="D1521" s="896"/>
      <c r="E1521" s="896"/>
      <c r="F1521" s="898"/>
      <c r="G1521" s="898"/>
      <c r="H1521" s="898"/>
      <c r="I1521" s="898"/>
      <c r="J1521" s="898"/>
      <c r="M1521" s="13" t="s">
        <v>527</v>
      </c>
      <c r="N1521" s="13">
        <f>AE1525</f>
        <v>5787.2000000000007</v>
      </c>
      <c r="O1521" s="13" t="s">
        <v>1388</v>
      </c>
      <c r="P1521" s="13">
        <v>120</v>
      </c>
      <c r="Q1521" s="13">
        <f>N1521</f>
        <v>5787.2000000000007</v>
      </c>
      <c r="R1521" s="13">
        <v>0</v>
      </c>
      <c r="S1521" s="13">
        <f t="shared" ref="S1521:S1526" si="393">P1521*R1521</f>
        <v>0</v>
      </c>
      <c r="T1521" s="13">
        <f t="shared" si="387"/>
        <v>120</v>
      </c>
      <c r="U1521" s="13">
        <f t="shared" si="388"/>
        <v>5787.2000000000007</v>
      </c>
      <c r="W1521" s="13" t="s">
        <v>429</v>
      </c>
      <c r="X1521" s="13">
        <f>P29</f>
        <v>1.8</v>
      </c>
      <c r="Y1521" s="13" t="str">
        <f>O29</f>
        <v>g</v>
      </c>
      <c r="Z1521" s="13">
        <v>60</v>
      </c>
      <c r="AA1521" s="13">
        <f t="shared" si="389"/>
        <v>108</v>
      </c>
      <c r="AB1521" s="13">
        <f>AJ18</f>
        <v>0.05</v>
      </c>
      <c r="AC1521" s="13">
        <f>Z1521*AB1521</f>
        <v>3</v>
      </c>
      <c r="AD1521" s="13">
        <f t="shared" si="391"/>
        <v>57</v>
      </c>
      <c r="AE1521" s="13">
        <f t="shared" si="392"/>
        <v>113.4</v>
      </c>
    </row>
    <row r="1522" spans="3:31" s="29" customFormat="1" x14ac:dyDescent="0.25">
      <c r="C1522" s="896"/>
      <c r="D1522" s="896"/>
      <c r="E1522" s="896"/>
      <c r="F1522" s="898"/>
      <c r="G1522" s="898"/>
      <c r="H1522" s="898"/>
      <c r="I1522" s="898"/>
      <c r="J1522" s="898"/>
      <c r="M1522" s="13" t="s">
        <v>436</v>
      </c>
      <c r="N1522" s="13">
        <f>P31</f>
        <v>2.6</v>
      </c>
      <c r="O1522" s="13" t="str">
        <f>O31</f>
        <v>g</v>
      </c>
      <c r="P1522" s="13">
        <v>30</v>
      </c>
      <c r="Q1522" s="13">
        <f t="shared" si="385"/>
        <v>78</v>
      </c>
      <c r="R1522" s="13">
        <f>AJ19</f>
        <v>0.37</v>
      </c>
      <c r="S1522" s="13">
        <f t="shared" si="393"/>
        <v>11.1</v>
      </c>
      <c r="T1522" s="13">
        <f t="shared" si="387"/>
        <v>18.899999999999999</v>
      </c>
      <c r="U1522" s="13">
        <f t="shared" si="388"/>
        <v>106.86</v>
      </c>
      <c r="W1522" s="13" t="s">
        <v>470</v>
      </c>
      <c r="X1522" s="13">
        <f>Y15</f>
        <v>159</v>
      </c>
      <c r="Y1522" s="13" t="str">
        <f>X15</f>
        <v>g</v>
      </c>
      <c r="Z1522" s="13">
        <v>15</v>
      </c>
      <c r="AA1522" s="13">
        <f t="shared" si="389"/>
        <v>2385</v>
      </c>
      <c r="AB1522" s="13">
        <v>0</v>
      </c>
      <c r="AC1522" s="13">
        <f t="shared" ref="AC1522:AC1524" si="394">Z1522*AB1522</f>
        <v>0</v>
      </c>
      <c r="AD1522" s="13">
        <f t="shared" si="391"/>
        <v>15</v>
      </c>
      <c r="AE1522" s="13">
        <f t="shared" si="392"/>
        <v>2385</v>
      </c>
    </row>
    <row r="1523" spans="3:31" s="29" customFormat="1" x14ac:dyDescent="0.25">
      <c r="C1523" s="896" t="s">
        <v>4</v>
      </c>
      <c r="D1523" s="896"/>
      <c r="E1523" s="896"/>
      <c r="F1523" s="898" t="s">
        <v>15</v>
      </c>
      <c r="G1523" s="898"/>
      <c r="H1523" s="898"/>
      <c r="I1523" s="898"/>
      <c r="J1523" s="898"/>
      <c r="M1523" s="13" t="s">
        <v>528</v>
      </c>
      <c r="N1523" s="13">
        <f>P24</f>
        <v>3.5</v>
      </c>
      <c r="O1523" s="13" t="str">
        <f>O24</f>
        <v>g</v>
      </c>
      <c r="P1523" s="13">
        <v>20</v>
      </c>
      <c r="Q1523" s="13">
        <f t="shared" si="385"/>
        <v>70</v>
      </c>
      <c r="R1523" s="13">
        <f>AJ15</f>
        <v>0.26</v>
      </c>
      <c r="S1523" s="13">
        <f t="shared" si="393"/>
        <v>5.2</v>
      </c>
      <c r="T1523" s="13">
        <f t="shared" si="387"/>
        <v>14.8</v>
      </c>
      <c r="U1523" s="13">
        <f t="shared" si="388"/>
        <v>88.2</v>
      </c>
      <c r="W1523" s="13" t="s">
        <v>433</v>
      </c>
      <c r="X1523" s="13">
        <f>Y18</f>
        <v>223.57</v>
      </c>
      <c r="Y1523" s="13" t="str">
        <f>X18</f>
        <v>g</v>
      </c>
      <c r="Z1523" s="13">
        <v>8</v>
      </c>
      <c r="AA1523" s="13">
        <f t="shared" si="389"/>
        <v>1788.56</v>
      </c>
      <c r="AB1523" s="13">
        <v>0</v>
      </c>
      <c r="AC1523" s="13">
        <f t="shared" si="394"/>
        <v>0</v>
      </c>
      <c r="AD1523" s="13">
        <f t="shared" si="391"/>
        <v>8</v>
      </c>
      <c r="AE1523" s="13">
        <f t="shared" si="392"/>
        <v>1788.56</v>
      </c>
    </row>
    <row r="1524" spans="3:31" s="29" customFormat="1" x14ac:dyDescent="0.25">
      <c r="C1524" s="896"/>
      <c r="D1524" s="896"/>
      <c r="E1524" s="896"/>
      <c r="F1524" s="898"/>
      <c r="G1524" s="898"/>
      <c r="H1524" s="898"/>
      <c r="I1524" s="898"/>
      <c r="J1524" s="898"/>
      <c r="M1524" s="13" t="s">
        <v>529</v>
      </c>
      <c r="N1524" s="13">
        <f>P32</f>
        <v>17.72</v>
      </c>
      <c r="O1524" s="13" t="str">
        <f>O32</f>
        <v>g</v>
      </c>
      <c r="P1524" s="13">
        <v>30</v>
      </c>
      <c r="Q1524" s="13">
        <f t="shared" si="385"/>
        <v>531.59999999999991</v>
      </c>
      <c r="R1524" s="13">
        <f>AJ20</f>
        <v>0.31</v>
      </c>
      <c r="S1524" s="13">
        <f t="shared" si="393"/>
        <v>9.3000000000000007</v>
      </c>
      <c r="T1524" s="13">
        <f t="shared" si="387"/>
        <v>20.7</v>
      </c>
      <c r="U1524" s="13">
        <f t="shared" si="388"/>
        <v>696.39599999999984</v>
      </c>
      <c r="W1524" s="13" t="s">
        <v>442</v>
      </c>
      <c r="X1524" s="13">
        <f>Y3</f>
        <v>30</v>
      </c>
      <c r="Y1524" s="13" t="str">
        <f>X3</f>
        <v>g</v>
      </c>
      <c r="Z1524" s="13">
        <v>15</v>
      </c>
      <c r="AA1524" s="13">
        <f t="shared" si="389"/>
        <v>450</v>
      </c>
      <c r="AB1524" s="13">
        <v>0</v>
      </c>
      <c r="AC1524" s="13">
        <f t="shared" si="394"/>
        <v>0</v>
      </c>
      <c r="AD1524" s="13">
        <f t="shared" si="391"/>
        <v>15</v>
      </c>
      <c r="AE1524" s="13">
        <f t="shared" si="392"/>
        <v>450</v>
      </c>
    </row>
    <row r="1525" spans="3:31" s="29" customFormat="1" x14ac:dyDescent="0.25">
      <c r="C1525" s="896"/>
      <c r="D1525" s="896"/>
      <c r="E1525" s="896"/>
      <c r="F1525" s="898"/>
      <c r="G1525" s="898"/>
      <c r="H1525" s="898"/>
      <c r="I1525" s="898"/>
      <c r="J1525" s="898"/>
      <c r="M1525" s="13" t="s">
        <v>461</v>
      </c>
      <c r="N1525" s="13">
        <f>P8</f>
        <v>3.3330000000000002</v>
      </c>
      <c r="O1525" s="13" t="str">
        <f>O8</f>
        <v>g</v>
      </c>
      <c r="P1525" s="13">
        <v>50</v>
      </c>
      <c r="Q1525" s="13">
        <f t="shared" si="385"/>
        <v>166.65</v>
      </c>
      <c r="R1525" s="13">
        <f>AJ6</f>
        <v>0.5</v>
      </c>
      <c r="S1525" s="13">
        <f t="shared" si="393"/>
        <v>25</v>
      </c>
      <c r="T1525" s="13">
        <f t="shared" si="387"/>
        <v>25</v>
      </c>
      <c r="U1525" s="13">
        <f t="shared" si="388"/>
        <v>249.97500000000002</v>
      </c>
      <c r="W1525" s="13" t="s">
        <v>337</v>
      </c>
      <c r="X1525" s="13">
        <f>SUM(X1518:X1524)</f>
        <v>471.25</v>
      </c>
      <c r="Y1525" s="13"/>
      <c r="Z1525" s="13">
        <f>SUM(Z1518:Z1524)</f>
        <v>162</v>
      </c>
      <c r="AA1525" s="13">
        <f>SUM(AA1518:AA1524)</f>
        <v>5771.16</v>
      </c>
      <c r="AB1525" s="13"/>
      <c r="AC1525" s="13"/>
      <c r="AD1525" s="13"/>
      <c r="AE1525" s="13">
        <f>SUM(AE1518:AE1524)</f>
        <v>5787.2000000000007</v>
      </c>
    </row>
    <row r="1526" spans="3:31" s="29" customFormat="1" x14ac:dyDescent="0.25">
      <c r="C1526" s="896" t="s">
        <v>5</v>
      </c>
      <c r="D1526" s="896"/>
      <c r="E1526" s="896"/>
      <c r="F1526" s="897" t="s">
        <v>624</v>
      </c>
      <c r="G1526" s="898"/>
      <c r="H1526" s="898"/>
      <c r="I1526" s="898"/>
      <c r="J1526" s="898"/>
      <c r="M1526" s="13" t="s">
        <v>356</v>
      </c>
      <c r="N1526" s="13">
        <f>Y14</f>
        <v>131.80000000000001</v>
      </c>
      <c r="O1526" s="13" t="str">
        <f>X14</f>
        <v>g</v>
      </c>
      <c r="P1526" s="13">
        <v>2</v>
      </c>
      <c r="Q1526" s="13">
        <f t="shared" si="385"/>
        <v>263.60000000000002</v>
      </c>
      <c r="R1526" s="13">
        <v>0</v>
      </c>
      <c r="S1526" s="13">
        <f t="shared" si="393"/>
        <v>0</v>
      </c>
      <c r="T1526" s="13">
        <f t="shared" si="387"/>
        <v>2</v>
      </c>
      <c r="U1526" s="13">
        <f t="shared" si="388"/>
        <v>263.60000000000002</v>
      </c>
    </row>
    <row r="1527" spans="3:31" s="29" customFormat="1" x14ac:dyDescent="0.25">
      <c r="C1527" s="896"/>
      <c r="D1527" s="896"/>
      <c r="E1527" s="896"/>
      <c r="F1527" s="898"/>
      <c r="G1527" s="898"/>
      <c r="H1527" s="898"/>
      <c r="I1527" s="898"/>
      <c r="J1527" s="898"/>
      <c r="M1527" s="13"/>
      <c r="N1527" s="13"/>
      <c r="O1527" s="13"/>
      <c r="P1527" s="13"/>
      <c r="Q1527" s="13"/>
      <c r="R1527" s="13"/>
      <c r="S1527" s="13"/>
      <c r="T1527" s="13"/>
      <c r="U1527" s="13"/>
      <c r="AA1527" s="13" t="s">
        <v>1681</v>
      </c>
      <c r="AB1527" s="13">
        <f>AE1525</f>
        <v>5787.2000000000007</v>
      </c>
      <c r="AC1527" s="608" t="s">
        <v>2142</v>
      </c>
      <c r="AD1527" s="608">
        <f>(AB1527*100)/AB1534</f>
        <v>42.770602448040002</v>
      </c>
    </row>
    <row r="1528" spans="3:31" s="29" customFormat="1" x14ac:dyDescent="0.25">
      <c r="C1528" s="896"/>
      <c r="D1528" s="896"/>
      <c r="E1528" s="896"/>
      <c r="F1528" s="898"/>
      <c r="G1528" s="898"/>
      <c r="H1528" s="898"/>
      <c r="I1528" s="898"/>
      <c r="J1528" s="898"/>
      <c r="M1528" s="13" t="s">
        <v>337</v>
      </c>
      <c r="N1528" s="13">
        <f>SUM(N1517:N1527)</f>
        <v>8435.6253984875511</v>
      </c>
      <c r="O1528" s="13"/>
      <c r="P1528" s="13">
        <f>SUM(P1517:P1527)</f>
        <v>370</v>
      </c>
      <c r="Q1528" s="13">
        <f>SUM(Q1517:Q1527)</f>
        <v>13093.802398487553</v>
      </c>
      <c r="R1528" s="13"/>
      <c r="S1528" s="13"/>
      <c r="T1528" s="13"/>
      <c r="U1528" s="13">
        <f>SUM(U1517:U1527)</f>
        <v>13398.643398487555</v>
      </c>
      <c r="AA1528" s="13" t="s">
        <v>2326</v>
      </c>
      <c r="AB1528" s="13">
        <f>$AO$26/2</f>
        <v>476.87414947063905</v>
      </c>
    </row>
    <row r="1529" spans="3:31" s="29" customFormat="1" x14ac:dyDescent="0.25">
      <c r="C1529" s="896" t="s">
        <v>6</v>
      </c>
      <c r="D1529" s="896"/>
      <c r="E1529" s="896"/>
      <c r="F1529" s="898" t="s">
        <v>9</v>
      </c>
      <c r="G1529" s="898"/>
      <c r="H1529" s="898"/>
      <c r="I1529" s="898"/>
      <c r="J1529" s="898"/>
      <c r="AA1529" s="13" t="s">
        <v>2325</v>
      </c>
      <c r="AB1529" s="13">
        <f>$AO$27/4</f>
        <v>18.899999999999999</v>
      </c>
    </row>
    <row r="1530" spans="3:31" s="29" customFormat="1" x14ac:dyDescent="0.25">
      <c r="C1530" s="896"/>
      <c r="D1530" s="896"/>
      <c r="E1530" s="896"/>
      <c r="F1530" s="898"/>
      <c r="G1530" s="898"/>
      <c r="H1530" s="898"/>
      <c r="I1530" s="898"/>
      <c r="J1530" s="898"/>
      <c r="Q1530" s="13" t="s">
        <v>1681</v>
      </c>
      <c r="R1530" s="13">
        <f>U1528</f>
        <v>13398.643398487555</v>
      </c>
      <c r="S1530" s="608" t="s">
        <v>2142</v>
      </c>
      <c r="T1530" s="608">
        <f>(R1530*100)/R1537</f>
        <v>50.528450320518012</v>
      </c>
      <c r="AA1530" s="13" t="s">
        <v>1684</v>
      </c>
      <c r="AB1530" s="13">
        <f>$AO$29</f>
        <v>1547.3435977313275</v>
      </c>
    </row>
    <row r="1531" spans="3:31" s="29" customFormat="1" x14ac:dyDescent="0.25">
      <c r="C1531" s="896"/>
      <c r="D1531" s="896"/>
      <c r="E1531" s="896"/>
      <c r="F1531" s="898"/>
      <c r="G1531" s="898"/>
      <c r="H1531" s="898"/>
      <c r="I1531" s="898"/>
      <c r="J1531" s="898"/>
      <c r="Q1531" s="13" t="s">
        <v>2326</v>
      </c>
      <c r="R1531" s="13">
        <f>$AL$26</f>
        <v>1801.715474357886</v>
      </c>
      <c r="AA1531" s="13" t="s">
        <v>1685</v>
      </c>
      <c r="AB1531" s="13">
        <v>0.6</v>
      </c>
    </row>
    <row r="1532" spans="3:31" s="29" customFormat="1" x14ac:dyDescent="0.25">
      <c r="C1532" s="896" t="s">
        <v>7</v>
      </c>
      <c r="D1532" s="896"/>
      <c r="E1532" s="896"/>
      <c r="F1532" s="897" t="s">
        <v>331</v>
      </c>
      <c r="G1532" s="898"/>
      <c r="H1532" s="898"/>
      <c r="I1532" s="898"/>
      <c r="J1532" s="898"/>
      <c r="Q1532" s="13" t="s">
        <v>2325</v>
      </c>
      <c r="R1532" s="13">
        <f>$AL$27</f>
        <v>75.599999999999994</v>
      </c>
      <c r="AA1532" s="13" t="s">
        <v>1708</v>
      </c>
      <c r="AB1532" s="13">
        <f>(SUM(AB1527:AB1530)*AB1531)+SUM(AB1527:AB1530)</f>
        <v>12528.508395523146</v>
      </c>
    </row>
    <row r="1533" spans="3:31" s="29" customFormat="1" x14ac:dyDescent="0.25">
      <c r="C1533" s="896"/>
      <c r="D1533" s="896"/>
      <c r="E1533" s="896"/>
      <c r="F1533" s="898"/>
      <c r="G1533" s="898"/>
      <c r="H1533" s="898"/>
      <c r="I1533" s="898"/>
      <c r="J1533" s="898"/>
      <c r="Q1533" s="13" t="s">
        <v>1684</v>
      </c>
      <c r="R1533" s="13">
        <f>$AL$29</f>
        <v>69.543532482306858</v>
      </c>
      <c r="AA1533" s="13" t="s">
        <v>2130</v>
      </c>
      <c r="AB1533" s="13">
        <f>AB1532*0.08</f>
        <v>1002.2806716418517</v>
      </c>
    </row>
    <row r="1534" spans="3:31" s="29" customFormat="1" x14ac:dyDescent="0.25">
      <c r="C1534" s="896"/>
      <c r="D1534" s="896"/>
      <c r="E1534" s="896"/>
      <c r="F1534" s="898"/>
      <c r="G1534" s="898"/>
      <c r="H1534" s="898"/>
      <c r="I1534" s="898"/>
      <c r="J1534" s="898"/>
      <c r="Q1534" s="13" t="s">
        <v>1685</v>
      </c>
      <c r="R1534" s="13">
        <v>0.6</v>
      </c>
      <c r="AA1534" s="13" t="s">
        <v>1686</v>
      </c>
      <c r="AB1534" s="13">
        <f>SUM(AB1532+AB1533)</f>
        <v>13530.789067164997</v>
      </c>
    </row>
    <row r="1535" spans="3:31" s="29" customFormat="1" x14ac:dyDescent="0.25">
      <c r="Q1535" s="13" t="s">
        <v>1708</v>
      </c>
      <c r="R1535" s="13">
        <f>(SUM(R1530:R1533)*R1534)+SUM(R1530:R1533)</f>
        <v>24552.803848524396</v>
      </c>
    </row>
    <row r="1536" spans="3:31" s="29" customFormat="1" x14ac:dyDescent="0.25">
      <c r="Q1536" s="13" t="s">
        <v>2130</v>
      </c>
      <c r="R1536" s="13">
        <f>R1535*0.08</f>
        <v>1964.2243078819517</v>
      </c>
    </row>
    <row r="1537" spans="3:24" s="29" customFormat="1" x14ac:dyDescent="0.25">
      <c r="Q1537" s="13" t="s">
        <v>1686</v>
      </c>
      <c r="R1537" s="13">
        <f>SUM(R1535+R1536)</f>
        <v>26517.028156406348</v>
      </c>
    </row>
    <row r="1538" spans="3:24" s="29" customFormat="1" x14ac:dyDescent="0.25"/>
    <row r="1539" spans="3:24" s="29" customFormat="1" x14ac:dyDescent="0.25">
      <c r="C1539" s="910" t="s">
        <v>8</v>
      </c>
      <c r="D1539" s="910"/>
      <c r="E1539" s="910"/>
      <c r="F1539" s="910"/>
      <c r="G1539" s="910"/>
      <c r="H1539" s="910"/>
      <c r="I1539" s="910"/>
      <c r="J1539" s="910"/>
    </row>
    <row r="1540" spans="3:24" s="29" customFormat="1" x14ac:dyDescent="0.25">
      <c r="C1540" s="895" t="s">
        <v>0</v>
      </c>
      <c r="D1540" s="895"/>
      <c r="E1540" s="895"/>
      <c r="F1540" s="895" t="s">
        <v>1</v>
      </c>
      <c r="G1540" s="895"/>
      <c r="H1540" s="895"/>
      <c r="I1540" s="895"/>
      <c r="J1540" s="895"/>
      <c r="T1540" s="30"/>
      <c r="U1540" s="30"/>
      <c r="V1540" s="30"/>
      <c r="W1540" s="30"/>
      <c r="X1540" s="30"/>
    </row>
    <row r="1541" spans="3:24" s="29" customFormat="1" x14ac:dyDescent="0.25">
      <c r="C1541" s="896" t="s">
        <v>2</v>
      </c>
      <c r="D1541" s="896"/>
      <c r="E1541" s="896"/>
      <c r="F1541" s="898" t="s">
        <v>943</v>
      </c>
      <c r="G1541" s="898"/>
      <c r="H1541" s="898"/>
      <c r="I1541" s="898"/>
      <c r="J1541" s="898"/>
      <c r="M1541" s="12" t="s">
        <v>336</v>
      </c>
      <c r="N1541" s="12" t="s">
        <v>174</v>
      </c>
      <c r="O1541" s="12" t="s">
        <v>248</v>
      </c>
      <c r="P1541" s="12" t="s">
        <v>176</v>
      </c>
      <c r="Q1541" s="12" t="s">
        <v>337</v>
      </c>
      <c r="R1541" s="298" t="s">
        <v>1641</v>
      </c>
      <c r="S1541" s="298" t="s">
        <v>1642</v>
      </c>
      <c r="T1541" s="298" t="s">
        <v>1643</v>
      </c>
      <c r="U1541" s="298" t="s">
        <v>1644</v>
      </c>
      <c r="V1541" s="103"/>
      <c r="W1541" s="103"/>
      <c r="X1541" s="103"/>
    </row>
    <row r="1542" spans="3:24" s="29" customFormat="1" x14ac:dyDescent="0.25">
      <c r="C1542" s="896"/>
      <c r="D1542" s="896"/>
      <c r="E1542" s="896"/>
      <c r="F1542" s="898"/>
      <c r="G1542" s="898"/>
      <c r="H1542" s="898"/>
      <c r="I1542" s="898"/>
      <c r="J1542" s="898"/>
      <c r="M1542" s="13" t="s">
        <v>344</v>
      </c>
      <c r="N1542" s="13">
        <f>F23</f>
        <v>2073.8723984875514</v>
      </c>
      <c r="O1542" s="13" t="str">
        <f>D23</f>
        <v>g</v>
      </c>
      <c r="P1542" s="13">
        <v>100</v>
      </c>
      <c r="Q1542" s="13">
        <f>N1542</f>
        <v>2073.8723984875514</v>
      </c>
      <c r="R1542" s="13">
        <v>0</v>
      </c>
      <c r="S1542" s="13">
        <f>P1542*R1542</f>
        <v>0</v>
      </c>
      <c r="T1542" s="13">
        <f>P1542-S1542</f>
        <v>100</v>
      </c>
      <c r="U1542" s="13">
        <f>Q1542+((S1542*Q1542)/P1542)</f>
        <v>2073.8723984875514</v>
      </c>
      <c r="V1542" s="104"/>
      <c r="W1542" s="104"/>
      <c r="X1542" s="104"/>
    </row>
    <row r="1543" spans="3:24" s="29" customFormat="1" x14ac:dyDescent="0.25">
      <c r="C1543" s="896"/>
      <c r="D1543" s="896"/>
      <c r="E1543" s="896"/>
      <c r="F1543" s="898"/>
      <c r="G1543" s="898"/>
      <c r="H1543" s="898"/>
      <c r="I1543" s="898"/>
      <c r="J1543" s="898"/>
      <c r="M1543" s="13" t="s">
        <v>340</v>
      </c>
      <c r="N1543" s="13">
        <f>Y20</f>
        <v>0.64</v>
      </c>
      <c r="O1543" s="13" t="str">
        <f>X20</f>
        <v>g</v>
      </c>
      <c r="P1543" s="13">
        <v>2</v>
      </c>
      <c r="Q1543" s="13">
        <f t="shared" ref="Q1543:Q1549" si="395">N1543*P1543</f>
        <v>1.28</v>
      </c>
      <c r="R1543" s="13">
        <v>0</v>
      </c>
      <c r="S1543" s="13">
        <f t="shared" ref="S1543:S1544" si="396">P1543*R1543</f>
        <v>0</v>
      </c>
      <c r="T1543" s="13">
        <f t="shared" ref="T1543:T1549" si="397">P1543-S1543</f>
        <v>2</v>
      </c>
      <c r="U1543" s="13">
        <f t="shared" ref="U1543:U1549" si="398">Q1543+((S1543*Q1543)/P1543)</f>
        <v>1.28</v>
      </c>
      <c r="V1543" s="30"/>
      <c r="W1543" s="30"/>
      <c r="X1543" s="30"/>
    </row>
    <row r="1544" spans="3:24" s="29" customFormat="1" x14ac:dyDescent="0.25">
      <c r="C1544" s="895" t="s">
        <v>0</v>
      </c>
      <c r="D1544" s="895"/>
      <c r="E1544" s="895"/>
      <c r="F1544" s="895" t="s">
        <v>1</v>
      </c>
      <c r="G1544" s="895"/>
      <c r="H1544" s="895"/>
      <c r="I1544" s="895"/>
      <c r="J1544" s="895"/>
      <c r="M1544" s="13" t="s">
        <v>346</v>
      </c>
      <c r="N1544" s="13">
        <f>P3</f>
        <v>7</v>
      </c>
      <c r="O1544" s="13" t="str">
        <f>O3</f>
        <v>g</v>
      </c>
      <c r="P1544" s="13">
        <v>8</v>
      </c>
      <c r="Q1544" s="13">
        <f t="shared" si="395"/>
        <v>56</v>
      </c>
      <c r="R1544" s="13">
        <f>AJ2</f>
        <v>0.23</v>
      </c>
      <c r="S1544" s="13">
        <f t="shared" si="396"/>
        <v>1.84</v>
      </c>
      <c r="T1544" s="13">
        <f t="shared" si="397"/>
        <v>6.16</v>
      </c>
      <c r="U1544" s="13">
        <f t="shared" si="398"/>
        <v>68.88</v>
      </c>
      <c r="V1544" s="30"/>
      <c r="W1544" s="30"/>
      <c r="X1544" s="30"/>
    </row>
    <row r="1545" spans="3:24" s="29" customFormat="1" x14ac:dyDescent="0.25">
      <c r="C1545" s="896" t="s">
        <v>3</v>
      </c>
      <c r="D1545" s="896"/>
      <c r="E1545" s="896"/>
      <c r="F1545" s="897" t="s">
        <v>626</v>
      </c>
      <c r="G1545" s="898"/>
      <c r="H1545" s="898"/>
      <c r="I1545" s="898"/>
      <c r="J1545" s="898"/>
      <c r="M1545" s="13" t="s">
        <v>429</v>
      </c>
      <c r="N1545" s="13">
        <f>P29</f>
        <v>1.8</v>
      </c>
      <c r="O1545" s="13" t="str">
        <f>O29</f>
        <v>g</v>
      </c>
      <c r="P1545" s="13">
        <v>70</v>
      </c>
      <c r="Q1545" s="13">
        <f t="shared" si="395"/>
        <v>126</v>
      </c>
      <c r="R1545" s="13">
        <f>AJ18</f>
        <v>0.05</v>
      </c>
      <c r="S1545" s="13">
        <f>P1545*R1545</f>
        <v>3.5</v>
      </c>
      <c r="T1545" s="13">
        <f t="shared" si="397"/>
        <v>66.5</v>
      </c>
      <c r="U1545" s="13">
        <f t="shared" si="398"/>
        <v>132.30000000000001</v>
      </c>
      <c r="V1545" s="30"/>
      <c r="W1545" s="30"/>
      <c r="X1545" s="30"/>
    </row>
    <row r="1546" spans="3:24" s="29" customFormat="1" x14ac:dyDescent="0.25">
      <c r="C1546" s="896"/>
      <c r="D1546" s="896"/>
      <c r="E1546" s="896"/>
      <c r="F1546" s="898"/>
      <c r="G1546" s="898"/>
      <c r="H1546" s="898"/>
      <c r="I1546" s="898"/>
      <c r="J1546" s="898"/>
      <c r="M1546" s="13" t="s">
        <v>430</v>
      </c>
      <c r="N1546" s="13">
        <f>P10</f>
        <v>0.7</v>
      </c>
      <c r="O1546" s="13" t="str">
        <f>O10</f>
        <v>g</v>
      </c>
      <c r="P1546" s="13">
        <v>35</v>
      </c>
      <c r="Q1546" s="13">
        <f t="shared" si="395"/>
        <v>24.5</v>
      </c>
      <c r="R1546" s="13">
        <f>AJ7</f>
        <v>0.15</v>
      </c>
      <c r="S1546" s="13">
        <f t="shared" ref="S1546:S1549" si="399">P1546*R1546</f>
        <v>5.25</v>
      </c>
      <c r="T1546" s="13">
        <f t="shared" si="397"/>
        <v>29.75</v>
      </c>
      <c r="U1546" s="13">
        <f t="shared" si="398"/>
        <v>28.175000000000001</v>
      </c>
      <c r="V1546" s="30"/>
      <c r="W1546" s="30"/>
      <c r="X1546" s="30"/>
    </row>
    <row r="1547" spans="3:24" s="29" customFormat="1" x14ac:dyDescent="0.25">
      <c r="C1547" s="896"/>
      <c r="D1547" s="896"/>
      <c r="E1547" s="896"/>
      <c r="F1547" s="898"/>
      <c r="G1547" s="898"/>
      <c r="H1547" s="898"/>
      <c r="I1547" s="898"/>
      <c r="J1547" s="898"/>
      <c r="M1547" s="13" t="s">
        <v>431</v>
      </c>
      <c r="N1547" s="13">
        <f>P19</f>
        <v>10.28</v>
      </c>
      <c r="O1547" s="13" t="str">
        <f>O19</f>
        <v>g</v>
      </c>
      <c r="P1547" s="13">
        <v>1</v>
      </c>
      <c r="Q1547" s="13">
        <f t="shared" si="395"/>
        <v>10.28</v>
      </c>
      <c r="R1547" s="13">
        <f>AJ15</f>
        <v>0.26</v>
      </c>
      <c r="S1547" s="13">
        <f t="shared" si="399"/>
        <v>0.26</v>
      </c>
      <c r="T1547" s="13">
        <f t="shared" si="397"/>
        <v>0.74</v>
      </c>
      <c r="U1547" s="13">
        <f t="shared" si="398"/>
        <v>12.9528</v>
      </c>
      <c r="V1547" s="30"/>
      <c r="W1547" s="30"/>
      <c r="X1547" s="30"/>
    </row>
    <row r="1548" spans="3:24" s="29" customFormat="1" x14ac:dyDescent="0.25">
      <c r="C1548" s="896" t="s">
        <v>4</v>
      </c>
      <c r="D1548" s="896"/>
      <c r="E1548" s="896"/>
      <c r="F1548" s="898" t="s">
        <v>15</v>
      </c>
      <c r="G1548" s="898"/>
      <c r="H1548" s="898"/>
      <c r="I1548" s="898"/>
      <c r="J1548" s="898"/>
      <c r="M1548" s="13" t="s">
        <v>454</v>
      </c>
      <c r="N1548" s="13">
        <f>P14</f>
        <v>18.86</v>
      </c>
      <c r="O1548" s="13" t="str">
        <f>O14</f>
        <v>g</v>
      </c>
      <c r="P1548" s="13">
        <v>90</v>
      </c>
      <c r="Q1548" s="13">
        <f t="shared" si="395"/>
        <v>1697.3999999999999</v>
      </c>
      <c r="R1548" s="13">
        <v>0</v>
      </c>
      <c r="S1548" s="13">
        <f t="shared" si="399"/>
        <v>0</v>
      </c>
      <c r="T1548" s="13">
        <f t="shared" si="397"/>
        <v>90</v>
      </c>
      <c r="U1548" s="13">
        <f t="shared" si="398"/>
        <v>1697.3999999999999</v>
      </c>
      <c r="V1548" s="30"/>
      <c r="W1548" s="30"/>
      <c r="X1548" s="30"/>
    </row>
    <row r="1549" spans="3:24" s="29" customFormat="1" x14ac:dyDescent="0.25">
      <c r="C1549" s="896"/>
      <c r="D1549" s="896"/>
      <c r="E1549" s="896"/>
      <c r="F1549" s="898"/>
      <c r="G1549" s="898"/>
      <c r="H1549" s="898"/>
      <c r="I1549" s="898"/>
      <c r="J1549" s="898"/>
      <c r="M1549" s="13" t="s">
        <v>546</v>
      </c>
      <c r="N1549" s="13">
        <f>AE3</f>
        <v>49.18</v>
      </c>
      <c r="O1549" s="13" t="str">
        <f>AD3</f>
        <v>mL</v>
      </c>
      <c r="P1549" s="13">
        <v>20</v>
      </c>
      <c r="Q1549" s="13">
        <f t="shared" si="395"/>
        <v>983.6</v>
      </c>
      <c r="R1549" s="13">
        <v>0</v>
      </c>
      <c r="S1549" s="13">
        <f t="shared" si="399"/>
        <v>0</v>
      </c>
      <c r="T1549" s="13">
        <f t="shared" si="397"/>
        <v>20</v>
      </c>
      <c r="U1549" s="13">
        <f t="shared" si="398"/>
        <v>983.6</v>
      </c>
      <c r="V1549" s="30"/>
      <c r="W1549" s="30"/>
      <c r="X1549" s="30"/>
    </row>
    <row r="1550" spans="3:24" s="29" customFormat="1" x14ac:dyDescent="0.25">
      <c r="C1550" s="896"/>
      <c r="D1550" s="896"/>
      <c r="E1550" s="896"/>
      <c r="F1550" s="898"/>
      <c r="G1550" s="898"/>
      <c r="H1550" s="898"/>
      <c r="I1550" s="898"/>
      <c r="J1550" s="898"/>
      <c r="M1550" s="13"/>
      <c r="N1550" s="13"/>
      <c r="O1550" s="13"/>
      <c r="P1550" s="13"/>
      <c r="Q1550" s="13"/>
      <c r="R1550" s="13"/>
      <c r="S1550" s="13"/>
      <c r="T1550" s="13"/>
      <c r="U1550" s="13"/>
      <c r="V1550" s="30"/>
      <c r="W1550" s="30"/>
      <c r="X1550" s="30"/>
    </row>
    <row r="1551" spans="3:24" s="29" customFormat="1" x14ac:dyDescent="0.25">
      <c r="C1551" s="896" t="s">
        <v>5</v>
      </c>
      <c r="D1551" s="896"/>
      <c r="E1551" s="896"/>
      <c r="F1551" s="897" t="s">
        <v>625</v>
      </c>
      <c r="G1551" s="898"/>
      <c r="H1551" s="898"/>
      <c r="I1551" s="898"/>
      <c r="J1551" s="898"/>
      <c r="M1551" s="13" t="s">
        <v>337</v>
      </c>
      <c r="N1551" s="13">
        <f>SUM(N1542:N1550)</f>
        <v>2162.3323984875515</v>
      </c>
      <c r="O1551" s="13"/>
      <c r="P1551" s="13">
        <f>SUM(P1542:P1550)</f>
        <v>326</v>
      </c>
      <c r="Q1551" s="13">
        <f>SUM(Q1542:Q1550)</f>
        <v>4972.9323984875518</v>
      </c>
      <c r="R1551" s="13"/>
      <c r="S1551" s="13"/>
      <c r="T1551" s="13"/>
      <c r="U1551" s="13">
        <f>SUM(U1542:U1550)</f>
        <v>4998.4601984875526</v>
      </c>
    </row>
    <row r="1552" spans="3:24" s="29" customFormat="1" x14ac:dyDescent="0.25">
      <c r="C1552" s="896"/>
      <c r="D1552" s="896"/>
      <c r="E1552" s="896"/>
      <c r="F1552" s="898"/>
      <c r="G1552" s="898"/>
      <c r="H1552" s="898"/>
      <c r="I1552" s="898"/>
      <c r="J1552" s="898"/>
    </row>
    <row r="1553" spans="3:25" s="29" customFormat="1" x14ac:dyDescent="0.25">
      <c r="C1553" s="896"/>
      <c r="D1553" s="896"/>
      <c r="E1553" s="896"/>
      <c r="F1553" s="898"/>
      <c r="G1553" s="898"/>
      <c r="H1553" s="898"/>
      <c r="I1553" s="898"/>
      <c r="J1553" s="898"/>
      <c r="Q1553" s="13" t="s">
        <v>1681</v>
      </c>
      <c r="R1553" s="13">
        <f>U1551</f>
        <v>4998.4601984875526</v>
      </c>
      <c r="S1553" s="608" t="s">
        <v>2142</v>
      </c>
      <c r="T1553" s="608">
        <f>(R1553*100)/R1560</f>
        <v>41.648588699297882</v>
      </c>
    </row>
    <row r="1554" spans="3:25" s="29" customFormat="1" x14ac:dyDescent="0.25">
      <c r="C1554" s="896" t="s">
        <v>6</v>
      </c>
      <c r="D1554" s="896"/>
      <c r="E1554" s="896"/>
      <c r="F1554" s="898" t="s">
        <v>9</v>
      </c>
      <c r="G1554" s="898"/>
      <c r="H1554" s="898"/>
      <c r="I1554" s="898"/>
      <c r="J1554" s="898"/>
      <c r="Q1554" s="13" t="s">
        <v>2326</v>
      </c>
      <c r="R1554" s="13">
        <f>$AL$26</f>
        <v>1801.715474357886</v>
      </c>
    </row>
    <row r="1555" spans="3:25" s="29" customFormat="1" x14ac:dyDescent="0.25">
      <c r="C1555" s="896"/>
      <c r="D1555" s="896"/>
      <c r="E1555" s="896"/>
      <c r="F1555" s="898"/>
      <c r="G1555" s="898"/>
      <c r="H1555" s="898"/>
      <c r="I1555" s="898"/>
      <c r="J1555" s="898"/>
      <c r="Q1555" s="13" t="s">
        <v>2325</v>
      </c>
      <c r="R1555" s="13">
        <f>$AL$27</f>
        <v>75.599999999999994</v>
      </c>
    </row>
    <row r="1556" spans="3:25" s="29" customFormat="1" x14ac:dyDescent="0.25">
      <c r="C1556" s="896"/>
      <c r="D1556" s="896"/>
      <c r="E1556" s="896"/>
      <c r="F1556" s="898"/>
      <c r="G1556" s="898"/>
      <c r="H1556" s="898"/>
      <c r="I1556" s="898"/>
      <c r="J1556" s="898"/>
      <c r="Q1556" s="13" t="s">
        <v>1684</v>
      </c>
      <c r="R1556" s="13">
        <f>$AL$29</f>
        <v>69.543532482306858</v>
      </c>
    </row>
    <row r="1557" spans="3:25" s="29" customFormat="1" x14ac:dyDescent="0.25">
      <c r="C1557" s="896" t="s">
        <v>7</v>
      </c>
      <c r="D1557" s="896"/>
      <c r="E1557" s="896"/>
      <c r="F1557" s="897" t="s">
        <v>627</v>
      </c>
      <c r="G1557" s="898"/>
      <c r="H1557" s="898"/>
      <c r="I1557" s="898"/>
      <c r="J1557" s="898"/>
      <c r="Q1557" s="13" t="s">
        <v>1685</v>
      </c>
      <c r="R1557" s="13">
        <v>0.6</v>
      </c>
    </row>
    <row r="1558" spans="3:25" s="29" customFormat="1" x14ac:dyDescent="0.25">
      <c r="C1558" s="896"/>
      <c r="D1558" s="896"/>
      <c r="E1558" s="896"/>
      <c r="F1558" s="898"/>
      <c r="G1558" s="898"/>
      <c r="H1558" s="898"/>
      <c r="I1558" s="898"/>
      <c r="J1558" s="898"/>
      <c r="Q1558" s="13" t="s">
        <v>1708</v>
      </c>
      <c r="R1558" s="13">
        <f>(SUM(R1553:R1556)*R1557)+SUM(R1553:R1556)</f>
        <v>11112.510728524392</v>
      </c>
    </row>
    <row r="1559" spans="3:25" s="29" customFormat="1" x14ac:dyDescent="0.25">
      <c r="C1559" s="896"/>
      <c r="D1559" s="896"/>
      <c r="E1559" s="896"/>
      <c r="F1559" s="898"/>
      <c r="G1559" s="898"/>
      <c r="H1559" s="898"/>
      <c r="I1559" s="898"/>
      <c r="J1559" s="898"/>
      <c r="Q1559" s="13" t="s">
        <v>2130</v>
      </c>
      <c r="R1559" s="13">
        <f>R1558*0.08</f>
        <v>889.00085828195142</v>
      </c>
    </row>
    <row r="1560" spans="3:25" s="29" customFormat="1" x14ac:dyDescent="0.25">
      <c r="Q1560" s="13" t="s">
        <v>1686</v>
      </c>
      <c r="R1560" s="13">
        <f>SUM(R1558+R1559)</f>
        <v>12001.511586806344</v>
      </c>
    </row>
    <row r="1561" spans="3:25" s="29" customFormat="1" x14ac:dyDescent="0.25">
      <c r="T1561" s="30"/>
      <c r="U1561" s="30"/>
      <c r="V1561" s="30"/>
      <c r="W1561" s="30"/>
      <c r="X1561" s="30"/>
      <c r="Y1561" s="30"/>
    </row>
    <row r="1562" spans="3:25" s="29" customFormat="1" x14ac:dyDescent="0.25">
      <c r="C1562" s="910" t="s">
        <v>8</v>
      </c>
      <c r="D1562" s="910"/>
      <c r="E1562" s="910"/>
      <c r="F1562" s="910"/>
      <c r="G1562" s="910"/>
      <c r="H1562" s="910"/>
      <c r="I1562" s="910"/>
      <c r="J1562" s="910"/>
      <c r="T1562" s="30"/>
      <c r="U1562" s="30"/>
      <c r="V1562" s="30"/>
      <c r="W1562" s="30"/>
      <c r="X1562" s="30"/>
      <c r="Y1562" s="30"/>
    </row>
    <row r="1563" spans="3:25" s="29" customFormat="1" x14ac:dyDescent="0.25">
      <c r="C1563" s="895" t="s">
        <v>0</v>
      </c>
      <c r="D1563" s="895"/>
      <c r="E1563" s="895"/>
      <c r="F1563" s="895" t="s">
        <v>1</v>
      </c>
      <c r="G1563" s="895"/>
      <c r="H1563" s="895"/>
      <c r="I1563" s="895"/>
      <c r="J1563" s="895"/>
      <c r="T1563" s="30"/>
      <c r="U1563" s="30"/>
      <c r="V1563" s="30"/>
      <c r="W1563" s="30"/>
      <c r="X1563" s="30"/>
      <c r="Y1563" s="30"/>
    </row>
    <row r="1564" spans="3:25" s="29" customFormat="1" x14ac:dyDescent="0.25">
      <c r="C1564" s="896" t="s">
        <v>2</v>
      </c>
      <c r="D1564" s="896"/>
      <c r="E1564" s="896"/>
      <c r="F1564" s="898" t="s">
        <v>323</v>
      </c>
      <c r="G1564" s="898"/>
      <c r="H1564" s="898"/>
      <c r="I1564" s="898"/>
      <c r="J1564" s="898"/>
      <c r="M1564" s="12" t="s">
        <v>336</v>
      </c>
      <c r="N1564" s="12" t="s">
        <v>174</v>
      </c>
      <c r="O1564" s="12" t="s">
        <v>248</v>
      </c>
      <c r="P1564" s="12" t="s">
        <v>176</v>
      </c>
      <c r="Q1564" s="12" t="s">
        <v>337</v>
      </c>
      <c r="R1564" s="298" t="s">
        <v>1641</v>
      </c>
      <c r="S1564" s="298" t="s">
        <v>1642</v>
      </c>
      <c r="T1564" s="298" t="s">
        <v>1643</v>
      </c>
      <c r="U1564" s="298" t="s">
        <v>1644</v>
      </c>
      <c r="V1564" s="103"/>
      <c r="W1564" s="103"/>
      <c r="X1564" s="103"/>
      <c r="Y1564" s="30"/>
    </row>
    <row r="1565" spans="3:25" s="29" customFormat="1" x14ac:dyDescent="0.25">
      <c r="C1565" s="896"/>
      <c r="D1565" s="896"/>
      <c r="E1565" s="896"/>
      <c r="F1565" s="898"/>
      <c r="G1565" s="898"/>
      <c r="H1565" s="898"/>
      <c r="I1565" s="898"/>
      <c r="J1565" s="898"/>
      <c r="M1565" s="13" t="s">
        <v>344</v>
      </c>
      <c r="N1565" s="13">
        <f>F23</f>
        <v>2073.8723984875514</v>
      </c>
      <c r="O1565" s="13" t="str">
        <f>D23</f>
        <v>g</v>
      </c>
      <c r="P1565" s="13">
        <v>100</v>
      </c>
      <c r="Q1565" s="13">
        <f>N1565</f>
        <v>2073.8723984875514</v>
      </c>
      <c r="R1565" s="13">
        <v>0</v>
      </c>
      <c r="S1565" s="13">
        <f>P1565*R1565</f>
        <v>0</v>
      </c>
      <c r="T1565" s="13">
        <f>P1565-S1565</f>
        <v>100</v>
      </c>
      <c r="U1565" s="13">
        <f>Q1565+((S1565*Q1565)/P1565)</f>
        <v>2073.8723984875514</v>
      </c>
      <c r="V1565" s="104"/>
      <c r="W1565" s="104"/>
      <c r="X1565" s="104"/>
      <c r="Y1565" s="30"/>
    </row>
    <row r="1566" spans="3:25" s="29" customFormat="1" x14ac:dyDescent="0.25">
      <c r="C1566" s="896"/>
      <c r="D1566" s="896"/>
      <c r="E1566" s="896"/>
      <c r="F1566" s="898"/>
      <c r="G1566" s="898"/>
      <c r="H1566" s="898"/>
      <c r="I1566" s="898"/>
      <c r="J1566" s="898"/>
      <c r="M1566" s="13" t="s">
        <v>340</v>
      </c>
      <c r="N1566" s="13">
        <f>Y20</f>
        <v>0.64</v>
      </c>
      <c r="O1566" s="13" t="str">
        <f>X20</f>
        <v>g</v>
      </c>
      <c r="P1566" s="13">
        <v>2</v>
      </c>
      <c r="Q1566" s="13">
        <f t="shared" ref="Q1566:Q1573" si="400">N1566*P1566</f>
        <v>1.28</v>
      </c>
      <c r="R1566" s="13">
        <v>0</v>
      </c>
      <c r="S1566" s="13">
        <f t="shared" ref="S1566:S1567" si="401">P1566*R1566</f>
        <v>0</v>
      </c>
      <c r="T1566" s="13">
        <f t="shared" ref="T1566:T1573" si="402">P1566-S1566</f>
        <v>2</v>
      </c>
      <c r="U1566" s="13">
        <f t="shared" ref="U1566:U1573" si="403">Q1566+((S1566*Q1566)/P1566)</f>
        <v>1.28</v>
      </c>
      <c r="V1566" s="30"/>
      <c r="W1566" s="30"/>
      <c r="X1566" s="30"/>
      <c r="Y1566" s="30"/>
    </row>
    <row r="1567" spans="3:25" s="29" customFormat="1" x14ac:dyDescent="0.25">
      <c r="C1567" s="895" t="s">
        <v>0</v>
      </c>
      <c r="D1567" s="895"/>
      <c r="E1567" s="895"/>
      <c r="F1567" s="895" t="s">
        <v>1</v>
      </c>
      <c r="G1567" s="895"/>
      <c r="H1567" s="895"/>
      <c r="I1567" s="895"/>
      <c r="J1567" s="895"/>
      <c r="M1567" s="13" t="s">
        <v>346</v>
      </c>
      <c r="N1567" s="13">
        <f>P3</f>
        <v>7</v>
      </c>
      <c r="O1567" s="13" t="str">
        <f>O3</f>
        <v>g</v>
      </c>
      <c r="P1567" s="13">
        <v>6</v>
      </c>
      <c r="Q1567" s="13">
        <f t="shared" si="400"/>
        <v>42</v>
      </c>
      <c r="R1567" s="13">
        <f>AJ2</f>
        <v>0.23</v>
      </c>
      <c r="S1567" s="13">
        <f t="shared" si="401"/>
        <v>1.3800000000000001</v>
      </c>
      <c r="T1567" s="13">
        <f t="shared" si="402"/>
        <v>4.62</v>
      </c>
      <c r="U1567" s="13">
        <f t="shared" si="403"/>
        <v>51.660000000000004</v>
      </c>
      <c r="V1567" s="30"/>
      <c r="W1567" s="30"/>
      <c r="X1567" s="30"/>
      <c r="Y1567" s="30"/>
    </row>
    <row r="1568" spans="3:25" s="29" customFormat="1" x14ac:dyDescent="0.25">
      <c r="C1568" s="896" t="s">
        <v>3</v>
      </c>
      <c r="D1568" s="896"/>
      <c r="E1568" s="896"/>
      <c r="F1568" s="897" t="s">
        <v>762</v>
      </c>
      <c r="G1568" s="898"/>
      <c r="H1568" s="898"/>
      <c r="I1568" s="898"/>
      <c r="J1568" s="898"/>
      <c r="M1568" s="13" t="s">
        <v>546</v>
      </c>
      <c r="N1568" s="13">
        <f>AE3</f>
        <v>49.18</v>
      </c>
      <c r="O1568" s="13" t="str">
        <f>AD3</f>
        <v>mL</v>
      </c>
      <c r="P1568" s="13">
        <v>25</v>
      </c>
      <c r="Q1568" s="13">
        <f t="shared" si="400"/>
        <v>1229.5</v>
      </c>
      <c r="R1568" s="13">
        <v>0</v>
      </c>
      <c r="S1568" s="13">
        <f>P1568*R1568</f>
        <v>0</v>
      </c>
      <c r="T1568" s="13">
        <f t="shared" si="402"/>
        <v>25</v>
      </c>
      <c r="U1568" s="13">
        <f t="shared" si="403"/>
        <v>1229.5</v>
      </c>
      <c r="V1568" s="30"/>
      <c r="W1568" s="30"/>
      <c r="X1568" s="30"/>
      <c r="Y1568" s="30"/>
    </row>
    <row r="1569" spans="3:25" s="29" customFormat="1" x14ac:dyDescent="0.25">
      <c r="C1569" s="896"/>
      <c r="D1569" s="896"/>
      <c r="E1569" s="896"/>
      <c r="F1569" s="898"/>
      <c r="G1569" s="898"/>
      <c r="H1569" s="898"/>
      <c r="I1569" s="898"/>
      <c r="J1569" s="898"/>
      <c r="M1569" s="13" t="s">
        <v>435</v>
      </c>
      <c r="N1569" s="13">
        <f>P5</f>
        <v>2.5</v>
      </c>
      <c r="O1569" s="13" t="str">
        <f>O5</f>
        <v>g</v>
      </c>
      <c r="P1569" s="13">
        <v>15</v>
      </c>
      <c r="Q1569" s="13">
        <f t="shared" si="400"/>
        <v>37.5</v>
      </c>
      <c r="R1569" s="13">
        <f>AJ3</f>
        <v>0.37</v>
      </c>
      <c r="S1569" s="13">
        <f t="shared" ref="S1569:S1573" si="404">P1569*R1569</f>
        <v>5.55</v>
      </c>
      <c r="T1569" s="13">
        <f t="shared" si="402"/>
        <v>9.4499999999999993</v>
      </c>
      <c r="U1569" s="13">
        <f t="shared" si="403"/>
        <v>51.375</v>
      </c>
      <c r="V1569" s="30"/>
      <c r="W1569" s="30"/>
      <c r="X1569" s="30"/>
      <c r="Y1569" s="30"/>
    </row>
    <row r="1570" spans="3:25" s="29" customFormat="1" x14ac:dyDescent="0.25">
      <c r="C1570" s="896"/>
      <c r="D1570" s="896"/>
      <c r="E1570" s="896"/>
      <c r="F1570" s="898"/>
      <c r="G1570" s="898"/>
      <c r="H1570" s="898"/>
      <c r="I1570" s="898"/>
      <c r="J1570" s="898"/>
      <c r="M1570" s="13" t="s">
        <v>436</v>
      </c>
      <c r="N1570" s="13">
        <f>P31</f>
        <v>2.6</v>
      </c>
      <c r="O1570" s="13" t="str">
        <f>O31</f>
        <v>g</v>
      </c>
      <c r="P1570" s="13">
        <v>30</v>
      </c>
      <c r="Q1570" s="13">
        <f t="shared" si="400"/>
        <v>78</v>
      </c>
      <c r="R1570" s="13">
        <f>AJ19</f>
        <v>0.37</v>
      </c>
      <c r="S1570" s="13">
        <f t="shared" si="404"/>
        <v>11.1</v>
      </c>
      <c r="T1570" s="13">
        <f t="shared" si="402"/>
        <v>18.899999999999999</v>
      </c>
      <c r="U1570" s="13">
        <f t="shared" si="403"/>
        <v>106.86</v>
      </c>
      <c r="V1570" s="30"/>
      <c r="W1570" s="30"/>
      <c r="X1570" s="30"/>
      <c r="Y1570" s="30"/>
    </row>
    <row r="1571" spans="3:25" s="29" customFormat="1" x14ac:dyDescent="0.25">
      <c r="C1571" s="896" t="s">
        <v>4</v>
      </c>
      <c r="D1571" s="896"/>
      <c r="E1571" s="896"/>
      <c r="F1571" s="898" t="s">
        <v>15</v>
      </c>
      <c r="G1571" s="898"/>
      <c r="H1571" s="898"/>
      <c r="I1571" s="898"/>
      <c r="J1571" s="898"/>
      <c r="M1571" s="13" t="s">
        <v>429</v>
      </c>
      <c r="N1571" s="13">
        <f>P29</f>
        <v>1.8</v>
      </c>
      <c r="O1571" s="13" t="str">
        <f>O29</f>
        <v>g</v>
      </c>
      <c r="P1571" s="13">
        <v>60</v>
      </c>
      <c r="Q1571" s="13">
        <f t="shared" si="400"/>
        <v>108</v>
      </c>
      <c r="R1571" s="13">
        <f>AJ18</f>
        <v>0.05</v>
      </c>
      <c r="S1571" s="13">
        <f t="shared" si="404"/>
        <v>3</v>
      </c>
      <c r="T1571" s="13">
        <f t="shared" si="402"/>
        <v>57</v>
      </c>
      <c r="U1571" s="13">
        <f t="shared" si="403"/>
        <v>113.4</v>
      </c>
      <c r="V1571" s="30"/>
      <c r="W1571" s="30"/>
      <c r="X1571" s="30"/>
      <c r="Y1571" s="30"/>
    </row>
    <row r="1572" spans="3:25" s="29" customFormat="1" x14ac:dyDescent="0.25">
      <c r="C1572" s="896"/>
      <c r="D1572" s="896"/>
      <c r="E1572" s="896"/>
      <c r="F1572" s="898"/>
      <c r="G1572" s="898"/>
      <c r="H1572" s="898"/>
      <c r="I1572" s="898"/>
      <c r="J1572" s="898"/>
      <c r="M1572" s="13" t="s">
        <v>433</v>
      </c>
      <c r="N1572" s="13">
        <f>Y18</f>
        <v>223.57</v>
      </c>
      <c r="O1572" s="13" t="str">
        <f>X18</f>
        <v>g</v>
      </c>
      <c r="P1572" s="13">
        <v>10</v>
      </c>
      <c r="Q1572" s="13">
        <f t="shared" si="400"/>
        <v>2235.6999999999998</v>
      </c>
      <c r="R1572" s="13">
        <v>0</v>
      </c>
      <c r="S1572" s="13">
        <f t="shared" si="404"/>
        <v>0</v>
      </c>
      <c r="T1572" s="13">
        <f t="shared" si="402"/>
        <v>10</v>
      </c>
      <c r="U1572" s="13">
        <f t="shared" si="403"/>
        <v>2235.6999999999998</v>
      </c>
      <c r="V1572" s="30"/>
      <c r="W1572" s="30"/>
      <c r="X1572" s="30"/>
      <c r="Y1572" s="30"/>
    </row>
    <row r="1573" spans="3:25" s="29" customFormat="1" x14ac:dyDescent="0.25">
      <c r="C1573" s="896"/>
      <c r="D1573" s="896"/>
      <c r="E1573" s="896"/>
      <c r="F1573" s="898"/>
      <c r="G1573" s="898"/>
      <c r="H1573" s="898"/>
      <c r="I1573" s="898"/>
      <c r="J1573" s="898"/>
      <c r="M1573" s="13" t="s">
        <v>531</v>
      </c>
      <c r="N1573" s="13">
        <f>AB6</f>
        <v>5.18</v>
      </c>
      <c r="O1573" s="13" t="str">
        <f>AA6</f>
        <v>g</v>
      </c>
      <c r="P1573" s="13">
        <v>125</v>
      </c>
      <c r="Q1573" s="13">
        <f t="shared" si="400"/>
        <v>647.5</v>
      </c>
      <c r="R1573" s="13">
        <v>0</v>
      </c>
      <c r="S1573" s="13">
        <f t="shared" si="404"/>
        <v>0</v>
      </c>
      <c r="T1573" s="13">
        <f t="shared" si="402"/>
        <v>125</v>
      </c>
      <c r="U1573" s="13">
        <f t="shared" si="403"/>
        <v>647.5</v>
      </c>
      <c r="V1573" s="30"/>
      <c r="W1573" s="30"/>
      <c r="X1573" s="30"/>
      <c r="Y1573" s="30"/>
    </row>
    <row r="1574" spans="3:25" s="29" customFormat="1" x14ac:dyDescent="0.25">
      <c r="C1574" s="896" t="s">
        <v>5</v>
      </c>
      <c r="D1574" s="896"/>
      <c r="E1574" s="896"/>
      <c r="F1574" s="897" t="s">
        <v>761</v>
      </c>
      <c r="G1574" s="898"/>
      <c r="H1574" s="898"/>
      <c r="I1574" s="898"/>
      <c r="J1574" s="898"/>
      <c r="M1574" s="13"/>
      <c r="N1574" s="13"/>
      <c r="O1574" s="13"/>
      <c r="P1574" s="13"/>
      <c r="Q1574" s="13"/>
      <c r="R1574" s="13"/>
      <c r="S1574" s="13"/>
      <c r="T1574" s="13"/>
      <c r="U1574" s="13"/>
      <c r="V1574" s="30"/>
      <c r="W1574" s="30"/>
      <c r="X1574" s="30"/>
      <c r="Y1574" s="30"/>
    </row>
    <row r="1575" spans="3:25" s="29" customFormat="1" x14ac:dyDescent="0.25">
      <c r="C1575" s="896"/>
      <c r="D1575" s="896"/>
      <c r="E1575" s="896"/>
      <c r="F1575" s="898"/>
      <c r="G1575" s="898"/>
      <c r="H1575" s="898"/>
      <c r="I1575" s="898"/>
      <c r="J1575" s="898"/>
      <c r="M1575" s="13"/>
      <c r="N1575" s="13"/>
      <c r="O1575" s="13"/>
      <c r="P1575" s="13"/>
      <c r="Q1575" s="13"/>
      <c r="R1575" s="13"/>
      <c r="S1575" s="13"/>
      <c r="T1575" s="13"/>
      <c r="U1575" s="13"/>
    </row>
    <row r="1576" spans="3:25" s="29" customFormat="1" x14ac:dyDescent="0.25">
      <c r="C1576" s="896"/>
      <c r="D1576" s="896"/>
      <c r="E1576" s="896"/>
      <c r="F1576" s="898"/>
      <c r="G1576" s="898"/>
      <c r="H1576" s="898"/>
      <c r="I1576" s="898"/>
      <c r="J1576" s="898"/>
      <c r="M1576" s="13" t="s">
        <v>337</v>
      </c>
      <c r="N1576" s="13">
        <f>SUM(N1565:N1575)</f>
        <v>2366.3423984875512</v>
      </c>
      <c r="O1576" s="13"/>
      <c r="P1576" s="13">
        <f>SUM(P1565:P1575)</f>
        <v>373</v>
      </c>
      <c r="Q1576" s="13">
        <f>SUM(Q1565:Q1575)</f>
        <v>6453.3523984875519</v>
      </c>
      <c r="R1576" s="13"/>
      <c r="S1576" s="13"/>
      <c r="T1576" s="13"/>
      <c r="U1576" s="13">
        <f>SUM(U1565:U1575)</f>
        <v>6511.147398487552</v>
      </c>
    </row>
    <row r="1577" spans="3:25" s="29" customFormat="1" x14ac:dyDescent="0.25">
      <c r="C1577" s="896" t="s">
        <v>6</v>
      </c>
      <c r="D1577" s="896"/>
      <c r="E1577" s="896"/>
      <c r="F1577" s="898" t="s">
        <v>9</v>
      </c>
      <c r="G1577" s="898"/>
      <c r="H1577" s="898"/>
      <c r="I1577" s="898"/>
      <c r="J1577" s="898"/>
    </row>
    <row r="1578" spans="3:25" s="29" customFormat="1" x14ac:dyDescent="0.25">
      <c r="C1578" s="896"/>
      <c r="D1578" s="896"/>
      <c r="E1578" s="896"/>
      <c r="F1578" s="898"/>
      <c r="G1578" s="898"/>
      <c r="H1578" s="898"/>
      <c r="I1578" s="898"/>
      <c r="J1578" s="898"/>
      <c r="Q1578" s="13" t="s">
        <v>1681</v>
      </c>
      <c r="R1578" s="13">
        <f>U1576</f>
        <v>6511.147398487552</v>
      </c>
      <c r="S1578" s="608" t="s">
        <v>2142</v>
      </c>
      <c r="T1578" s="608">
        <f>(R1578*100)/R1585</f>
        <v>44.549802096295188</v>
      </c>
    </row>
    <row r="1579" spans="3:25" s="29" customFormat="1" x14ac:dyDescent="0.25">
      <c r="C1579" s="896"/>
      <c r="D1579" s="896"/>
      <c r="E1579" s="896"/>
      <c r="F1579" s="898"/>
      <c r="G1579" s="898"/>
      <c r="H1579" s="898"/>
      <c r="I1579" s="898"/>
      <c r="J1579" s="898"/>
      <c r="Q1579" s="13" t="s">
        <v>2326</v>
      </c>
      <c r="R1579" s="13">
        <f>$AL$26</f>
        <v>1801.715474357886</v>
      </c>
    </row>
    <row r="1580" spans="3:25" s="29" customFormat="1" x14ac:dyDescent="0.25">
      <c r="C1580" s="896" t="s">
        <v>7</v>
      </c>
      <c r="D1580" s="896"/>
      <c r="E1580" s="896"/>
      <c r="F1580" s="897" t="s">
        <v>628</v>
      </c>
      <c r="G1580" s="898"/>
      <c r="H1580" s="898"/>
      <c r="I1580" s="898"/>
      <c r="J1580" s="898"/>
      <c r="Q1580" s="13" t="s">
        <v>2325</v>
      </c>
      <c r="R1580" s="13">
        <f>$AL$27</f>
        <v>75.599999999999994</v>
      </c>
    </row>
    <row r="1581" spans="3:25" s="29" customFormat="1" x14ac:dyDescent="0.25">
      <c r="C1581" s="896"/>
      <c r="D1581" s="896"/>
      <c r="E1581" s="896"/>
      <c r="F1581" s="898"/>
      <c r="G1581" s="898"/>
      <c r="H1581" s="898"/>
      <c r="I1581" s="898"/>
      <c r="J1581" s="898"/>
      <c r="Q1581" s="13" t="s">
        <v>1684</v>
      </c>
      <c r="R1581" s="13">
        <f>$AL$29</f>
        <v>69.543532482306858</v>
      </c>
    </row>
    <row r="1582" spans="3:25" s="29" customFormat="1" x14ac:dyDescent="0.25">
      <c r="C1582" s="896"/>
      <c r="D1582" s="896"/>
      <c r="E1582" s="896"/>
      <c r="F1582" s="898"/>
      <c r="G1582" s="898"/>
      <c r="H1582" s="898"/>
      <c r="I1582" s="898"/>
      <c r="J1582" s="898"/>
      <c r="Q1582" s="13" t="s">
        <v>1685</v>
      </c>
      <c r="R1582" s="13">
        <v>0.6</v>
      </c>
    </row>
    <row r="1583" spans="3:25" s="29" customFormat="1" x14ac:dyDescent="0.25">
      <c r="Q1583" s="13" t="s">
        <v>1708</v>
      </c>
      <c r="R1583" s="13">
        <f>(SUM(R1578:R1581)*R1582)+SUM(R1578:R1581)</f>
        <v>13532.810248524393</v>
      </c>
    </row>
    <row r="1584" spans="3:25" s="29" customFormat="1" x14ac:dyDescent="0.25">
      <c r="Q1584" s="13" t="s">
        <v>2130</v>
      </c>
      <c r="R1584" s="13">
        <f>R1583*0.08</f>
        <v>1082.6248198819515</v>
      </c>
    </row>
    <row r="1585" spans="3:31" s="29" customFormat="1" x14ac:dyDescent="0.25">
      <c r="Q1585" s="13" t="s">
        <v>1686</v>
      </c>
      <c r="R1585" s="13">
        <f>SUM(R1583+R1584)</f>
        <v>14615.435068406345</v>
      </c>
    </row>
    <row r="1586" spans="3:31" s="29" customFormat="1" x14ac:dyDescent="0.25"/>
    <row r="1587" spans="3:31" s="29" customFormat="1" x14ac:dyDescent="0.25">
      <c r="C1587" s="910" t="s">
        <v>8</v>
      </c>
      <c r="D1587" s="910"/>
      <c r="E1587" s="910"/>
      <c r="F1587" s="910"/>
      <c r="G1587" s="910"/>
      <c r="H1587" s="910"/>
      <c r="I1587" s="910"/>
      <c r="J1587" s="910"/>
    </row>
    <row r="1588" spans="3:31" s="29" customFormat="1" x14ac:dyDescent="0.25">
      <c r="C1588" s="895" t="s">
        <v>0</v>
      </c>
      <c r="D1588" s="895"/>
      <c r="E1588" s="895"/>
      <c r="F1588" s="895" t="s">
        <v>1</v>
      </c>
      <c r="G1588" s="895"/>
      <c r="H1588" s="895"/>
      <c r="I1588" s="895"/>
      <c r="J1588" s="895"/>
    </row>
    <row r="1589" spans="3:31" s="29" customFormat="1" x14ac:dyDescent="0.25">
      <c r="C1589" s="896" t="s">
        <v>2</v>
      </c>
      <c r="D1589" s="896"/>
      <c r="E1589" s="896"/>
      <c r="F1589" s="898" t="s">
        <v>324</v>
      </c>
      <c r="G1589" s="898"/>
      <c r="H1589" s="898"/>
      <c r="I1589" s="898"/>
      <c r="J1589" s="898"/>
      <c r="M1589" s="12" t="s">
        <v>336</v>
      </c>
      <c r="N1589" s="12" t="s">
        <v>174</v>
      </c>
      <c r="O1589" s="12" t="s">
        <v>248</v>
      </c>
      <c r="P1589" s="12" t="s">
        <v>176</v>
      </c>
      <c r="Q1589" s="12" t="s">
        <v>337</v>
      </c>
      <c r="R1589" s="298" t="s">
        <v>1641</v>
      </c>
      <c r="S1589" s="298" t="s">
        <v>1642</v>
      </c>
      <c r="T1589" s="298" t="s">
        <v>1643</v>
      </c>
      <c r="U1589" s="298" t="s">
        <v>1644</v>
      </c>
      <c r="W1589" s="1048" t="s">
        <v>1476</v>
      </c>
      <c r="X1589" s="1048"/>
      <c r="Y1589" s="1048"/>
      <c r="Z1589" s="1048"/>
      <c r="AA1589" s="1048"/>
      <c r="AB1589" s="1048"/>
      <c r="AC1589" s="1048"/>
      <c r="AD1589" s="1048"/>
      <c r="AE1589" s="1048"/>
    </row>
    <row r="1590" spans="3:31" s="29" customFormat="1" x14ac:dyDescent="0.25">
      <c r="C1590" s="896"/>
      <c r="D1590" s="896"/>
      <c r="E1590" s="896"/>
      <c r="F1590" s="898"/>
      <c r="G1590" s="898"/>
      <c r="H1590" s="898"/>
      <c r="I1590" s="898"/>
      <c r="J1590" s="898"/>
      <c r="M1590" s="13" t="s">
        <v>344</v>
      </c>
      <c r="N1590" s="13">
        <f>F23</f>
        <v>2073.8723984875514</v>
      </c>
      <c r="O1590" s="13" t="str">
        <f>D23</f>
        <v>g</v>
      </c>
      <c r="P1590" s="13">
        <v>100</v>
      </c>
      <c r="Q1590" s="13">
        <f>N1590</f>
        <v>2073.8723984875514</v>
      </c>
      <c r="R1590" s="13">
        <v>0</v>
      </c>
      <c r="S1590" s="13">
        <f>P1590*R1590</f>
        <v>0</v>
      </c>
      <c r="T1590" s="13">
        <f>P1590-S1590</f>
        <v>100</v>
      </c>
      <c r="U1590" s="13">
        <f>Q1590+((S1590*Q1590)/P1590)</f>
        <v>2073.8723984875514</v>
      </c>
      <c r="W1590" s="12" t="s">
        <v>336</v>
      </c>
      <c r="X1590" s="12" t="s">
        <v>174</v>
      </c>
      <c r="Y1590" s="12" t="s">
        <v>248</v>
      </c>
      <c r="Z1590" s="12" t="s">
        <v>176</v>
      </c>
      <c r="AA1590" s="12" t="s">
        <v>337</v>
      </c>
      <c r="AB1590" s="298" t="s">
        <v>1641</v>
      </c>
      <c r="AC1590" s="298" t="s">
        <v>1642</v>
      </c>
      <c r="AD1590" s="298" t="s">
        <v>1643</v>
      </c>
      <c r="AE1590" s="298" t="s">
        <v>1644</v>
      </c>
    </row>
    <row r="1591" spans="3:31" s="29" customFormat="1" x14ac:dyDescent="0.25">
      <c r="C1591" s="896"/>
      <c r="D1591" s="896"/>
      <c r="E1591" s="896"/>
      <c r="F1591" s="898"/>
      <c r="G1591" s="898"/>
      <c r="H1591" s="898"/>
      <c r="I1591" s="898"/>
      <c r="J1591" s="898"/>
      <c r="M1591" s="13" t="s">
        <v>340</v>
      </c>
      <c r="N1591" s="13">
        <f>Y20</f>
        <v>0.64</v>
      </c>
      <c r="O1591" s="13" t="str">
        <f>X20</f>
        <v>g</v>
      </c>
      <c r="P1591" s="13">
        <v>2</v>
      </c>
      <c r="Q1591" s="13">
        <f>N1591*P1591</f>
        <v>1.28</v>
      </c>
      <c r="R1591" s="13">
        <v>0</v>
      </c>
      <c r="S1591" s="13">
        <f t="shared" ref="S1591:S1592" si="405">P1591*R1591</f>
        <v>0</v>
      </c>
      <c r="T1591" s="13">
        <f t="shared" ref="T1591:T1595" si="406">P1591-S1591</f>
        <v>2</v>
      </c>
      <c r="U1591" s="13">
        <f t="shared" ref="U1591:U1595" si="407">Q1591+((S1591*Q1591)/P1591)</f>
        <v>1.28</v>
      </c>
      <c r="W1591" s="13" t="s">
        <v>429</v>
      </c>
      <c r="X1591" s="13">
        <f>P29</f>
        <v>1.8</v>
      </c>
      <c r="Y1591" s="13" t="str">
        <f>O29</f>
        <v>g</v>
      </c>
      <c r="Z1591" s="13">
        <v>80</v>
      </c>
      <c r="AA1591" s="13">
        <f t="shared" ref="AA1591:AA1597" si="408">X1591*Z1591</f>
        <v>144</v>
      </c>
      <c r="AB1591" s="13">
        <f>AJ18</f>
        <v>0.05</v>
      </c>
      <c r="AC1591" s="13">
        <f>Z1591*AB1591</f>
        <v>4</v>
      </c>
      <c r="AD1591" s="13">
        <f>Z1591-AC1591</f>
        <v>76</v>
      </c>
      <c r="AE1591" s="13">
        <f>AA1591+((AC1591*AA1591)/Z1591)</f>
        <v>151.19999999999999</v>
      </c>
    </row>
    <row r="1592" spans="3:31" s="29" customFormat="1" x14ac:dyDescent="0.25">
      <c r="C1592" s="895" t="s">
        <v>0</v>
      </c>
      <c r="D1592" s="895"/>
      <c r="E1592" s="895"/>
      <c r="F1592" s="895" t="s">
        <v>1</v>
      </c>
      <c r="G1592" s="895"/>
      <c r="H1592" s="895"/>
      <c r="I1592" s="895"/>
      <c r="J1592" s="895"/>
      <c r="M1592" s="13" t="s">
        <v>346</v>
      </c>
      <c r="N1592" s="13">
        <f>P3</f>
        <v>7</v>
      </c>
      <c r="O1592" s="13" t="str">
        <f>O3</f>
        <v>g</v>
      </c>
      <c r="P1592" s="13">
        <v>6</v>
      </c>
      <c r="Q1592" s="13">
        <f>N1592*P1592</f>
        <v>42</v>
      </c>
      <c r="R1592" s="13">
        <f>AJ2</f>
        <v>0.23</v>
      </c>
      <c r="S1592" s="13">
        <f t="shared" si="405"/>
        <v>1.3800000000000001</v>
      </c>
      <c r="T1592" s="13">
        <f t="shared" si="406"/>
        <v>4.62</v>
      </c>
      <c r="U1592" s="13">
        <f t="shared" si="407"/>
        <v>51.660000000000004</v>
      </c>
      <c r="W1592" s="13" t="s">
        <v>346</v>
      </c>
      <c r="X1592" s="13">
        <f>P3</f>
        <v>7</v>
      </c>
      <c r="Y1592" s="13" t="str">
        <f>O3</f>
        <v>g</v>
      </c>
      <c r="Z1592" s="13">
        <v>4</v>
      </c>
      <c r="AA1592" s="13">
        <f t="shared" si="408"/>
        <v>28</v>
      </c>
      <c r="AB1592" s="13">
        <f>AJ2</f>
        <v>0.23</v>
      </c>
      <c r="AC1592" s="13">
        <f t="shared" ref="AC1592:AC1593" si="409">Z1592*AB1592</f>
        <v>0.92</v>
      </c>
      <c r="AD1592" s="13">
        <f t="shared" ref="AD1592:AD1597" si="410">Z1592-AC1592</f>
        <v>3.08</v>
      </c>
      <c r="AE1592" s="13">
        <f t="shared" ref="AE1592:AE1597" si="411">AA1592+((AC1592*AA1592)/Z1592)</f>
        <v>34.44</v>
      </c>
    </row>
    <row r="1593" spans="3:31" s="29" customFormat="1" x14ac:dyDescent="0.25">
      <c r="C1593" s="896" t="s">
        <v>3</v>
      </c>
      <c r="D1593" s="896"/>
      <c r="E1593" s="896"/>
      <c r="F1593" s="897" t="s">
        <v>328</v>
      </c>
      <c r="G1593" s="898"/>
      <c r="H1593" s="898"/>
      <c r="I1593" s="898"/>
      <c r="J1593" s="898"/>
      <c r="M1593" s="13" t="s">
        <v>345</v>
      </c>
      <c r="N1593" s="13">
        <f>P23</f>
        <v>1.6</v>
      </c>
      <c r="O1593" s="13" t="str">
        <f>O23</f>
        <v>g</v>
      </c>
      <c r="P1593" s="13">
        <v>10</v>
      </c>
      <c r="Q1593" s="13">
        <f>N1593*P1593</f>
        <v>16</v>
      </c>
      <c r="R1593" s="13">
        <v>0</v>
      </c>
      <c r="S1593" s="13">
        <f>P1593*R1593</f>
        <v>0</v>
      </c>
      <c r="T1593" s="13">
        <f t="shared" si="406"/>
        <v>10</v>
      </c>
      <c r="U1593" s="13">
        <f t="shared" si="407"/>
        <v>16</v>
      </c>
      <c r="W1593" s="13" t="s">
        <v>431</v>
      </c>
      <c r="X1593" s="13">
        <f>P19</f>
        <v>10.28</v>
      </c>
      <c r="Y1593" s="13" t="str">
        <f>O19</f>
        <v>g</v>
      </c>
      <c r="Z1593" s="13">
        <v>1</v>
      </c>
      <c r="AA1593" s="13">
        <f t="shared" si="408"/>
        <v>10.28</v>
      </c>
      <c r="AB1593" s="13">
        <f>AJ15</f>
        <v>0.26</v>
      </c>
      <c r="AC1593" s="13">
        <f t="shared" si="409"/>
        <v>0.26</v>
      </c>
      <c r="AD1593" s="13">
        <f t="shared" si="410"/>
        <v>0.74</v>
      </c>
      <c r="AE1593" s="13">
        <f t="shared" si="411"/>
        <v>12.9528</v>
      </c>
    </row>
    <row r="1594" spans="3:31" s="29" customFormat="1" x14ac:dyDescent="0.25">
      <c r="C1594" s="896"/>
      <c r="D1594" s="896"/>
      <c r="E1594" s="896"/>
      <c r="F1594" s="898"/>
      <c r="G1594" s="898"/>
      <c r="H1594" s="898"/>
      <c r="I1594" s="898"/>
      <c r="J1594" s="898"/>
      <c r="M1594" s="13" t="s">
        <v>532</v>
      </c>
      <c r="N1594" s="13">
        <f>AE1598</f>
        <v>2676.9328</v>
      </c>
      <c r="O1594" s="13" t="s">
        <v>1388</v>
      </c>
      <c r="P1594" s="13">
        <v>120</v>
      </c>
      <c r="Q1594" s="13">
        <f>N1594</f>
        <v>2676.9328</v>
      </c>
      <c r="R1594" s="13">
        <v>0</v>
      </c>
      <c r="S1594" s="13">
        <f t="shared" ref="S1594:S1595" si="412">P1594*R1594</f>
        <v>0</v>
      </c>
      <c r="T1594" s="13">
        <f t="shared" si="406"/>
        <v>120</v>
      </c>
      <c r="U1594" s="13">
        <f t="shared" si="407"/>
        <v>2676.9328</v>
      </c>
      <c r="W1594" s="13" t="s">
        <v>445</v>
      </c>
      <c r="X1594" s="13">
        <f>Y15</f>
        <v>159</v>
      </c>
      <c r="Y1594" s="13" t="str">
        <f>X15</f>
        <v>g</v>
      </c>
      <c r="Z1594" s="13">
        <v>10</v>
      </c>
      <c r="AA1594" s="13">
        <f t="shared" si="408"/>
        <v>1590</v>
      </c>
      <c r="AB1594" s="13">
        <v>0</v>
      </c>
      <c r="AC1594" s="13">
        <f>Z1594*AB1594</f>
        <v>0</v>
      </c>
      <c r="AD1594" s="13">
        <f t="shared" si="410"/>
        <v>10</v>
      </c>
      <c r="AE1594" s="13">
        <f t="shared" si="411"/>
        <v>1590</v>
      </c>
    </row>
    <row r="1595" spans="3:31" s="29" customFormat="1" x14ac:dyDescent="0.25">
      <c r="C1595" s="896"/>
      <c r="D1595" s="896"/>
      <c r="E1595" s="896"/>
      <c r="F1595" s="898"/>
      <c r="G1595" s="898"/>
      <c r="H1595" s="898"/>
      <c r="I1595" s="898"/>
      <c r="J1595" s="898"/>
      <c r="M1595" s="13" t="s">
        <v>463</v>
      </c>
      <c r="N1595" s="13">
        <f>Y19+Y12</f>
        <v>293.83</v>
      </c>
      <c r="O1595" s="13" t="str">
        <f>X12</f>
        <v>g</v>
      </c>
      <c r="P1595" s="13">
        <v>30</v>
      </c>
      <c r="Q1595" s="13">
        <f>N1595*P1595</f>
        <v>8814.9</v>
      </c>
      <c r="R1595" s="13">
        <v>0</v>
      </c>
      <c r="S1595" s="13">
        <f t="shared" si="412"/>
        <v>0</v>
      </c>
      <c r="T1595" s="13">
        <f t="shared" si="406"/>
        <v>30</v>
      </c>
      <c r="U1595" s="13">
        <f t="shared" si="407"/>
        <v>8814.9</v>
      </c>
      <c r="W1595" s="13" t="s">
        <v>340</v>
      </c>
      <c r="X1595" s="13">
        <f>Y20</f>
        <v>0.64</v>
      </c>
      <c r="Y1595" s="13" t="str">
        <f>X20</f>
        <v>g</v>
      </c>
      <c r="Z1595" s="13">
        <v>1</v>
      </c>
      <c r="AA1595" s="13">
        <f t="shared" si="408"/>
        <v>0.64</v>
      </c>
      <c r="AB1595" s="13">
        <v>0</v>
      </c>
      <c r="AC1595" s="13">
        <f t="shared" ref="AC1595:AC1597" si="413">Z1595*AB1595</f>
        <v>0</v>
      </c>
      <c r="AD1595" s="13">
        <f t="shared" si="410"/>
        <v>1</v>
      </c>
      <c r="AE1595" s="13">
        <f t="shared" si="411"/>
        <v>0.64</v>
      </c>
    </row>
    <row r="1596" spans="3:31" s="29" customFormat="1" x14ac:dyDescent="0.25">
      <c r="C1596" s="896" t="s">
        <v>4</v>
      </c>
      <c r="D1596" s="896"/>
      <c r="E1596" s="896"/>
      <c r="F1596" s="898" t="s">
        <v>15</v>
      </c>
      <c r="G1596" s="898"/>
      <c r="H1596" s="898"/>
      <c r="I1596" s="898"/>
      <c r="J1596" s="898"/>
      <c r="M1596" s="13"/>
      <c r="N1596" s="13"/>
      <c r="O1596" s="13"/>
      <c r="P1596" s="13"/>
      <c r="Q1596" s="13"/>
      <c r="R1596" s="13"/>
      <c r="S1596" s="13"/>
      <c r="T1596" s="13"/>
      <c r="U1596" s="13"/>
      <c r="W1596" s="13" t="s">
        <v>546</v>
      </c>
      <c r="X1596" s="13">
        <f>AE3</f>
        <v>49.18</v>
      </c>
      <c r="Y1596" s="13" t="str">
        <f>AD3</f>
        <v>mL</v>
      </c>
      <c r="Z1596" s="13">
        <v>15</v>
      </c>
      <c r="AA1596" s="13">
        <f t="shared" si="408"/>
        <v>737.7</v>
      </c>
      <c r="AB1596" s="13">
        <v>0</v>
      </c>
      <c r="AC1596" s="13">
        <f t="shared" si="413"/>
        <v>0</v>
      </c>
      <c r="AD1596" s="13">
        <f t="shared" si="410"/>
        <v>15</v>
      </c>
      <c r="AE1596" s="13">
        <f t="shared" si="411"/>
        <v>737.7</v>
      </c>
    </row>
    <row r="1597" spans="3:31" s="29" customFormat="1" x14ac:dyDescent="0.25">
      <c r="C1597" s="896"/>
      <c r="D1597" s="896"/>
      <c r="E1597" s="896"/>
      <c r="F1597" s="898"/>
      <c r="G1597" s="898"/>
      <c r="H1597" s="898"/>
      <c r="I1597" s="898"/>
      <c r="J1597" s="898"/>
      <c r="M1597" s="13"/>
      <c r="N1597" s="13"/>
      <c r="O1597" s="13"/>
      <c r="P1597" s="13"/>
      <c r="Q1597" s="13"/>
      <c r="R1597" s="13"/>
      <c r="S1597" s="13"/>
      <c r="T1597" s="13"/>
      <c r="U1597" s="13"/>
      <c r="W1597" s="13" t="s">
        <v>442</v>
      </c>
      <c r="X1597" s="13">
        <f>Y3</f>
        <v>30</v>
      </c>
      <c r="Y1597" s="13" t="str">
        <f>X3</f>
        <v>g</v>
      </c>
      <c r="Z1597" s="13">
        <v>5</v>
      </c>
      <c r="AA1597" s="13">
        <f t="shared" si="408"/>
        <v>150</v>
      </c>
      <c r="AB1597" s="13">
        <v>0</v>
      </c>
      <c r="AC1597" s="13">
        <f t="shared" si="413"/>
        <v>0</v>
      </c>
      <c r="AD1597" s="13">
        <f t="shared" si="410"/>
        <v>5</v>
      </c>
      <c r="AE1597" s="13">
        <f t="shared" si="411"/>
        <v>150</v>
      </c>
    </row>
    <row r="1598" spans="3:31" s="29" customFormat="1" x14ac:dyDescent="0.25">
      <c r="C1598" s="896"/>
      <c r="D1598" s="896"/>
      <c r="E1598" s="896"/>
      <c r="F1598" s="898"/>
      <c r="G1598" s="898"/>
      <c r="H1598" s="898"/>
      <c r="I1598" s="898"/>
      <c r="J1598" s="898"/>
      <c r="M1598" s="13" t="s">
        <v>337</v>
      </c>
      <c r="N1598" s="13">
        <f>SUM(N1590:N1597)</f>
        <v>5053.8751984875507</v>
      </c>
      <c r="O1598" s="13"/>
      <c r="P1598" s="13">
        <f>SUM(P1590:P1597)</f>
        <v>268</v>
      </c>
      <c r="Q1598" s="13">
        <f>SUM(Q1590:Q1597)</f>
        <v>13624.985198487551</v>
      </c>
      <c r="R1598" s="13"/>
      <c r="S1598" s="13"/>
      <c r="T1598" s="13"/>
      <c r="U1598" s="13">
        <f>SUM(U1590:U1597)</f>
        <v>13634.645198487551</v>
      </c>
      <c r="W1598" s="13" t="s">
        <v>337</v>
      </c>
      <c r="X1598" s="13">
        <f>SUM(X1591:X1597)</f>
        <v>257.89999999999998</v>
      </c>
      <c r="Y1598" s="13"/>
      <c r="Z1598" s="13">
        <f>SUM(Z1591:Z1597)</f>
        <v>116</v>
      </c>
      <c r="AA1598" s="13">
        <f>SUM(AA1591:AA1597)</f>
        <v>2660.62</v>
      </c>
      <c r="AB1598" s="13"/>
      <c r="AC1598" s="13"/>
      <c r="AD1598" s="13"/>
      <c r="AE1598" s="13">
        <f>SUM(AE1591:AE1597)</f>
        <v>2676.9328</v>
      </c>
    </row>
    <row r="1599" spans="3:31" s="29" customFormat="1" x14ac:dyDescent="0.25">
      <c r="C1599" s="896" t="s">
        <v>5</v>
      </c>
      <c r="D1599" s="896"/>
      <c r="E1599" s="896"/>
      <c r="F1599" s="897" t="s">
        <v>530</v>
      </c>
      <c r="G1599" s="898"/>
      <c r="H1599" s="898"/>
      <c r="I1599" s="898"/>
      <c r="J1599" s="898"/>
    </row>
    <row r="1600" spans="3:31" s="29" customFormat="1" x14ac:dyDescent="0.25">
      <c r="C1600" s="896"/>
      <c r="D1600" s="896"/>
      <c r="E1600" s="896"/>
      <c r="F1600" s="898"/>
      <c r="G1600" s="898"/>
      <c r="H1600" s="898"/>
      <c r="I1600" s="898"/>
      <c r="J1600" s="898"/>
      <c r="Q1600" s="13" t="s">
        <v>1681</v>
      </c>
      <c r="R1600" s="13">
        <f>U1598</f>
        <v>13634.645198487551</v>
      </c>
      <c r="S1600" s="608" t="s">
        <v>2142</v>
      </c>
      <c r="T1600" s="608">
        <f>(R1600*100)/R1607</f>
        <v>50.639653085308126</v>
      </c>
      <c r="AA1600" s="13" t="s">
        <v>1681</v>
      </c>
      <c r="AB1600" s="13">
        <f>AE1598</f>
        <v>2676.9328</v>
      </c>
      <c r="AC1600" s="608" t="s">
        <v>2142</v>
      </c>
      <c r="AD1600" s="608">
        <f>(AB1600*100)/AB1607</f>
        <v>32.820642712062877</v>
      </c>
    </row>
    <row r="1601" spans="3:31" s="29" customFormat="1" x14ac:dyDescent="0.25">
      <c r="C1601" s="896"/>
      <c r="D1601" s="896"/>
      <c r="E1601" s="896"/>
      <c r="F1601" s="898"/>
      <c r="G1601" s="898"/>
      <c r="H1601" s="898"/>
      <c r="I1601" s="898"/>
      <c r="J1601" s="898"/>
      <c r="Q1601" s="13" t="s">
        <v>2326</v>
      </c>
      <c r="R1601" s="13">
        <f>$AL$26</f>
        <v>1801.715474357886</v>
      </c>
      <c r="AA1601" s="13" t="s">
        <v>2326</v>
      </c>
      <c r="AB1601" s="13">
        <f>$AO$26/2</f>
        <v>476.87414947063905</v>
      </c>
    </row>
    <row r="1602" spans="3:31" s="29" customFormat="1" x14ac:dyDescent="0.25">
      <c r="C1602" s="896" t="s">
        <v>6</v>
      </c>
      <c r="D1602" s="896"/>
      <c r="E1602" s="896"/>
      <c r="F1602" s="898" t="s">
        <v>9</v>
      </c>
      <c r="G1602" s="898"/>
      <c r="H1602" s="898"/>
      <c r="I1602" s="898"/>
      <c r="J1602" s="898"/>
      <c r="Q1602" s="13" t="s">
        <v>2325</v>
      </c>
      <c r="R1602" s="13">
        <f>$AL$27</f>
        <v>75.599999999999994</v>
      </c>
      <c r="AA1602" s="13" t="s">
        <v>2325</v>
      </c>
      <c r="AB1602" s="13">
        <f>$AO$27/4</f>
        <v>18.899999999999999</v>
      </c>
    </row>
    <row r="1603" spans="3:31" s="29" customFormat="1" x14ac:dyDescent="0.25">
      <c r="C1603" s="896"/>
      <c r="D1603" s="896"/>
      <c r="E1603" s="896"/>
      <c r="F1603" s="898"/>
      <c r="G1603" s="898"/>
      <c r="H1603" s="898"/>
      <c r="I1603" s="898"/>
      <c r="J1603" s="898"/>
      <c r="Q1603" s="13" t="s">
        <v>1684</v>
      </c>
      <c r="R1603" s="13">
        <f>$AL$29</f>
        <v>69.543532482306858</v>
      </c>
      <c r="AA1603" s="13" t="s">
        <v>1684</v>
      </c>
      <c r="AB1603" s="13">
        <f>$AO$29</f>
        <v>1547.3435977313275</v>
      </c>
    </row>
    <row r="1604" spans="3:31" s="29" customFormat="1" x14ac:dyDescent="0.25">
      <c r="C1604" s="896"/>
      <c r="D1604" s="896"/>
      <c r="E1604" s="896"/>
      <c r="F1604" s="898"/>
      <c r="G1604" s="898"/>
      <c r="H1604" s="898"/>
      <c r="I1604" s="898"/>
      <c r="J1604" s="898"/>
      <c r="Q1604" s="13" t="s">
        <v>1685</v>
      </c>
      <c r="R1604" s="13">
        <v>0.6</v>
      </c>
      <c r="AA1604" s="13" t="s">
        <v>1685</v>
      </c>
      <c r="AB1604" s="13">
        <v>0.6</v>
      </c>
    </row>
    <row r="1605" spans="3:31" s="29" customFormat="1" x14ac:dyDescent="0.25">
      <c r="C1605" s="896" t="s">
        <v>7</v>
      </c>
      <c r="D1605" s="896"/>
      <c r="E1605" s="896"/>
      <c r="F1605" s="897" t="s">
        <v>629</v>
      </c>
      <c r="G1605" s="898"/>
      <c r="H1605" s="898"/>
      <c r="I1605" s="898"/>
      <c r="J1605" s="898"/>
      <c r="Q1605" s="13" t="s">
        <v>1708</v>
      </c>
      <c r="R1605" s="13">
        <f>(SUM(R1600:R1603)*R1604)+SUM(R1600:R1603)</f>
        <v>24930.406728524391</v>
      </c>
      <c r="AA1605" s="13" t="s">
        <v>1708</v>
      </c>
      <c r="AB1605" s="13">
        <f>(SUM(AB1600:AB1603)*AB1604)+SUM(AB1600:AB1603)</f>
        <v>7552.0808755231465</v>
      </c>
    </row>
    <row r="1606" spans="3:31" s="29" customFormat="1" x14ac:dyDescent="0.25">
      <c r="C1606" s="896"/>
      <c r="D1606" s="896"/>
      <c r="E1606" s="896"/>
      <c r="F1606" s="898"/>
      <c r="G1606" s="898"/>
      <c r="H1606" s="898"/>
      <c r="I1606" s="898"/>
      <c r="J1606" s="898"/>
      <c r="Q1606" s="13" t="s">
        <v>2130</v>
      </c>
      <c r="R1606" s="13">
        <f>R1605*0.08</f>
        <v>1994.4325382819513</v>
      </c>
      <c r="AA1606" s="13" t="s">
        <v>2130</v>
      </c>
      <c r="AB1606" s="13">
        <f>AB1605*0.08</f>
        <v>604.16647004185177</v>
      </c>
    </row>
    <row r="1607" spans="3:31" s="29" customFormat="1" x14ac:dyDescent="0.25">
      <c r="C1607" s="896"/>
      <c r="D1607" s="896"/>
      <c r="E1607" s="896"/>
      <c r="F1607" s="898"/>
      <c r="G1607" s="898"/>
      <c r="H1607" s="898"/>
      <c r="I1607" s="898"/>
      <c r="J1607" s="898"/>
      <c r="Q1607" s="13" t="s">
        <v>1686</v>
      </c>
      <c r="R1607" s="13">
        <f>SUM(R1605+R1606)</f>
        <v>26924.839266806342</v>
      </c>
      <c r="AA1607" s="13" t="s">
        <v>1686</v>
      </c>
      <c r="AB1607" s="13">
        <f>SUM(AB1605+AB1606)</f>
        <v>8156.2473455649979</v>
      </c>
    </row>
    <row r="1608" spans="3:31" s="29" customFormat="1" x14ac:dyDescent="0.25"/>
    <row r="1609" spans="3:31" s="29" customFormat="1" x14ac:dyDescent="0.25"/>
    <row r="1610" spans="3:31" s="29" customFormat="1" x14ac:dyDescent="0.25">
      <c r="C1610" s="910" t="s">
        <v>8</v>
      </c>
      <c r="D1610" s="910"/>
      <c r="E1610" s="910"/>
      <c r="F1610" s="910"/>
      <c r="G1610" s="910"/>
      <c r="H1610" s="910"/>
      <c r="I1610" s="910"/>
      <c r="J1610" s="910"/>
    </row>
    <row r="1611" spans="3:31" s="29" customFormat="1" x14ac:dyDescent="0.25">
      <c r="C1611" s="895" t="s">
        <v>0</v>
      </c>
      <c r="D1611" s="895"/>
      <c r="E1611" s="895"/>
      <c r="F1611" s="895" t="s">
        <v>1</v>
      </c>
      <c r="G1611" s="895"/>
      <c r="H1611" s="895"/>
      <c r="I1611" s="895"/>
      <c r="J1611" s="895"/>
    </row>
    <row r="1612" spans="3:31" s="29" customFormat="1" x14ac:dyDescent="0.25">
      <c r="C1612" s="896" t="s">
        <v>2</v>
      </c>
      <c r="D1612" s="896"/>
      <c r="E1612" s="896"/>
      <c r="F1612" s="898" t="s">
        <v>630</v>
      </c>
      <c r="G1612" s="898"/>
      <c r="H1612" s="898"/>
      <c r="I1612" s="898"/>
      <c r="J1612" s="898"/>
      <c r="M1612" s="12" t="s">
        <v>336</v>
      </c>
      <c r="N1612" s="12" t="s">
        <v>174</v>
      </c>
      <c r="O1612" s="12" t="s">
        <v>248</v>
      </c>
      <c r="P1612" s="12" t="s">
        <v>176</v>
      </c>
      <c r="Q1612" s="12" t="s">
        <v>337</v>
      </c>
      <c r="R1612" s="298" t="s">
        <v>1641</v>
      </c>
      <c r="S1612" s="298" t="s">
        <v>1642</v>
      </c>
      <c r="T1612" s="298" t="s">
        <v>1643</v>
      </c>
      <c r="U1612" s="298" t="s">
        <v>1644</v>
      </c>
      <c r="W1612" s="1048" t="s">
        <v>1475</v>
      </c>
      <c r="X1612" s="1048"/>
      <c r="Y1612" s="1048"/>
      <c r="Z1612" s="1048"/>
      <c r="AA1612" s="1048"/>
      <c r="AB1612" s="1048"/>
      <c r="AC1612" s="1048"/>
      <c r="AD1612" s="1048"/>
      <c r="AE1612" s="1048"/>
    </row>
    <row r="1613" spans="3:31" s="29" customFormat="1" x14ac:dyDescent="0.25">
      <c r="C1613" s="896"/>
      <c r="D1613" s="896"/>
      <c r="E1613" s="896"/>
      <c r="F1613" s="898"/>
      <c r="G1613" s="898"/>
      <c r="H1613" s="898"/>
      <c r="I1613" s="898"/>
      <c r="J1613" s="898"/>
      <c r="M1613" s="13" t="s">
        <v>344</v>
      </c>
      <c r="N1613" s="13">
        <f>F23</f>
        <v>2073.8723984875514</v>
      </c>
      <c r="O1613" s="13" t="str">
        <f>D23</f>
        <v>g</v>
      </c>
      <c r="P1613" s="13">
        <v>100</v>
      </c>
      <c r="Q1613" s="13">
        <f>N1613</f>
        <v>2073.8723984875514</v>
      </c>
      <c r="R1613" s="13">
        <v>0</v>
      </c>
      <c r="S1613" s="13">
        <f>P1613*R1613</f>
        <v>0</v>
      </c>
      <c r="T1613" s="13">
        <f>P1613-S1613</f>
        <v>100</v>
      </c>
      <c r="U1613" s="13">
        <f>Q1613+((S1613*Q1613)/P1613)</f>
        <v>2073.8723984875514</v>
      </c>
      <c r="W1613" s="298" t="s">
        <v>336</v>
      </c>
      <c r="X1613" s="298" t="s">
        <v>174</v>
      </c>
      <c r="Y1613" s="298" t="s">
        <v>248</v>
      </c>
      <c r="Z1613" s="298" t="s">
        <v>176</v>
      </c>
      <c r="AA1613" s="298" t="s">
        <v>337</v>
      </c>
      <c r="AB1613" s="298" t="s">
        <v>1641</v>
      </c>
      <c r="AC1613" s="298" t="s">
        <v>1642</v>
      </c>
      <c r="AD1613" s="298" t="s">
        <v>1643</v>
      </c>
      <c r="AE1613" s="298" t="s">
        <v>1644</v>
      </c>
    </row>
    <row r="1614" spans="3:31" s="29" customFormat="1" x14ac:dyDescent="0.25">
      <c r="C1614" s="896"/>
      <c r="D1614" s="896"/>
      <c r="E1614" s="896"/>
      <c r="F1614" s="898"/>
      <c r="G1614" s="898"/>
      <c r="H1614" s="898"/>
      <c r="I1614" s="898"/>
      <c r="J1614" s="898"/>
      <c r="M1614" s="13" t="s">
        <v>340</v>
      </c>
      <c r="N1614" s="13">
        <f>Y20</f>
        <v>0.64</v>
      </c>
      <c r="O1614" s="13" t="str">
        <f>X20</f>
        <v>g</v>
      </c>
      <c r="P1614" s="13">
        <v>2</v>
      </c>
      <c r="Q1614" s="13">
        <f>N1614*P1614</f>
        <v>1.28</v>
      </c>
      <c r="R1614" s="13">
        <v>0</v>
      </c>
      <c r="S1614" s="13">
        <f t="shared" ref="S1614:S1615" si="414">P1614*R1614</f>
        <v>0</v>
      </c>
      <c r="T1614" s="13">
        <f t="shared" ref="T1614:T1618" si="415">P1614-S1614</f>
        <v>2</v>
      </c>
      <c r="U1614" s="13">
        <f t="shared" ref="U1614:U1618" si="416">Q1614+((S1614*Q1614)/P1614)</f>
        <v>1.28</v>
      </c>
      <c r="W1614" s="13" t="s">
        <v>546</v>
      </c>
      <c r="X1614" s="13">
        <f>AE3</f>
        <v>49.18</v>
      </c>
      <c r="Y1614" s="13" t="str">
        <f>AD3</f>
        <v>mL</v>
      </c>
      <c r="Z1614" s="13">
        <v>20</v>
      </c>
      <c r="AA1614" s="13">
        <f>X1614*Z1614</f>
        <v>983.6</v>
      </c>
      <c r="AB1614" s="13">
        <v>0</v>
      </c>
      <c r="AC1614" s="13">
        <f>Z1614*AB1614</f>
        <v>0</v>
      </c>
      <c r="AD1614" s="13">
        <f>Z1614-AC1614</f>
        <v>20</v>
      </c>
      <c r="AE1614" s="13">
        <f>AA1614+((AC1614*AA1614)/Z1614)</f>
        <v>983.6</v>
      </c>
    </row>
    <row r="1615" spans="3:31" s="29" customFormat="1" x14ac:dyDescent="0.25">
      <c r="C1615" s="895" t="s">
        <v>0</v>
      </c>
      <c r="D1615" s="895"/>
      <c r="E1615" s="895"/>
      <c r="F1615" s="895" t="s">
        <v>1</v>
      </c>
      <c r="G1615" s="895"/>
      <c r="H1615" s="895"/>
      <c r="I1615" s="895"/>
      <c r="J1615" s="895"/>
      <c r="M1615" s="13" t="s">
        <v>346</v>
      </c>
      <c r="N1615" s="13">
        <f>P3</f>
        <v>7</v>
      </c>
      <c r="O1615" s="13" t="str">
        <f>O3</f>
        <v>g</v>
      </c>
      <c r="P1615" s="13">
        <v>6</v>
      </c>
      <c r="Q1615" s="13">
        <f>N1615*P1615</f>
        <v>42</v>
      </c>
      <c r="R1615" s="13">
        <f>AJ2</f>
        <v>0.23</v>
      </c>
      <c r="S1615" s="13">
        <f t="shared" si="414"/>
        <v>1.3800000000000001</v>
      </c>
      <c r="T1615" s="13">
        <f t="shared" si="415"/>
        <v>4.62</v>
      </c>
      <c r="U1615" s="13">
        <f t="shared" si="416"/>
        <v>51.660000000000004</v>
      </c>
      <c r="W1615" s="13" t="s">
        <v>346</v>
      </c>
      <c r="X1615" s="13">
        <f>P3</f>
        <v>7</v>
      </c>
      <c r="Y1615" s="13" t="str">
        <f>O3</f>
        <v>g</v>
      </c>
      <c r="Z1615" s="13">
        <v>4</v>
      </c>
      <c r="AA1615" s="13">
        <f t="shared" ref="AA1615:AA1620" si="417">X1615*Z1615</f>
        <v>28</v>
      </c>
      <c r="AB1615" s="13">
        <f>AJ2</f>
        <v>0.23</v>
      </c>
      <c r="AC1615" s="13">
        <f t="shared" ref="AC1615:AC1616" si="418">Z1615*AB1615</f>
        <v>0.92</v>
      </c>
      <c r="AD1615" s="13">
        <f t="shared" ref="AD1615:AD1620" si="419">Z1615-AC1615</f>
        <v>3.08</v>
      </c>
      <c r="AE1615" s="13">
        <f t="shared" ref="AE1615:AE1620" si="420">AA1615+((AC1615*AA1615)/Z1615)</f>
        <v>34.44</v>
      </c>
    </row>
    <row r="1616" spans="3:31" s="29" customFormat="1" x14ac:dyDescent="0.25">
      <c r="C1616" s="896" t="s">
        <v>3</v>
      </c>
      <c r="D1616" s="896"/>
      <c r="E1616" s="896"/>
      <c r="F1616" s="897" t="s">
        <v>632</v>
      </c>
      <c r="G1616" s="898"/>
      <c r="H1616" s="898"/>
      <c r="I1616" s="898"/>
      <c r="J1616" s="898"/>
      <c r="M1616" s="13" t="s">
        <v>527</v>
      </c>
      <c r="N1616" s="13">
        <f>AE1621</f>
        <v>5787.2000000000007</v>
      </c>
      <c r="O1616" s="13" t="s">
        <v>1388</v>
      </c>
      <c r="P1616" s="13">
        <v>110</v>
      </c>
      <c r="Q1616" s="13">
        <f>N1616</f>
        <v>5787.2000000000007</v>
      </c>
      <c r="R1616" s="13">
        <v>0</v>
      </c>
      <c r="S1616" s="13">
        <f>P1616*R1616</f>
        <v>0</v>
      </c>
      <c r="T1616" s="13">
        <f t="shared" si="415"/>
        <v>110</v>
      </c>
      <c r="U1616" s="13">
        <f t="shared" si="416"/>
        <v>5787.2000000000007</v>
      </c>
      <c r="W1616" s="13" t="s">
        <v>430</v>
      </c>
      <c r="X1616" s="13">
        <f>P10</f>
        <v>0.7</v>
      </c>
      <c r="Y1616" s="13" t="str">
        <f>O10</f>
        <v>g</v>
      </c>
      <c r="Z1616" s="13">
        <v>40</v>
      </c>
      <c r="AA1616" s="13">
        <f t="shared" si="417"/>
        <v>28</v>
      </c>
      <c r="AB1616" s="13">
        <f>AJ7</f>
        <v>0.15</v>
      </c>
      <c r="AC1616" s="13">
        <f t="shared" si="418"/>
        <v>6</v>
      </c>
      <c r="AD1616" s="13">
        <f t="shared" si="419"/>
        <v>34</v>
      </c>
      <c r="AE1616" s="13">
        <f t="shared" si="420"/>
        <v>32.200000000000003</v>
      </c>
    </row>
    <row r="1617" spans="3:31" s="29" customFormat="1" x14ac:dyDescent="0.25">
      <c r="C1617" s="896"/>
      <c r="D1617" s="896"/>
      <c r="E1617" s="896"/>
      <c r="F1617" s="898"/>
      <c r="G1617" s="898"/>
      <c r="H1617" s="898"/>
      <c r="I1617" s="898"/>
      <c r="J1617" s="898"/>
      <c r="M1617" s="13" t="s">
        <v>533</v>
      </c>
      <c r="N1617" s="13">
        <f>AB5</f>
        <v>3.6</v>
      </c>
      <c r="O1617" s="13" t="str">
        <f>AA5</f>
        <v>g</v>
      </c>
      <c r="P1617" s="13">
        <v>80</v>
      </c>
      <c r="Q1617" s="13">
        <f>N1617*P1617</f>
        <v>288</v>
      </c>
      <c r="R1617" s="13">
        <v>0</v>
      </c>
      <c r="S1617" s="13">
        <f t="shared" ref="S1617:S1618" si="421">P1617*R1617</f>
        <v>0</v>
      </c>
      <c r="T1617" s="13">
        <f t="shared" si="415"/>
        <v>80</v>
      </c>
      <c r="U1617" s="13">
        <f t="shared" si="416"/>
        <v>288</v>
      </c>
      <c r="W1617" s="13" t="s">
        <v>429</v>
      </c>
      <c r="X1617" s="13">
        <f>P29</f>
        <v>1.8</v>
      </c>
      <c r="Y1617" s="13" t="str">
        <f>O29</f>
        <v>g</v>
      </c>
      <c r="Z1617" s="13">
        <v>60</v>
      </c>
      <c r="AA1617" s="13">
        <f t="shared" si="417"/>
        <v>108</v>
      </c>
      <c r="AB1617" s="13">
        <f>AJ18</f>
        <v>0.05</v>
      </c>
      <c r="AC1617" s="13">
        <f>Z1617*AB1617</f>
        <v>3</v>
      </c>
      <c r="AD1617" s="13">
        <f t="shared" si="419"/>
        <v>57</v>
      </c>
      <c r="AE1617" s="13">
        <f t="shared" si="420"/>
        <v>113.4</v>
      </c>
    </row>
    <row r="1618" spans="3:31" s="29" customFormat="1" x14ac:dyDescent="0.25">
      <c r="C1618" s="896"/>
      <c r="D1618" s="896"/>
      <c r="E1618" s="896"/>
      <c r="F1618" s="898"/>
      <c r="G1618" s="898"/>
      <c r="H1618" s="898"/>
      <c r="I1618" s="898"/>
      <c r="J1618" s="898"/>
      <c r="M1618" s="13" t="s">
        <v>546</v>
      </c>
      <c r="N1618" s="13">
        <f>AE3</f>
        <v>49.18</v>
      </c>
      <c r="O1618" s="13" t="str">
        <f>AD3</f>
        <v>mL</v>
      </c>
      <c r="P1618" s="13">
        <v>20</v>
      </c>
      <c r="Q1618" s="13">
        <f>N1618*P1618</f>
        <v>983.6</v>
      </c>
      <c r="R1618" s="13">
        <v>0</v>
      </c>
      <c r="S1618" s="13">
        <f t="shared" si="421"/>
        <v>0</v>
      </c>
      <c r="T1618" s="13">
        <f t="shared" si="415"/>
        <v>20</v>
      </c>
      <c r="U1618" s="13">
        <f t="shared" si="416"/>
        <v>983.6</v>
      </c>
      <c r="W1618" s="13" t="s">
        <v>470</v>
      </c>
      <c r="X1618" s="13">
        <f>Y15</f>
        <v>159</v>
      </c>
      <c r="Y1618" s="13" t="str">
        <f>X15</f>
        <v>g</v>
      </c>
      <c r="Z1618" s="13">
        <v>15</v>
      </c>
      <c r="AA1618" s="13">
        <f t="shared" si="417"/>
        <v>2385</v>
      </c>
      <c r="AB1618" s="13">
        <v>0</v>
      </c>
      <c r="AC1618" s="13">
        <f t="shared" ref="AC1618:AC1620" si="422">Z1618*AB1618</f>
        <v>0</v>
      </c>
      <c r="AD1618" s="13">
        <f t="shared" si="419"/>
        <v>15</v>
      </c>
      <c r="AE1618" s="13">
        <f t="shared" si="420"/>
        <v>2385</v>
      </c>
    </row>
    <row r="1619" spans="3:31" s="29" customFormat="1" x14ac:dyDescent="0.25">
      <c r="C1619" s="896" t="s">
        <v>4</v>
      </c>
      <c r="D1619" s="896"/>
      <c r="E1619" s="896"/>
      <c r="F1619" s="898" t="s">
        <v>15</v>
      </c>
      <c r="G1619" s="898"/>
      <c r="H1619" s="898"/>
      <c r="I1619" s="898"/>
      <c r="J1619" s="898"/>
      <c r="M1619" s="13"/>
      <c r="N1619" s="13"/>
      <c r="O1619" s="13"/>
      <c r="P1619" s="13"/>
      <c r="Q1619" s="13"/>
      <c r="R1619" s="13"/>
      <c r="S1619" s="13"/>
      <c r="T1619" s="13"/>
      <c r="U1619" s="13"/>
      <c r="W1619" s="13" t="s">
        <v>433</v>
      </c>
      <c r="X1619" s="13">
        <f>Y18</f>
        <v>223.57</v>
      </c>
      <c r="Y1619" s="13" t="str">
        <f>X18</f>
        <v>g</v>
      </c>
      <c r="Z1619" s="13">
        <v>8</v>
      </c>
      <c r="AA1619" s="13">
        <f t="shared" si="417"/>
        <v>1788.56</v>
      </c>
      <c r="AB1619" s="13">
        <v>0</v>
      </c>
      <c r="AC1619" s="13">
        <f t="shared" si="422"/>
        <v>0</v>
      </c>
      <c r="AD1619" s="13">
        <f t="shared" si="419"/>
        <v>8</v>
      </c>
      <c r="AE1619" s="13">
        <f t="shared" si="420"/>
        <v>1788.56</v>
      </c>
    </row>
    <row r="1620" spans="3:31" s="29" customFormat="1" x14ac:dyDescent="0.25">
      <c r="C1620" s="896"/>
      <c r="D1620" s="896"/>
      <c r="E1620" s="896"/>
      <c r="F1620" s="898"/>
      <c r="G1620" s="898"/>
      <c r="H1620" s="898"/>
      <c r="I1620" s="898"/>
      <c r="J1620" s="898"/>
      <c r="M1620" s="13"/>
      <c r="N1620" s="13"/>
      <c r="O1620" s="13"/>
      <c r="P1620" s="13"/>
      <c r="Q1620" s="13"/>
      <c r="R1620" s="13"/>
      <c r="S1620" s="13"/>
      <c r="T1620" s="13"/>
      <c r="U1620" s="13"/>
      <c r="W1620" s="13" t="s">
        <v>442</v>
      </c>
      <c r="X1620" s="13">
        <f>Y3</f>
        <v>30</v>
      </c>
      <c r="Y1620" s="13" t="str">
        <f>X3</f>
        <v>g</v>
      </c>
      <c r="Z1620" s="13">
        <v>15</v>
      </c>
      <c r="AA1620" s="13">
        <f t="shared" si="417"/>
        <v>450</v>
      </c>
      <c r="AB1620" s="13">
        <v>0</v>
      </c>
      <c r="AC1620" s="13">
        <f t="shared" si="422"/>
        <v>0</v>
      </c>
      <c r="AD1620" s="13">
        <f t="shared" si="419"/>
        <v>15</v>
      </c>
      <c r="AE1620" s="13">
        <f t="shared" si="420"/>
        <v>450</v>
      </c>
    </row>
    <row r="1621" spans="3:31" s="29" customFormat="1" x14ac:dyDescent="0.25">
      <c r="C1621" s="896"/>
      <c r="D1621" s="896"/>
      <c r="E1621" s="896"/>
      <c r="F1621" s="898"/>
      <c r="G1621" s="898"/>
      <c r="H1621" s="898"/>
      <c r="I1621" s="898"/>
      <c r="J1621" s="898"/>
      <c r="M1621" s="13" t="s">
        <v>337</v>
      </c>
      <c r="N1621" s="13">
        <f>SUM(N1613:N1620)</f>
        <v>7921.4923984875531</v>
      </c>
      <c r="O1621" s="13"/>
      <c r="P1621" s="13">
        <f>SUM(P1613:P1620)</f>
        <v>318</v>
      </c>
      <c r="Q1621" s="13">
        <f>SUM(Q1613:Q1620)</f>
        <v>9175.9523984875523</v>
      </c>
      <c r="R1621" s="13"/>
      <c r="S1621" s="13"/>
      <c r="T1621" s="13"/>
      <c r="U1621" s="13">
        <f>SUM(U1613:U1620)</f>
        <v>9185.6123984875521</v>
      </c>
      <c r="W1621" s="13" t="s">
        <v>337</v>
      </c>
      <c r="X1621" s="13">
        <f>SUM(X1614:X1620)</f>
        <v>471.25</v>
      </c>
      <c r="Y1621" s="13"/>
      <c r="Z1621" s="13">
        <f>SUM(Z1614:Z1620)</f>
        <v>162</v>
      </c>
      <c r="AA1621" s="13">
        <f>SUM(AA1614:AA1620)</f>
        <v>5771.16</v>
      </c>
      <c r="AB1621" s="13"/>
      <c r="AC1621" s="13"/>
      <c r="AD1621" s="13"/>
      <c r="AE1621" s="13">
        <f>SUM(AE1614:AE1620)</f>
        <v>5787.2000000000007</v>
      </c>
    </row>
    <row r="1622" spans="3:31" s="29" customFormat="1" x14ac:dyDescent="0.25">
      <c r="C1622" s="896" t="s">
        <v>5</v>
      </c>
      <c r="D1622" s="896"/>
      <c r="E1622" s="896"/>
      <c r="F1622" s="897" t="s">
        <v>198</v>
      </c>
      <c r="G1622" s="898"/>
      <c r="H1622" s="898"/>
      <c r="I1622" s="898"/>
      <c r="J1622" s="898"/>
    </row>
    <row r="1623" spans="3:31" s="29" customFormat="1" x14ac:dyDescent="0.25">
      <c r="C1623" s="896"/>
      <c r="D1623" s="896"/>
      <c r="E1623" s="896"/>
      <c r="F1623" s="898"/>
      <c r="G1623" s="898"/>
      <c r="H1623" s="898"/>
      <c r="I1623" s="898"/>
      <c r="J1623" s="898"/>
      <c r="Q1623" s="13" t="s">
        <v>1681</v>
      </c>
      <c r="R1623" s="13">
        <f>U1621</f>
        <v>9185.6123984875521</v>
      </c>
      <c r="S1623" s="608" t="s">
        <v>2142</v>
      </c>
      <c r="T1623" s="608">
        <f>(R1623*100)/R1630</f>
        <v>47.749935501719875</v>
      </c>
      <c r="AA1623" s="13" t="s">
        <v>1681</v>
      </c>
      <c r="AB1623" s="13">
        <f>AE1621</f>
        <v>5787.2000000000007</v>
      </c>
      <c r="AC1623" s="608" t="s">
        <v>2142</v>
      </c>
      <c r="AD1623" s="608">
        <f>(AB1623*100)/AB1630</f>
        <v>42.770602448040002</v>
      </c>
    </row>
    <row r="1624" spans="3:31" s="29" customFormat="1" x14ac:dyDescent="0.25">
      <c r="C1624" s="896"/>
      <c r="D1624" s="896"/>
      <c r="E1624" s="896"/>
      <c r="F1624" s="898"/>
      <c r="G1624" s="898"/>
      <c r="H1624" s="898"/>
      <c r="I1624" s="898"/>
      <c r="J1624" s="898"/>
      <c r="Q1624" s="13" t="s">
        <v>2326</v>
      </c>
      <c r="R1624" s="13">
        <f>$AL$26</f>
        <v>1801.715474357886</v>
      </c>
      <c r="AA1624" s="13" t="s">
        <v>2326</v>
      </c>
      <c r="AB1624" s="13">
        <f>$AO$26/2</f>
        <v>476.87414947063905</v>
      </c>
    </row>
    <row r="1625" spans="3:31" s="29" customFormat="1" x14ac:dyDescent="0.25">
      <c r="C1625" s="896" t="s">
        <v>6</v>
      </c>
      <c r="D1625" s="896"/>
      <c r="E1625" s="896"/>
      <c r="F1625" s="898" t="s">
        <v>9</v>
      </c>
      <c r="G1625" s="898"/>
      <c r="H1625" s="898"/>
      <c r="I1625" s="898"/>
      <c r="J1625" s="898"/>
      <c r="Q1625" s="13" t="s">
        <v>2325</v>
      </c>
      <c r="R1625" s="13">
        <f>$AL$27</f>
        <v>75.599999999999994</v>
      </c>
      <c r="AA1625" s="13" t="s">
        <v>2325</v>
      </c>
      <c r="AB1625" s="13">
        <f>$AO$27/4</f>
        <v>18.899999999999999</v>
      </c>
    </row>
    <row r="1626" spans="3:31" s="29" customFormat="1" x14ac:dyDescent="0.25">
      <c r="C1626" s="896"/>
      <c r="D1626" s="896"/>
      <c r="E1626" s="896"/>
      <c r="F1626" s="898"/>
      <c r="G1626" s="898"/>
      <c r="H1626" s="898"/>
      <c r="I1626" s="898"/>
      <c r="J1626" s="898"/>
      <c r="Q1626" s="13" t="s">
        <v>1684</v>
      </c>
      <c r="R1626" s="13">
        <f>$AL$29</f>
        <v>69.543532482306858</v>
      </c>
      <c r="AA1626" s="13" t="s">
        <v>1684</v>
      </c>
      <c r="AB1626" s="13">
        <f>$AO$29</f>
        <v>1547.3435977313275</v>
      </c>
    </row>
    <row r="1627" spans="3:31" s="29" customFormat="1" x14ac:dyDescent="0.25">
      <c r="C1627" s="896"/>
      <c r="D1627" s="896"/>
      <c r="E1627" s="896"/>
      <c r="F1627" s="898"/>
      <c r="G1627" s="898"/>
      <c r="H1627" s="898"/>
      <c r="I1627" s="898"/>
      <c r="J1627" s="898"/>
      <c r="Q1627" s="13" t="s">
        <v>1685</v>
      </c>
      <c r="R1627" s="13">
        <v>0.6</v>
      </c>
      <c r="AA1627" s="13" t="s">
        <v>1685</v>
      </c>
      <c r="AB1627" s="13">
        <v>0.6</v>
      </c>
    </row>
    <row r="1628" spans="3:31" s="29" customFormat="1" x14ac:dyDescent="0.25">
      <c r="C1628" s="896" t="s">
        <v>7</v>
      </c>
      <c r="D1628" s="896"/>
      <c r="E1628" s="896"/>
      <c r="F1628" s="897" t="s">
        <v>631</v>
      </c>
      <c r="G1628" s="898"/>
      <c r="H1628" s="898"/>
      <c r="I1628" s="898"/>
      <c r="J1628" s="898"/>
      <c r="Q1628" s="13" t="s">
        <v>1708</v>
      </c>
      <c r="R1628" s="13">
        <f>(SUM(R1623:R1626)*R1627)+SUM(R1623:R1626)</f>
        <v>17811.954248524395</v>
      </c>
      <c r="AA1628" s="13" t="s">
        <v>1708</v>
      </c>
      <c r="AB1628" s="13">
        <f>(SUM(AB1623:AB1626)*AB1627)+SUM(AB1623:AB1626)</f>
        <v>12528.508395523146</v>
      </c>
    </row>
    <row r="1629" spans="3:31" s="29" customFormat="1" x14ac:dyDescent="0.25">
      <c r="C1629" s="896"/>
      <c r="D1629" s="896"/>
      <c r="E1629" s="896"/>
      <c r="F1629" s="898"/>
      <c r="G1629" s="898"/>
      <c r="H1629" s="898"/>
      <c r="I1629" s="898"/>
      <c r="J1629" s="898"/>
      <c r="Q1629" s="13" t="s">
        <v>2130</v>
      </c>
      <c r="R1629" s="13">
        <f>R1628*0.08</f>
        <v>1424.9563398819516</v>
      </c>
      <c r="AA1629" s="13" t="s">
        <v>2130</v>
      </c>
      <c r="AB1629" s="13">
        <f>AB1628*0.08</f>
        <v>1002.2806716418517</v>
      </c>
    </row>
    <row r="1630" spans="3:31" s="29" customFormat="1" x14ac:dyDescent="0.25">
      <c r="C1630" s="896"/>
      <c r="D1630" s="896"/>
      <c r="E1630" s="896"/>
      <c r="F1630" s="898"/>
      <c r="G1630" s="898"/>
      <c r="H1630" s="898"/>
      <c r="I1630" s="898"/>
      <c r="J1630" s="898"/>
      <c r="Q1630" s="13" t="s">
        <v>1686</v>
      </c>
      <c r="R1630" s="13">
        <f>SUM(R1628+R1629)</f>
        <v>19236.910588406347</v>
      </c>
      <c r="AA1630" s="13" t="s">
        <v>1686</v>
      </c>
      <c r="AB1630" s="13">
        <f>SUM(AB1628+AB1629)</f>
        <v>13530.789067164997</v>
      </c>
    </row>
    <row r="1631" spans="3:31" s="29" customFormat="1" x14ac:dyDescent="0.25"/>
    <row r="1632" spans="3:31" s="29" customFormat="1" x14ac:dyDescent="0.25"/>
    <row r="1633" spans="3:31" s="29" customFormat="1" x14ac:dyDescent="0.25">
      <c r="C1633" s="910" t="s">
        <v>8</v>
      </c>
      <c r="D1633" s="910"/>
      <c r="E1633" s="910"/>
      <c r="F1633" s="910"/>
      <c r="G1633" s="910"/>
      <c r="H1633" s="910"/>
      <c r="I1633" s="910"/>
      <c r="J1633" s="910"/>
    </row>
    <row r="1634" spans="3:31" s="29" customFormat="1" x14ac:dyDescent="0.25">
      <c r="C1634" s="895" t="s">
        <v>0</v>
      </c>
      <c r="D1634" s="895"/>
      <c r="E1634" s="895"/>
      <c r="F1634" s="895" t="s">
        <v>1</v>
      </c>
      <c r="G1634" s="895"/>
      <c r="H1634" s="895"/>
      <c r="I1634" s="895"/>
      <c r="J1634" s="895"/>
    </row>
    <row r="1635" spans="3:31" s="29" customFormat="1" x14ac:dyDescent="0.25">
      <c r="C1635" s="896" t="s">
        <v>2</v>
      </c>
      <c r="D1635" s="896"/>
      <c r="E1635" s="896"/>
      <c r="F1635" s="898" t="s">
        <v>325</v>
      </c>
      <c r="G1635" s="898"/>
      <c r="H1635" s="898"/>
      <c r="I1635" s="898"/>
      <c r="J1635" s="898"/>
      <c r="M1635" s="12" t="s">
        <v>336</v>
      </c>
      <c r="N1635" s="12" t="s">
        <v>174</v>
      </c>
      <c r="O1635" s="12" t="s">
        <v>248</v>
      </c>
      <c r="P1635" s="12" t="s">
        <v>176</v>
      </c>
      <c r="Q1635" s="12" t="s">
        <v>337</v>
      </c>
      <c r="R1635" s="298" t="s">
        <v>1641</v>
      </c>
      <c r="S1635" s="298" t="s">
        <v>1642</v>
      </c>
      <c r="T1635" s="298" t="s">
        <v>1643</v>
      </c>
      <c r="U1635" s="298" t="s">
        <v>1644</v>
      </c>
      <c r="W1635" s="1048" t="s">
        <v>1467</v>
      </c>
      <c r="X1635" s="1048"/>
      <c r="Y1635" s="1048"/>
      <c r="Z1635" s="1048"/>
      <c r="AA1635" s="1048"/>
      <c r="AB1635" s="1048"/>
      <c r="AC1635" s="1048"/>
      <c r="AD1635" s="1048"/>
      <c r="AE1635" s="1048"/>
    </row>
    <row r="1636" spans="3:31" s="29" customFormat="1" x14ac:dyDescent="0.25">
      <c r="C1636" s="896"/>
      <c r="D1636" s="896"/>
      <c r="E1636" s="896"/>
      <c r="F1636" s="898"/>
      <c r="G1636" s="898"/>
      <c r="H1636" s="898"/>
      <c r="I1636" s="898"/>
      <c r="J1636" s="898"/>
      <c r="M1636" s="13" t="s">
        <v>344</v>
      </c>
      <c r="N1636" s="13">
        <f>F23</f>
        <v>2073.8723984875514</v>
      </c>
      <c r="O1636" s="13" t="str">
        <f>D23</f>
        <v>g</v>
      </c>
      <c r="P1636" s="13">
        <v>100</v>
      </c>
      <c r="Q1636" s="13">
        <f>N1636</f>
        <v>2073.8723984875514</v>
      </c>
      <c r="R1636" s="13">
        <v>0</v>
      </c>
      <c r="S1636" s="13">
        <f>P1636*R1636</f>
        <v>0</v>
      </c>
      <c r="T1636" s="13">
        <f>P1636-S1636</f>
        <v>100</v>
      </c>
      <c r="U1636" s="13">
        <f>Q1636+((S1636*Q1636)/P1636)</f>
        <v>2073.8723984875514</v>
      </c>
      <c r="W1636" s="298" t="s">
        <v>336</v>
      </c>
      <c r="X1636" s="298" t="s">
        <v>174</v>
      </c>
      <c r="Y1636" s="298" t="s">
        <v>248</v>
      </c>
      <c r="Z1636" s="298" t="s">
        <v>176</v>
      </c>
      <c r="AA1636" s="298" t="s">
        <v>337</v>
      </c>
      <c r="AB1636" s="298" t="s">
        <v>1641</v>
      </c>
      <c r="AC1636" s="298" t="s">
        <v>1642</v>
      </c>
      <c r="AD1636" s="298" t="s">
        <v>1643</v>
      </c>
      <c r="AE1636" s="298" t="s">
        <v>1644</v>
      </c>
    </row>
    <row r="1637" spans="3:31" s="29" customFormat="1" x14ac:dyDescent="0.25">
      <c r="C1637" s="896"/>
      <c r="D1637" s="896"/>
      <c r="E1637" s="896"/>
      <c r="F1637" s="898"/>
      <c r="G1637" s="898"/>
      <c r="H1637" s="898"/>
      <c r="I1637" s="898"/>
      <c r="J1637" s="898"/>
      <c r="M1637" s="13" t="s">
        <v>340</v>
      </c>
      <c r="N1637" s="13">
        <f>Y20</f>
        <v>0.64</v>
      </c>
      <c r="O1637" s="13" t="str">
        <f>X20</f>
        <v>g</v>
      </c>
      <c r="P1637" s="13">
        <v>2</v>
      </c>
      <c r="Q1637" s="13">
        <f t="shared" ref="Q1637:Q1646" si="423">N1637*P1637</f>
        <v>1.28</v>
      </c>
      <c r="R1637" s="13">
        <v>0</v>
      </c>
      <c r="S1637" s="13">
        <f t="shared" ref="S1637:S1638" si="424">P1637*R1637</f>
        <v>0</v>
      </c>
      <c r="T1637" s="13">
        <f t="shared" ref="T1637:T1641" si="425">P1637-S1637</f>
        <v>2</v>
      </c>
      <c r="U1637" s="13">
        <f t="shared" ref="U1637:U1641" si="426">Q1637+((S1637*Q1637)/P1637)</f>
        <v>1.28</v>
      </c>
      <c r="W1637" s="13" t="s">
        <v>442</v>
      </c>
      <c r="X1637" s="13">
        <f>Y3</f>
        <v>30</v>
      </c>
      <c r="Y1637" s="13" t="str">
        <f>X3</f>
        <v>g</v>
      </c>
      <c r="Z1637" s="13">
        <v>15</v>
      </c>
      <c r="AA1637" s="13">
        <f>X1637*Z1637</f>
        <v>450</v>
      </c>
      <c r="AB1637" s="13">
        <v>0</v>
      </c>
      <c r="AC1637" s="13">
        <f>Z1637*AB1637</f>
        <v>0</v>
      </c>
      <c r="AD1637" s="13">
        <f>Z1637-AC1637</f>
        <v>15</v>
      </c>
      <c r="AE1637" s="13">
        <f>AA1637+((AC1637*AA1637)/Z1637)</f>
        <v>450</v>
      </c>
    </row>
    <row r="1638" spans="3:31" s="29" customFormat="1" x14ac:dyDescent="0.25">
      <c r="C1638" s="895" t="s">
        <v>0</v>
      </c>
      <c r="D1638" s="895"/>
      <c r="E1638" s="895"/>
      <c r="F1638" s="895" t="s">
        <v>1</v>
      </c>
      <c r="G1638" s="895"/>
      <c r="H1638" s="895"/>
      <c r="I1638" s="895"/>
      <c r="J1638" s="895"/>
      <c r="M1638" s="13" t="s">
        <v>346</v>
      </c>
      <c r="N1638" s="13">
        <f>P3</f>
        <v>7</v>
      </c>
      <c r="O1638" s="13" t="str">
        <f>O3</f>
        <v>g</v>
      </c>
      <c r="P1638" s="13">
        <v>6</v>
      </c>
      <c r="Q1638" s="13">
        <f t="shared" si="423"/>
        <v>42</v>
      </c>
      <c r="R1638" s="13">
        <f>AJ2</f>
        <v>0.23</v>
      </c>
      <c r="S1638" s="13">
        <f t="shared" si="424"/>
        <v>1.3800000000000001</v>
      </c>
      <c r="T1638" s="13">
        <f t="shared" si="425"/>
        <v>4.62</v>
      </c>
      <c r="U1638" s="13">
        <f t="shared" si="426"/>
        <v>51.660000000000004</v>
      </c>
      <c r="W1638" s="13" t="s">
        <v>482</v>
      </c>
      <c r="X1638" s="13">
        <f>P18</f>
        <v>5</v>
      </c>
      <c r="Y1638" s="13" t="str">
        <f>O18</f>
        <v>g</v>
      </c>
      <c r="Z1638" s="13">
        <v>10</v>
      </c>
      <c r="AA1638" s="13">
        <f t="shared" ref="AA1638:AA1643" si="427">X1638*Z1638</f>
        <v>50</v>
      </c>
      <c r="AB1638" s="13">
        <f>AJ11</f>
        <v>0.23</v>
      </c>
      <c r="AC1638" s="13">
        <f t="shared" ref="AC1638:AC1639" si="428">Z1638*AB1638</f>
        <v>2.3000000000000003</v>
      </c>
      <c r="AD1638" s="13">
        <f t="shared" ref="AD1638:AD1643" si="429">Z1638-AC1638</f>
        <v>7.6999999999999993</v>
      </c>
      <c r="AE1638" s="13">
        <f t="shared" ref="AE1638:AE1643" si="430">AA1638+((AC1638*AA1638)/Z1638)</f>
        <v>61.5</v>
      </c>
    </row>
    <row r="1639" spans="3:31" s="29" customFormat="1" x14ac:dyDescent="0.25">
      <c r="C1639" s="896" t="s">
        <v>3</v>
      </c>
      <c r="D1639" s="896"/>
      <c r="E1639" s="896"/>
      <c r="F1639" s="897" t="s">
        <v>535</v>
      </c>
      <c r="G1639" s="898"/>
      <c r="H1639" s="898"/>
      <c r="I1639" s="898"/>
      <c r="J1639" s="898"/>
      <c r="M1639" s="13" t="s">
        <v>448</v>
      </c>
      <c r="N1639" s="13">
        <f>P19</f>
        <v>10.28</v>
      </c>
      <c r="O1639" s="13" t="str">
        <f>O19</f>
        <v>g</v>
      </c>
      <c r="P1639" s="13">
        <v>1</v>
      </c>
      <c r="Q1639" s="13">
        <f t="shared" si="423"/>
        <v>10.28</v>
      </c>
      <c r="R1639" s="13">
        <f>AJ15</f>
        <v>0.26</v>
      </c>
      <c r="S1639" s="13">
        <f>P1639*R1639</f>
        <v>0.26</v>
      </c>
      <c r="T1639" s="13">
        <f t="shared" si="425"/>
        <v>0.74</v>
      </c>
      <c r="U1639" s="13">
        <f t="shared" si="426"/>
        <v>12.9528</v>
      </c>
      <c r="W1639" s="13" t="s">
        <v>547</v>
      </c>
      <c r="X1639" s="13">
        <f>V13</f>
        <v>81.900000000000006</v>
      </c>
      <c r="Y1639" s="13" t="str">
        <f>U13</f>
        <v>g</v>
      </c>
      <c r="Z1639" s="13">
        <v>15</v>
      </c>
      <c r="AA1639" s="13">
        <f t="shared" si="427"/>
        <v>1228.5</v>
      </c>
      <c r="AB1639" s="13">
        <v>0</v>
      </c>
      <c r="AC1639" s="13">
        <f t="shared" si="428"/>
        <v>0</v>
      </c>
      <c r="AD1639" s="13">
        <f t="shared" si="429"/>
        <v>15</v>
      </c>
      <c r="AE1639" s="13">
        <f t="shared" si="430"/>
        <v>1228.5</v>
      </c>
    </row>
    <row r="1640" spans="3:31" s="29" customFormat="1" x14ac:dyDescent="0.25">
      <c r="C1640" s="896"/>
      <c r="D1640" s="896"/>
      <c r="E1640" s="896"/>
      <c r="F1640" s="898"/>
      <c r="G1640" s="898"/>
      <c r="H1640" s="898"/>
      <c r="I1640" s="898"/>
      <c r="J1640" s="898"/>
      <c r="M1640" s="13" t="s">
        <v>536</v>
      </c>
      <c r="N1640" s="13">
        <f>P25</f>
        <v>3.5</v>
      </c>
      <c r="O1640" s="13" t="str">
        <f>O25</f>
        <v>g</v>
      </c>
      <c r="P1640" s="13">
        <v>1</v>
      </c>
      <c r="Q1640" s="13">
        <f t="shared" si="423"/>
        <v>3.5</v>
      </c>
      <c r="R1640" s="13">
        <f>AJ15</f>
        <v>0.26</v>
      </c>
      <c r="S1640" s="13">
        <f t="shared" ref="S1640:S1641" si="431">P1640*R1640</f>
        <v>0.26</v>
      </c>
      <c r="T1640" s="13">
        <f t="shared" si="425"/>
        <v>0.74</v>
      </c>
      <c r="U1640" s="13">
        <f t="shared" si="426"/>
        <v>4.41</v>
      </c>
      <c r="W1640" s="13" t="s">
        <v>340</v>
      </c>
      <c r="X1640" s="13">
        <f>Y20</f>
        <v>0.64</v>
      </c>
      <c r="Y1640" s="13" t="str">
        <f>X20</f>
        <v>g</v>
      </c>
      <c r="Z1640" s="13">
        <v>1</v>
      </c>
      <c r="AA1640" s="13">
        <f t="shared" si="427"/>
        <v>0.64</v>
      </c>
      <c r="AB1640" s="13">
        <v>0</v>
      </c>
      <c r="AC1640" s="13">
        <f>Z1640*AB1640</f>
        <v>0</v>
      </c>
      <c r="AD1640" s="13">
        <f t="shared" si="429"/>
        <v>1</v>
      </c>
      <c r="AE1640" s="13">
        <f t="shared" si="430"/>
        <v>0.64</v>
      </c>
    </row>
    <row r="1641" spans="3:31" s="29" customFormat="1" x14ac:dyDescent="0.25">
      <c r="C1641" s="896"/>
      <c r="D1641" s="896"/>
      <c r="E1641" s="896"/>
      <c r="F1641" s="898"/>
      <c r="G1641" s="898"/>
      <c r="H1641" s="898"/>
      <c r="I1641" s="898"/>
      <c r="J1641" s="898"/>
      <c r="M1641" s="13" t="s">
        <v>633</v>
      </c>
      <c r="N1641" s="13">
        <f>P26</f>
        <v>3.5</v>
      </c>
      <c r="O1641" s="13" t="str">
        <f>O26</f>
        <v>g</v>
      </c>
      <c r="P1641" s="13">
        <v>1</v>
      </c>
      <c r="Q1641" s="13">
        <f t="shared" si="423"/>
        <v>3.5</v>
      </c>
      <c r="R1641" s="13">
        <f>AJ15</f>
        <v>0.26</v>
      </c>
      <c r="S1641" s="13">
        <f t="shared" si="431"/>
        <v>0.26</v>
      </c>
      <c r="T1641" s="13">
        <f t="shared" si="425"/>
        <v>0.74</v>
      </c>
      <c r="U1641" s="13">
        <f t="shared" si="426"/>
        <v>4.41</v>
      </c>
      <c r="W1641" s="13" t="s">
        <v>346</v>
      </c>
      <c r="X1641" s="13">
        <f>P3</f>
        <v>7</v>
      </c>
      <c r="Y1641" s="13" t="str">
        <f>O3</f>
        <v>g</v>
      </c>
      <c r="Z1641" s="13">
        <v>4</v>
      </c>
      <c r="AA1641" s="13">
        <f t="shared" si="427"/>
        <v>28</v>
      </c>
      <c r="AB1641" s="13">
        <f>AJ2</f>
        <v>0.23</v>
      </c>
      <c r="AC1641" s="13">
        <f t="shared" ref="AC1641:AC1643" si="432">Z1641*AB1641</f>
        <v>0.92</v>
      </c>
      <c r="AD1641" s="13">
        <f t="shared" si="429"/>
        <v>3.08</v>
      </c>
      <c r="AE1641" s="13">
        <f t="shared" si="430"/>
        <v>34.44</v>
      </c>
    </row>
    <row r="1642" spans="3:31" s="29" customFormat="1" x14ac:dyDescent="0.25">
      <c r="C1642" s="896" t="s">
        <v>4</v>
      </c>
      <c r="D1642" s="896"/>
      <c r="E1642" s="896"/>
      <c r="F1642" s="898" t="s">
        <v>15</v>
      </c>
      <c r="G1642" s="898"/>
      <c r="H1642" s="898"/>
      <c r="I1642" s="898"/>
      <c r="J1642" s="898"/>
      <c r="M1642" s="13" t="s">
        <v>449</v>
      </c>
      <c r="N1642" s="13">
        <f>P4</f>
        <v>42.07</v>
      </c>
      <c r="O1642" s="13" t="str">
        <f>O4</f>
        <v>g</v>
      </c>
      <c r="P1642" s="13">
        <v>30</v>
      </c>
      <c r="Q1642" s="13">
        <f t="shared" si="423"/>
        <v>1262.0999999999999</v>
      </c>
      <c r="R1642" s="13">
        <v>0</v>
      </c>
      <c r="S1642" s="13">
        <f t="shared" ref="S1642:S1647" si="433">P1642*R1642</f>
        <v>0</v>
      </c>
      <c r="T1642" s="13">
        <f t="shared" ref="T1642:T1647" si="434">P1642-S1642</f>
        <v>30</v>
      </c>
      <c r="U1642" s="13">
        <f t="shared" ref="U1642:U1647" si="435">Q1642+((S1642*Q1642)/P1642)</f>
        <v>1262.0999999999999</v>
      </c>
      <c r="W1642" s="13" t="s">
        <v>433</v>
      </c>
      <c r="X1642" s="13">
        <f>Y18</f>
        <v>223.57</v>
      </c>
      <c r="Y1642" s="13" t="str">
        <f>X18</f>
        <v>g</v>
      </c>
      <c r="Z1642" s="13">
        <v>4</v>
      </c>
      <c r="AA1642" s="13">
        <f t="shared" si="427"/>
        <v>894.28</v>
      </c>
      <c r="AB1642" s="13">
        <v>0</v>
      </c>
      <c r="AC1642" s="13">
        <f t="shared" si="432"/>
        <v>0</v>
      </c>
      <c r="AD1642" s="13">
        <f t="shared" si="429"/>
        <v>4</v>
      </c>
      <c r="AE1642" s="13">
        <f t="shared" si="430"/>
        <v>894.28</v>
      </c>
    </row>
    <row r="1643" spans="3:31" s="29" customFormat="1" x14ac:dyDescent="0.25">
      <c r="C1643" s="896"/>
      <c r="D1643" s="896"/>
      <c r="E1643" s="896"/>
      <c r="F1643" s="898"/>
      <c r="G1643" s="898"/>
      <c r="H1643" s="898"/>
      <c r="I1643" s="898"/>
      <c r="J1643" s="898"/>
      <c r="M1643" s="13" t="s">
        <v>537</v>
      </c>
      <c r="N1643" s="13">
        <f>P2</f>
        <v>30.06</v>
      </c>
      <c r="O1643" s="13" t="str">
        <f>O2</f>
        <v>g</v>
      </c>
      <c r="P1643" s="13">
        <v>25</v>
      </c>
      <c r="Q1643" s="13">
        <f t="shared" si="423"/>
        <v>751.5</v>
      </c>
      <c r="R1643" s="13">
        <v>0</v>
      </c>
      <c r="S1643" s="13">
        <f t="shared" si="433"/>
        <v>0</v>
      </c>
      <c r="T1643" s="13">
        <f t="shared" si="434"/>
        <v>25</v>
      </c>
      <c r="U1643" s="13">
        <f t="shared" si="435"/>
        <v>751.5</v>
      </c>
      <c r="W1643" s="13" t="s">
        <v>546</v>
      </c>
      <c r="X1643" s="13">
        <f>AE3</f>
        <v>49.18</v>
      </c>
      <c r="Y1643" s="13" t="str">
        <f>AD3</f>
        <v>mL</v>
      </c>
      <c r="Z1643" s="13">
        <v>60</v>
      </c>
      <c r="AA1643" s="13">
        <f t="shared" si="427"/>
        <v>2950.8</v>
      </c>
      <c r="AB1643" s="13">
        <v>0</v>
      </c>
      <c r="AC1643" s="13">
        <f t="shared" si="432"/>
        <v>0</v>
      </c>
      <c r="AD1643" s="13">
        <f t="shared" si="429"/>
        <v>60</v>
      </c>
      <c r="AE1643" s="13">
        <f t="shared" si="430"/>
        <v>2950.8</v>
      </c>
    </row>
    <row r="1644" spans="3:31" s="29" customFormat="1" x14ac:dyDescent="0.25">
      <c r="C1644" s="896"/>
      <c r="D1644" s="896"/>
      <c r="E1644" s="896"/>
      <c r="F1644" s="898"/>
      <c r="G1644" s="898"/>
      <c r="H1644" s="898"/>
      <c r="I1644" s="898"/>
      <c r="J1644" s="898"/>
      <c r="M1644" s="13" t="s">
        <v>429</v>
      </c>
      <c r="N1644" s="13">
        <f>P29</f>
        <v>1.8</v>
      </c>
      <c r="O1644" s="13" t="str">
        <f>O29</f>
        <v>g</v>
      </c>
      <c r="P1644" s="13">
        <v>80</v>
      </c>
      <c r="Q1644" s="13">
        <f t="shared" si="423"/>
        <v>144</v>
      </c>
      <c r="R1644" s="13">
        <f>AJ18</f>
        <v>0.05</v>
      </c>
      <c r="S1644" s="13">
        <f t="shared" si="433"/>
        <v>4</v>
      </c>
      <c r="T1644" s="13">
        <f t="shared" si="434"/>
        <v>76</v>
      </c>
      <c r="U1644" s="13">
        <f t="shared" si="435"/>
        <v>151.19999999999999</v>
      </c>
      <c r="W1644" s="13" t="s">
        <v>337</v>
      </c>
      <c r="X1644" s="13">
        <f>SUM(X1637:X1643)</f>
        <v>397.29</v>
      </c>
      <c r="Y1644" s="13"/>
      <c r="Z1644" s="13">
        <f>SUM(Z1637:Z1643)</f>
        <v>109</v>
      </c>
      <c r="AA1644" s="13">
        <f>SUM(AA1637:AA1643)</f>
        <v>5602.22</v>
      </c>
      <c r="AB1644" s="13"/>
      <c r="AC1644" s="13"/>
      <c r="AD1644" s="13"/>
      <c r="AE1644" s="13">
        <f>SUM(AE1637:AE1643)</f>
        <v>5620.16</v>
      </c>
    </row>
    <row r="1645" spans="3:31" s="29" customFormat="1" x14ac:dyDescent="0.25">
      <c r="C1645" s="896" t="s">
        <v>5</v>
      </c>
      <c r="D1645" s="896"/>
      <c r="E1645" s="896"/>
      <c r="F1645" s="897" t="s">
        <v>534</v>
      </c>
      <c r="G1645" s="898"/>
      <c r="H1645" s="898"/>
      <c r="I1645" s="898"/>
      <c r="J1645" s="898"/>
      <c r="M1645" s="13" t="s">
        <v>546</v>
      </c>
      <c r="N1645" s="13">
        <f>AE3</f>
        <v>49.18</v>
      </c>
      <c r="O1645" s="13" t="str">
        <f>AD3</f>
        <v>mL</v>
      </c>
      <c r="P1645" s="13">
        <v>25</v>
      </c>
      <c r="Q1645" s="13">
        <f t="shared" si="423"/>
        <v>1229.5</v>
      </c>
      <c r="R1645" s="13">
        <v>0</v>
      </c>
      <c r="S1645" s="13">
        <f t="shared" si="433"/>
        <v>0</v>
      </c>
      <c r="T1645" s="13">
        <f t="shared" si="434"/>
        <v>25</v>
      </c>
      <c r="U1645" s="13">
        <f t="shared" si="435"/>
        <v>1229.5</v>
      </c>
    </row>
    <row r="1646" spans="3:31" s="29" customFormat="1" x14ac:dyDescent="0.25">
      <c r="C1646" s="896"/>
      <c r="D1646" s="896"/>
      <c r="E1646" s="896"/>
      <c r="F1646" s="898"/>
      <c r="G1646" s="898"/>
      <c r="H1646" s="898"/>
      <c r="I1646" s="898"/>
      <c r="J1646" s="898"/>
      <c r="M1646" s="13" t="s">
        <v>433</v>
      </c>
      <c r="N1646" s="13">
        <f>Y18</f>
        <v>223.57</v>
      </c>
      <c r="O1646" s="13" t="str">
        <f>X18</f>
        <v>g</v>
      </c>
      <c r="P1646" s="13">
        <v>8</v>
      </c>
      <c r="Q1646" s="13">
        <f t="shared" si="423"/>
        <v>1788.56</v>
      </c>
      <c r="R1646" s="13">
        <v>0</v>
      </c>
      <c r="S1646" s="13">
        <f t="shared" si="433"/>
        <v>0</v>
      </c>
      <c r="T1646" s="13">
        <f t="shared" si="434"/>
        <v>8</v>
      </c>
      <c r="U1646" s="13">
        <f t="shared" si="435"/>
        <v>1788.56</v>
      </c>
      <c r="AA1646" s="13" t="s">
        <v>1681</v>
      </c>
      <c r="AB1646" s="13">
        <f>AE1644</f>
        <v>5620.16</v>
      </c>
      <c r="AC1646" s="608" t="s">
        <v>2142</v>
      </c>
      <c r="AD1646" s="608">
        <f>(AB1646*100)/AB1653</f>
        <v>42.441465841361861</v>
      </c>
    </row>
    <row r="1647" spans="3:31" s="29" customFormat="1" x14ac:dyDescent="0.25">
      <c r="C1647" s="896"/>
      <c r="D1647" s="896"/>
      <c r="E1647" s="896"/>
      <c r="F1647" s="898"/>
      <c r="G1647" s="898"/>
      <c r="H1647" s="898"/>
      <c r="I1647" s="898"/>
      <c r="J1647" s="898"/>
      <c r="M1647" s="13" t="s">
        <v>483</v>
      </c>
      <c r="N1647" s="13">
        <f>AE1644</f>
        <v>5620.16</v>
      </c>
      <c r="O1647" s="13" t="s">
        <v>1388</v>
      </c>
      <c r="P1647" s="13">
        <v>120</v>
      </c>
      <c r="Q1647" s="13">
        <f>N1647</f>
        <v>5620.16</v>
      </c>
      <c r="R1647" s="13">
        <v>0</v>
      </c>
      <c r="S1647" s="13">
        <f t="shared" si="433"/>
        <v>0</v>
      </c>
      <c r="T1647" s="13">
        <f t="shared" si="434"/>
        <v>120</v>
      </c>
      <c r="U1647" s="13">
        <f t="shared" si="435"/>
        <v>5620.16</v>
      </c>
      <c r="AA1647" s="13" t="s">
        <v>2326</v>
      </c>
      <c r="AB1647" s="13">
        <f>$AO$26/2</f>
        <v>476.87414947063905</v>
      </c>
    </row>
    <row r="1648" spans="3:31" s="29" customFormat="1" x14ac:dyDescent="0.25">
      <c r="C1648" s="896" t="s">
        <v>6</v>
      </c>
      <c r="D1648" s="896"/>
      <c r="E1648" s="896"/>
      <c r="F1648" s="898" t="s">
        <v>9</v>
      </c>
      <c r="G1648" s="898"/>
      <c r="H1648" s="898"/>
      <c r="I1648" s="898"/>
      <c r="J1648" s="898"/>
      <c r="M1648" s="13"/>
      <c r="N1648" s="13"/>
      <c r="O1648" s="13"/>
      <c r="P1648" s="13"/>
      <c r="Q1648" s="13"/>
      <c r="R1648" s="13"/>
      <c r="S1648" s="13"/>
      <c r="T1648" s="13"/>
      <c r="U1648" s="13"/>
      <c r="AA1648" s="13" t="s">
        <v>2325</v>
      </c>
      <c r="AB1648" s="13">
        <f>$AO$27/4</f>
        <v>18.899999999999999</v>
      </c>
    </row>
    <row r="1649" spans="3:31" s="29" customFormat="1" x14ac:dyDescent="0.25">
      <c r="C1649" s="896"/>
      <c r="D1649" s="896"/>
      <c r="E1649" s="896"/>
      <c r="F1649" s="898"/>
      <c r="G1649" s="898"/>
      <c r="H1649" s="898"/>
      <c r="I1649" s="898"/>
      <c r="J1649" s="898"/>
      <c r="M1649" s="13" t="s">
        <v>337</v>
      </c>
      <c r="N1649" s="13">
        <f>SUM(N1636:N1647)</f>
        <v>8065.6323984875517</v>
      </c>
      <c r="O1649" s="13"/>
      <c r="P1649" s="13">
        <f>SUM(P1636:P1647)</f>
        <v>399</v>
      </c>
      <c r="Q1649" s="13">
        <f>SUM(Q1636:Q1648)</f>
        <v>12930.252398487552</v>
      </c>
      <c r="R1649" s="13"/>
      <c r="S1649" s="13"/>
      <c r="T1649" s="13"/>
      <c r="U1649" s="13">
        <f>SUM(U1636:U1648)</f>
        <v>12951.60519848755</v>
      </c>
      <c r="AA1649" s="13" t="s">
        <v>1684</v>
      </c>
      <c r="AB1649" s="13">
        <f>$AO$29</f>
        <v>1547.3435977313275</v>
      </c>
    </row>
    <row r="1650" spans="3:31" s="29" customFormat="1" x14ac:dyDescent="0.25">
      <c r="C1650" s="896"/>
      <c r="D1650" s="896"/>
      <c r="E1650" s="896"/>
      <c r="F1650" s="898"/>
      <c r="G1650" s="898"/>
      <c r="H1650" s="898"/>
      <c r="I1650" s="898"/>
      <c r="J1650" s="898"/>
      <c r="AA1650" s="13" t="s">
        <v>1685</v>
      </c>
      <c r="AB1650" s="13">
        <v>0.6</v>
      </c>
    </row>
    <row r="1651" spans="3:31" s="29" customFormat="1" x14ac:dyDescent="0.25">
      <c r="C1651" s="896" t="s">
        <v>7</v>
      </c>
      <c r="D1651" s="896"/>
      <c r="E1651" s="896"/>
      <c r="F1651" s="897" t="s">
        <v>1477</v>
      </c>
      <c r="G1651" s="898"/>
      <c r="H1651" s="898"/>
      <c r="I1651" s="898"/>
      <c r="J1651" s="898"/>
      <c r="Q1651" s="13" t="s">
        <v>1681</v>
      </c>
      <c r="R1651" s="13">
        <f>U1649</f>
        <v>12951.60519848755</v>
      </c>
      <c r="S1651" s="608" t="s">
        <v>2142</v>
      </c>
      <c r="T1651" s="608">
        <f>(R1651*100)/R1658</f>
        <v>50.308151189117865</v>
      </c>
      <c r="AA1651" s="13" t="s">
        <v>1708</v>
      </c>
      <c r="AB1651" s="13">
        <f>(SUM(AB1646:AB1649)*AB1650)+SUM(AB1646:AB1649)</f>
        <v>12261.244395523147</v>
      </c>
    </row>
    <row r="1652" spans="3:31" s="29" customFormat="1" x14ac:dyDescent="0.25">
      <c r="C1652" s="896"/>
      <c r="D1652" s="896"/>
      <c r="E1652" s="896"/>
      <c r="F1652" s="898"/>
      <c r="G1652" s="898"/>
      <c r="H1652" s="898"/>
      <c r="I1652" s="898"/>
      <c r="J1652" s="898"/>
      <c r="Q1652" s="13" t="s">
        <v>2326</v>
      </c>
      <c r="R1652" s="13">
        <f>$AL$26</f>
        <v>1801.715474357886</v>
      </c>
      <c r="AA1652" s="13" t="s">
        <v>2130</v>
      </c>
      <c r="AB1652" s="13">
        <f>AB1651*0.08</f>
        <v>980.89955164185176</v>
      </c>
    </row>
    <row r="1653" spans="3:31" s="29" customFormat="1" x14ac:dyDescent="0.25">
      <c r="C1653" s="896"/>
      <c r="D1653" s="896"/>
      <c r="E1653" s="896"/>
      <c r="F1653" s="898"/>
      <c r="G1653" s="898"/>
      <c r="H1653" s="898"/>
      <c r="I1653" s="898"/>
      <c r="J1653" s="898"/>
      <c r="Q1653" s="13" t="s">
        <v>2325</v>
      </c>
      <c r="R1653" s="13">
        <f>$AL$27</f>
        <v>75.599999999999994</v>
      </c>
      <c r="AA1653" s="13" t="s">
        <v>1686</v>
      </c>
      <c r="AB1653" s="13">
        <f>SUM(AB1651+AB1652)</f>
        <v>13242.143947164997</v>
      </c>
    </row>
    <row r="1654" spans="3:31" s="29" customFormat="1" x14ac:dyDescent="0.25">
      <c r="Q1654" s="13" t="s">
        <v>1684</v>
      </c>
      <c r="R1654" s="13">
        <f>$AL$29</f>
        <v>69.543532482306858</v>
      </c>
    </row>
    <row r="1655" spans="3:31" s="29" customFormat="1" x14ac:dyDescent="0.25">
      <c r="Q1655" s="13" t="s">
        <v>1685</v>
      </c>
      <c r="R1655" s="13">
        <v>0.6</v>
      </c>
    </row>
    <row r="1656" spans="3:31" s="29" customFormat="1" x14ac:dyDescent="0.25">
      <c r="Q1656" s="13" t="s">
        <v>1708</v>
      </c>
      <c r="R1656" s="13">
        <f>(SUM(R1651:R1654)*R1655)+SUM(R1651:R1654)</f>
        <v>23837.54272852439</v>
      </c>
    </row>
    <row r="1657" spans="3:31" s="29" customFormat="1" x14ac:dyDescent="0.25">
      <c r="Q1657" s="13" t="s">
        <v>2130</v>
      </c>
      <c r="R1657" s="13">
        <f>R1656*0.08</f>
        <v>1907.0034182819511</v>
      </c>
    </row>
    <row r="1658" spans="3:31" s="29" customFormat="1" x14ac:dyDescent="0.25">
      <c r="Q1658" s="13" t="s">
        <v>1686</v>
      </c>
      <c r="R1658" s="13">
        <f>SUM(R1656+R1657)</f>
        <v>25744.54614680634</v>
      </c>
    </row>
    <row r="1659" spans="3:31" s="29" customFormat="1" x14ac:dyDescent="0.25"/>
    <row r="1660" spans="3:31" s="29" customFormat="1" x14ac:dyDescent="0.25"/>
    <row r="1661" spans="3:31" s="29" customFormat="1" x14ac:dyDescent="0.25">
      <c r="C1661" s="910" t="s">
        <v>8</v>
      </c>
      <c r="D1661" s="910"/>
      <c r="E1661" s="910"/>
      <c r="F1661" s="910"/>
      <c r="G1661" s="910"/>
      <c r="H1661" s="910"/>
      <c r="I1661" s="910"/>
      <c r="J1661" s="910"/>
    </row>
    <row r="1662" spans="3:31" s="29" customFormat="1" x14ac:dyDescent="0.25">
      <c r="C1662" s="895" t="s">
        <v>0</v>
      </c>
      <c r="D1662" s="895"/>
      <c r="E1662" s="895"/>
      <c r="F1662" s="895" t="s">
        <v>1</v>
      </c>
      <c r="G1662" s="895"/>
      <c r="H1662" s="895"/>
      <c r="I1662" s="895"/>
      <c r="J1662" s="895"/>
    </row>
    <row r="1663" spans="3:31" s="29" customFormat="1" x14ac:dyDescent="0.25">
      <c r="C1663" s="896" t="s">
        <v>2</v>
      </c>
      <c r="D1663" s="896"/>
      <c r="E1663" s="896"/>
      <c r="F1663" s="898" t="s">
        <v>199</v>
      </c>
      <c r="G1663" s="898"/>
      <c r="H1663" s="898"/>
      <c r="I1663" s="898"/>
      <c r="J1663" s="898"/>
      <c r="M1663" s="12" t="s">
        <v>336</v>
      </c>
      <c r="N1663" s="12" t="s">
        <v>174</v>
      </c>
      <c r="O1663" s="12" t="s">
        <v>248</v>
      </c>
      <c r="P1663" s="12" t="s">
        <v>176</v>
      </c>
      <c r="Q1663" s="12" t="s">
        <v>337</v>
      </c>
      <c r="R1663" s="298" t="s">
        <v>1641</v>
      </c>
      <c r="S1663" s="298" t="s">
        <v>1642</v>
      </c>
      <c r="T1663" s="298" t="s">
        <v>1643</v>
      </c>
      <c r="U1663" s="298" t="s">
        <v>1644</v>
      </c>
      <c r="W1663" s="1048" t="s">
        <v>1467</v>
      </c>
      <c r="X1663" s="1048"/>
      <c r="Y1663" s="1048"/>
      <c r="Z1663" s="1048"/>
      <c r="AA1663" s="1048"/>
      <c r="AB1663" s="1048"/>
      <c r="AC1663" s="1048"/>
      <c r="AD1663" s="1048"/>
      <c r="AE1663" s="1048"/>
    </row>
    <row r="1664" spans="3:31" s="29" customFormat="1" x14ac:dyDescent="0.25">
      <c r="C1664" s="896"/>
      <c r="D1664" s="896"/>
      <c r="E1664" s="896"/>
      <c r="F1664" s="898"/>
      <c r="G1664" s="898"/>
      <c r="H1664" s="898"/>
      <c r="I1664" s="898"/>
      <c r="J1664" s="898"/>
      <c r="M1664" s="13" t="s">
        <v>344</v>
      </c>
      <c r="N1664" s="13">
        <f>F23</f>
        <v>2073.8723984875514</v>
      </c>
      <c r="O1664" s="13" t="str">
        <f>D23</f>
        <v>g</v>
      </c>
      <c r="P1664" s="13">
        <v>100</v>
      </c>
      <c r="Q1664" s="13">
        <f>N1664</f>
        <v>2073.8723984875514</v>
      </c>
      <c r="R1664" s="13">
        <v>0</v>
      </c>
      <c r="S1664" s="13">
        <f>P1664*R1664</f>
        <v>0</v>
      </c>
      <c r="T1664" s="13">
        <f>P1664-S1664</f>
        <v>100</v>
      </c>
      <c r="U1664" s="13">
        <f>Q1664+((S1664*Q1664)/P1664)</f>
        <v>2073.8723984875514</v>
      </c>
      <c r="W1664" s="12" t="s">
        <v>336</v>
      </c>
      <c r="X1664" s="12" t="s">
        <v>174</v>
      </c>
      <c r="Y1664" s="12" t="s">
        <v>248</v>
      </c>
      <c r="Z1664" s="12" t="s">
        <v>176</v>
      </c>
      <c r="AA1664" s="12" t="s">
        <v>337</v>
      </c>
      <c r="AB1664" s="298" t="s">
        <v>1641</v>
      </c>
      <c r="AC1664" s="298" t="s">
        <v>1642</v>
      </c>
      <c r="AD1664" s="298" t="s">
        <v>1643</v>
      </c>
      <c r="AE1664" s="298" t="s">
        <v>1644</v>
      </c>
    </row>
    <row r="1665" spans="3:31" s="29" customFormat="1" x14ac:dyDescent="0.25">
      <c r="C1665" s="896"/>
      <c r="D1665" s="896"/>
      <c r="E1665" s="896"/>
      <c r="F1665" s="898"/>
      <c r="G1665" s="898"/>
      <c r="H1665" s="898"/>
      <c r="I1665" s="898"/>
      <c r="J1665" s="898"/>
      <c r="M1665" s="13" t="s">
        <v>340</v>
      </c>
      <c r="N1665" s="13">
        <f>Y20</f>
        <v>0.64</v>
      </c>
      <c r="O1665" s="13" t="str">
        <f>X20</f>
        <v>g</v>
      </c>
      <c r="P1665" s="13">
        <v>2</v>
      </c>
      <c r="Q1665" s="13">
        <f t="shared" ref="Q1665:Q1670" si="436">N1665*P1665</f>
        <v>1.28</v>
      </c>
      <c r="R1665" s="13">
        <v>0</v>
      </c>
      <c r="S1665" s="13">
        <f t="shared" ref="S1665:S1666" si="437">P1665*R1665</f>
        <v>0</v>
      </c>
      <c r="T1665" s="13">
        <f t="shared" ref="T1665:T1671" si="438">P1665-S1665</f>
        <v>2</v>
      </c>
      <c r="U1665" s="13">
        <f t="shared" ref="U1665:U1671" si="439">Q1665+((S1665*Q1665)/P1665)</f>
        <v>1.28</v>
      </c>
      <c r="W1665" s="13" t="s">
        <v>442</v>
      </c>
      <c r="X1665" s="13">
        <f>Y3</f>
        <v>30</v>
      </c>
      <c r="Y1665" s="13" t="str">
        <f>X3</f>
        <v>g</v>
      </c>
      <c r="Z1665" s="13">
        <v>15</v>
      </c>
      <c r="AA1665" s="13">
        <f>X1665*Z1665</f>
        <v>450</v>
      </c>
      <c r="AB1665" s="13">
        <v>0</v>
      </c>
      <c r="AC1665" s="13">
        <f>Z1665*AB1665</f>
        <v>0</v>
      </c>
      <c r="AD1665" s="13">
        <f>Z1665-AC1665</f>
        <v>15</v>
      </c>
      <c r="AE1665" s="13">
        <f>AA1665+((AC1665*AA1665)/Z1665)</f>
        <v>450</v>
      </c>
    </row>
    <row r="1666" spans="3:31" s="29" customFormat="1" x14ac:dyDescent="0.25">
      <c r="C1666" s="895" t="s">
        <v>0</v>
      </c>
      <c r="D1666" s="895"/>
      <c r="E1666" s="895"/>
      <c r="F1666" s="895" t="s">
        <v>1</v>
      </c>
      <c r="G1666" s="895"/>
      <c r="H1666" s="895"/>
      <c r="I1666" s="895"/>
      <c r="J1666" s="895"/>
      <c r="M1666" s="13" t="s">
        <v>346</v>
      </c>
      <c r="N1666" s="13">
        <f>P3</f>
        <v>7</v>
      </c>
      <c r="O1666" s="13" t="str">
        <f>O3</f>
        <v>g</v>
      </c>
      <c r="P1666" s="13">
        <v>6</v>
      </c>
      <c r="Q1666" s="13">
        <f t="shared" si="436"/>
        <v>42</v>
      </c>
      <c r="R1666" s="13">
        <f>AJ2</f>
        <v>0.23</v>
      </c>
      <c r="S1666" s="13">
        <f t="shared" si="437"/>
        <v>1.3800000000000001</v>
      </c>
      <c r="T1666" s="13">
        <f t="shared" si="438"/>
        <v>4.62</v>
      </c>
      <c r="U1666" s="13">
        <f t="shared" si="439"/>
        <v>51.660000000000004</v>
      </c>
      <c r="W1666" s="13" t="s">
        <v>482</v>
      </c>
      <c r="X1666" s="13">
        <f>P18</f>
        <v>5</v>
      </c>
      <c r="Y1666" s="13" t="str">
        <f>O18</f>
        <v>g</v>
      </c>
      <c r="Z1666" s="13">
        <v>10</v>
      </c>
      <c r="AA1666" s="13">
        <f t="shared" ref="AA1666:AA1671" si="440">X1666*Z1666</f>
        <v>50</v>
      </c>
      <c r="AB1666" s="13">
        <f>AJ11</f>
        <v>0.23</v>
      </c>
      <c r="AC1666" s="13">
        <f t="shared" ref="AC1666:AC1667" si="441">Z1666*AB1666</f>
        <v>2.3000000000000003</v>
      </c>
      <c r="AD1666" s="13">
        <f t="shared" ref="AD1666:AD1671" si="442">Z1666-AC1666</f>
        <v>7.6999999999999993</v>
      </c>
      <c r="AE1666" s="13">
        <f t="shared" ref="AE1666:AE1671" si="443">AA1666+((AC1666*AA1666)/Z1666)</f>
        <v>61.5</v>
      </c>
    </row>
    <row r="1667" spans="3:31" s="29" customFormat="1" x14ac:dyDescent="0.25">
      <c r="C1667" s="896" t="s">
        <v>3</v>
      </c>
      <c r="D1667" s="896"/>
      <c r="E1667" s="896"/>
      <c r="F1667" s="897" t="s">
        <v>200</v>
      </c>
      <c r="G1667" s="898"/>
      <c r="H1667" s="898"/>
      <c r="I1667" s="898"/>
      <c r="J1667" s="898"/>
      <c r="M1667" s="13" t="s">
        <v>454</v>
      </c>
      <c r="N1667" s="13">
        <f>P14</f>
        <v>18.86</v>
      </c>
      <c r="O1667" s="13" t="str">
        <f>O14</f>
        <v>g</v>
      </c>
      <c r="P1667" s="13">
        <v>80</v>
      </c>
      <c r="Q1667" s="13">
        <f t="shared" si="436"/>
        <v>1508.8</v>
      </c>
      <c r="R1667" s="13">
        <v>0</v>
      </c>
      <c r="S1667" s="13">
        <f>P1667*R1667</f>
        <v>0</v>
      </c>
      <c r="T1667" s="13">
        <f t="shared" si="438"/>
        <v>80</v>
      </c>
      <c r="U1667" s="13">
        <f t="shared" si="439"/>
        <v>1508.8</v>
      </c>
      <c r="W1667" s="13" t="s">
        <v>547</v>
      </c>
      <c r="X1667" s="13">
        <f>V13</f>
        <v>81.900000000000006</v>
      </c>
      <c r="Y1667" s="13" t="str">
        <f>U13</f>
        <v>g</v>
      </c>
      <c r="Z1667" s="13">
        <v>15</v>
      </c>
      <c r="AA1667" s="13">
        <f t="shared" si="440"/>
        <v>1228.5</v>
      </c>
      <c r="AB1667" s="13">
        <v>0</v>
      </c>
      <c r="AC1667" s="13">
        <f t="shared" si="441"/>
        <v>0</v>
      </c>
      <c r="AD1667" s="13">
        <f t="shared" si="442"/>
        <v>15</v>
      </c>
      <c r="AE1667" s="13">
        <f t="shared" si="443"/>
        <v>1228.5</v>
      </c>
    </row>
    <row r="1668" spans="3:31" s="29" customFormat="1" x14ac:dyDescent="0.25">
      <c r="C1668" s="896"/>
      <c r="D1668" s="896"/>
      <c r="E1668" s="896"/>
      <c r="F1668" s="898"/>
      <c r="G1668" s="898"/>
      <c r="H1668" s="898"/>
      <c r="I1668" s="898"/>
      <c r="J1668" s="898"/>
      <c r="M1668" s="13" t="s">
        <v>546</v>
      </c>
      <c r="N1668" s="13">
        <f>AE3</f>
        <v>49.18</v>
      </c>
      <c r="O1668" s="13" t="str">
        <f>AD3</f>
        <v>mL</v>
      </c>
      <c r="P1668" s="13">
        <v>20</v>
      </c>
      <c r="Q1668" s="13">
        <f t="shared" si="436"/>
        <v>983.6</v>
      </c>
      <c r="R1668" s="13">
        <v>0</v>
      </c>
      <c r="S1668" s="13">
        <f t="shared" ref="S1668:S1671" si="444">P1668*R1668</f>
        <v>0</v>
      </c>
      <c r="T1668" s="13">
        <f t="shared" si="438"/>
        <v>20</v>
      </c>
      <c r="U1668" s="13">
        <f t="shared" si="439"/>
        <v>983.6</v>
      </c>
      <c r="W1668" s="13" t="s">
        <v>340</v>
      </c>
      <c r="X1668" s="13">
        <f>Y20</f>
        <v>0.64</v>
      </c>
      <c r="Y1668" s="13" t="str">
        <f>X20</f>
        <v>g</v>
      </c>
      <c r="Z1668" s="13">
        <v>1</v>
      </c>
      <c r="AA1668" s="13">
        <f t="shared" si="440"/>
        <v>0.64</v>
      </c>
      <c r="AB1668" s="13">
        <v>0</v>
      </c>
      <c r="AC1668" s="13">
        <f>Z1668*AB1668</f>
        <v>0</v>
      </c>
      <c r="AD1668" s="13">
        <f t="shared" si="442"/>
        <v>1</v>
      </c>
      <c r="AE1668" s="13">
        <f t="shared" si="443"/>
        <v>0.64</v>
      </c>
    </row>
    <row r="1669" spans="3:31" s="29" customFormat="1" x14ac:dyDescent="0.25">
      <c r="C1669" s="896"/>
      <c r="D1669" s="896"/>
      <c r="E1669" s="896"/>
      <c r="F1669" s="898"/>
      <c r="G1669" s="898"/>
      <c r="H1669" s="898"/>
      <c r="I1669" s="898"/>
      <c r="J1669" s="898"/>
      <c r="M1669" s="13" t="s">
        <v>455</v>
      </c>
      <c r="N1669" s="13">
        <f>AE15</f>
        <v>51.96</v>
      </c>
      <c r="O1669" s="13" t="str">
        <f>AD15</f>
        <v>mL</v>
      </c>
      <c r="P1669" s="13">
        <v>30</v>
      </c>
      <c r="Q1669" s="13">
        <f t="shared" si="436"/>
        <v>1558.8</v>
      </c>
      <c r="R1669" s="13">
        <v>0</v>
      </c>
      <c r="S1669" s="13">
        <f t="shared" si="444"/>
        <v>0</v>
      </c>
      <c r="T1669" s="13">
        <f t="shared" si="438"/>
        <v>30</v>
      </c>
      <c r="U1669" s="13">
        <f t="shared" si="439"/>
        <v>1558.8</v>
      </c>
      <c r="W1669" s="13" t="s">
        <v>346</v>
      </c>
      <c r="X1669" s="13">
        <f>P3</f>
        <v>7</v>
      </c>
      <c r="Y1669" s="13" t="str">
        <f>O3</f>
        <v>g</v>
      </c>
      <c r="Z1669" s="13">
        <v>4</v>
      </c>
      <c r="AA1669" s="13">
        <f t="shared" si="440"/>
        <v>28</v>
      </c>
      <c r="AB1669" s="13">
        <f>AJ2</f>
        <v>0.23</v>
      </c>
      <c r="AC1669" s="13">
        <f t="shared" ref="AC1669:AC1671" si="445">Z1669*AB1669</f>
        <v>0.92</v>
      </c>
      <c r="AD1669" s="13">
        <f t="shared" si="442"/>
        <v>3.08</v>
      </c>
      <c r="AE1669" s="13">
        <f t="shared" si="443"/>
        <v>34.44</v>
      </c>
    </row>
    <row r="1670" spans="3:31" s="29" customFormat="1" x14ac:dyDescent="0.25">
      <c r="C1670" s="896" t="s">
        <v>4</v>
      </c>
      <c r="D1670" s="896"/>
      <c r="E1670" s="896"/>
      <c r="F1670" s="898" t="s">
        <v>15</v>
      </c>
      <c r="G1670" s="898"/>
      <c r="H1670" s="898"/>
      <c r="I1670" s="898"/>
      <c r="J1670" s="898"/>
      <c r="M1670" s="13" t="s">
        <v>635</v>
      </c>
      <c r="N1670" s="13">
        <f>P30</f>
        <v>3</v>
      </c>
      <c r="O1670" s="13" t="str">
        <f>O30</f>
        <v>g</v>
      </c>
      <c r="P1670" s="13">
        <v>60</v>
      </c>
      <c r="Q1670" s="13">
        <f t="shared" si="436"/>
        <v>180</v>
      </c>
      <c r="R1670" s="13">
        <v>0</v>
      </c>
      <c r="S1670" s="13">
        <f t="shared" si="444"/>
        <v>0</v>
      </c>
      <c r="T1670" s="13">
        <f t="shared" si="438"/>
        <v>60</v>
      </c>
      <c r="U1670" s="13">
        <f t="shared" si="439"/>
        <v>180</v>
      </c>
      <c r="W1670" s="13" t="s">
        <v>433</v>
      </c>
      <c r="X1670" s="13">
        <f>Y18</f>
        <v>223.57</v>
      </c>
      <c r="Y1670" s="13" t="str">
        <f>X18</f>
        <v>g</v>
      </c>
      <c r="Z1670" s="13">
        <v>4</v>
      </c>
      <c r="AA1670" s="13">
        <f t="shared" si="440"/>
        <v>894.28</v>
      </c>
      <c r="AB1670" s="13">
        <v>0</v>
      </c>
      <c r="AC1670" s="13">
        <f t="shared" si="445"/>
        <v>0</v>
      </c>
      <c r="AD1670" s="13">
        <f t="shared" si="442"/>
        <v>4</v>
      </c>
      <c r="AE1670" s="13">
        <f t="shared" si="443"/>
        <v>894.28</v>
      </c>
    </row>
    <row r="1671" spans="3:31" s="29" customFormat="1" x14ac:dyDescent="0.25">
      <c r="C1671" s="896"/>
      <c r="D1671" s="896"/>
      <c r="E1671" s="896"/>
      <c r="F1671" s="898"/>
      <c r="G1671" s="898"/>
      <c r="H1671" s="898"/>
      <c r="I1671" s="898"/>
      <c r="J1671" s="898"/>
      <c r="M1671" s="13" t="s">
        <v>521</v>
      </c>
      <c r="N1671" s="13">
        <f>AE1672</f>
        <v>5620.16</v>
      </c>
      <c r="O1671" s="13" t="s">
        <v>1388</v>
      </c>
      <c r="P1671" s="13">
        <v>120</v>
      </c>
      <c r="Q1671" s="13">
        <f>N1671</f>
        <v>5620.16</v>
      </c>
      <c r="R1671" s="13">
        <v>0</v>
      </c>
      <c r="S1671" s="13">
        <f t="shared" si="444"/>
        <v>0</v>
      </c>
      <c r="T1671" s="13">
        <f t="shared" si="438"/>
        <v>120</v>
      </c>
      <c r="U1671" s="13">
        <f t="shared" si="439"/>
        <v>5620.16</v>
      </c>
      <c r="W1671" s="13" t="s">
        <v>546</v>
      </c>
      <c r="X1671" s="13">
        <f>AE3</f>
        <v>49.18</v>
      </c>
      <c r="Y1671" s="13" t="str">
        <f>AD3</f>
        <v>mL</v>
      </c>
      <c r="Z1671" s="13">
        <v>60</v>
      </c>
      <c r="AA1671" s="13">
        <f t="shared" si="440"/>
        <v>2950.8</v>
      </c>
      <c r="AB1671" s="13">
        <v>0</v>
      </c>
      <c r="AC1671" s="13">
        <f t="shared" si="445"/>
        <v>0</v>
      </c>
      <c r="AD1671" s="13">
        <f t="shared" si="442"/>
        <v>60</v>
      </c>
      <c r="AE1671" s="13">
        <f t="shared" si="443"/>
        <v>2950.8</v>
      </c>
    </row>
    <row r="1672" spans="3:31" s="29" customFormat="1" x14ac:dyDescent="0.25">
      <c r="C1672" s="896"/>
      <c r="D1672" s="896"/>
      <c r="E1672" s="896"/>
      <c r="F1672" s="898"/>
      <c r="G1672" s="898"/>
      <c r="H1672" s="898"/>
      <c r="I1672" s="898"/>
      <c r="J1672" s="898"/>
      <c r="M1672" s="13"/>
      <c r="N1672" s="13"/>
      <c r="O1672" s="13"/>
      <c r="P1672" s="13"/>
      <c r="Q1672" s="13"/>
      <c r="R1672" s="13"/>
      <c r="S1672" s="13"/>
      <c r="T1672" s="13"/>
      <c r="U1672" s="13"/>
      <c r="W1672" s="13" t="s">
        <v>337</v>
      </c>
      <c r="X1672" s="13">
        <f>SUM(X1665:X1671)</f>
        <v>397.29</v>
      </c>
      <c r="Y1672" s="13"/>
      <c r="Z1672" s="13">
        <f>SUM(Z1665:Z1671)</f>
        <v>109</v>
      </c>
      <c r="AA1672" s="13">
        <f>SUM(AA1665:AA1671)</f>
        <v>5602.22</v>
      </c>
      <c r="AB1672" s="13"/>
      <c r="AC1672" s="13"/>
      <c r="AD1672" s="13"/>
      <c r="AE1672" s="13">
        <f>SUM(AE1665:AE1671)</f>
        <v>5620.16</v>
      </c>
    </row>
    <row r="1673" spans="3:31" s="29" customFormat="1" x14ac:dyDescent="0.25">
      <c r="C1673" s="896" t="s">
        <v>5</v>
      </c>
      <c r="D1673" s="896"/>
      <c r="E1673" s="896"/>
      <c r="F1673" s="897" t="s">
        <v>201</v>
      </c>
      <c r="G1673" s="898"/>
      <c r="H1673" s="898"/>
      <c r="I1673" s="898"/>
      <c r="J1673" s="898"/>
      <c r="M1673" s="13" t="s">
        <v>337</v>
      </c>
      <c r="N1673" s="13">
        <f>SUM(N1664:N1672)</f>
        <v>7824.6723984875516</v>
      </c>
      <c r="O1673" s="13"/>
      <c r="P1673" s="13">
        <f>SUM(P1664:P1672)</f>
        <v>418</v>
      </c>
      <c r="Q1673" s="13">
        <f>SUM(Q1664:Q1672)</f>
        <v>11968.512398487552</v>
      </c>
      <c r="R1673" s="13"/>
      <c r="S1673" s="13"/>
      <c r="T1673" s="13"/>
      <c r="U1673" s="13">
        <f>SUM(U1664:U1672)</f>
        <v>11978.172398487552</v>
      </c>
    </row>
    <row r="1674" spans="3:31" s="29" customFormat="1" x14ac:dyDescent="0.25">
      <c r="C1674" s="896"/>
      <c r="D1674" s="896"/>
      <c r="E1674" s="896"/>
      <c r="F1674" s="898"/>
      <c r="G1674" s="898"/>
      <c r="H1674" s="898"/>
      <c r="I1674" s="898"/>
      <c r="J1674" s="898"/>
      <c r="AA1674" s="13" t="s">
        <v>1681</v>
      </c>
      <c r="AB1674" s="13">
        <f>AE1672</f>
        <v>5620.16</v>
      </c>
      <c r="AC1674" s="608" t="s">
        <v>2142</v>
      </c>
      <c r="AD1674" s="608">
        <f>(AB1674*100)/AB1681</f>
        <v>42.441465841361861</v>
      </c>
    </row>
    <row r="1675" spans="3:31" s="29" customFormat="1" x14ac:dyDescent="0.25">
      <c r="C1675" s="896"/>
      <c r="D1675" s="896"/>
      <c r="E1675" s="896"/>
      <c r="F1675" s="898"/>
      <c r="G1675" s="898"/>
      <c r="H1675" s="898"/>
      <c r="I1675" s="898"/>
      <c r="J1675" s="898"/>
      <c r="Q1675" s="13" t="s">
        <v>1681</v>
      </c>
      <c r="R1675" s="13">
        <f>U1673</f>
        <v>11978.172398487552</v>
      </c>
      <c r="S1675" s="608" t="s">
        <v>2142</v>
      </c>
      <c r="T1675" s="608">
        <f>(R1675*100)/R1682</f>
        <v>49.77951236759219</v>
      </c>
      <c r="AA1675" s="13" t="s">
        <v>2326</v>
      </c>
      <c r="AB1675" s="13">
        <f>$AO$26/2</f>
        <v>476.87414947063905</v>
      </c>
    </row>
    <row r="1676" spans="3:31" s="29" customFormat="1" x14ac:dyDescent="0.25">
      <c r="C1676" s="896" t="s">
        <v>6</v>
      </c>
      <c r="D1676" s="896"/>
      <c r="E1676" s="896"/>
      <c r="F1676" s="898" t="s">
        <v>9</v>
      </c>
      <c r="G1676" s="898"/>
      <c r="H1676" s="898"/>
      <c r="I1676" s="898"/>
      <c r="J1676" s="898"/>
      <c r="Q1676" s="13" t="s">
        <v>2326</v>
      </c>
      <c r="R1676" s="13">
        <f>$AL$26</f>
        <v>1801.715474357886</v>
      </c>
      <c r="AA1676" s="13" t="s">
        <v>2325</v>
      </c>
      <c r="AB1676" s="13">
        <f>$AO$27/4</f>
        <v>18.899999999999999</v>
      </c>
    </row>
    <row r="1677" spans="3:31" s="29" customFormat="1" x14ac:dyDescent="0.25">
      <c r="C1677" s="896"/>
      <c r="D1677" s="896"/>
      <c r="E1677" s="896"/>
      <c r="F1677" s="898"/>
      <c r="G1677" s="898"/>
      <c r="H1677" s="898"/>
      <c r="I1677" s="898"/>
      <c r="J1677" s="898"/>
      <c r="Q1677" s="13" t="s">
        <v>2325</v>
      </c>
      <c r="R1677" s="13">
        <f>$AL$27</f>
        <v>75.599999999999994</v>
      </c>
      <c r="AA1677" s="13" t="s">
        <v>1684</v>
      </c>
      <c r="AB1677" s="13">
        <f>$AO$29</f>
        <v>1547.3435977313275</v>
      </c>
    </row>
    <row r="1678" spans="3:31" s="29" customFormat="1" x14ac:dyDescent="0.25">
      <c r="C1678" s="896"/>
      <c r="D1678" s="896"/>
      <c r="E1678" s="896"/>
      <c r="F1678" s="898"/>
      <c r="G1678" s="898"/>
      <c r="H1678" s="898"/>
      <c r="I1678" s="898"/>
      <c r="J1678" s="898"/>
      <c r="Q1678" s="13" t="s">
        <v>1684</v>
      </c>
      <c r="R1678" s="13">
        <f>$AL$29</f>
        <v>69.543532482306858</v>
      </c>
      <c r="AA1678" s="13" t="s">
        <v>1685</v>
      </c>
      <c r="AB1678" s="13">
        <v>0.6</v>
      </c>
    </row>
    <row r="1679" spans="3:31" s="29" customFormat="1" x14ac:dyDescent="0.25">
      <c r="C1679" s="896" t="s">
        <v>7</v>
      </c>
      <c r="D1679" s="896"/>
      <c r="E1679" s="896"/>
      <c r="F1679" s="897" t="s">
        <v>538</v>
      </c>
      <c r="G1679" s="898"/>
      <c r="H1679" s="898"/>
      <c r="I1679" s="898"/>
      <c r="J1679" s="898"/>
      <c r="Q1679" s="13" t="s">
        <v>1685</v>
      </c>
      <c r="R1679" s="13">
        <v>0.6</v>
      </c>
      <c r="AA1679" s="13" t="s">
        <v>1708</v>
      </c>
      <c r="AB1679" s="13">
        <f>(SUM(AB1674:AB1677)*AB1678)+SUM(AB1674:AB1677)</f>
        <v>12261.244395523147</v>
      </c>
    </row>
    <row r="1680" spans="3:31" s="29" customFormat="1" x14ac:dyDescent="0.25">
      <c r="C1680" s="896"/>
      <c r="D1680" s="896"/>
      <c r="E1680" s="896"/>
      <c r="F1680" s="898"/>
      <c r="G1680" s="898"/>
      <c r="H1680" s="898"/>
      <c r="I1680" s="898"/>
      <c r="J1680" s="898"/>
      <c r="Q1680" s="13" t="s">
        <v>1708</v>
      </c>
      <c r="R1680" s="13">
        <f>(SUM(R1675:R1678)*R1679)+SUM(R1675:R1678)</f>
        <v>22280.050248524392</v>
      </c>
      <c r="AA1680" s="13" t="s">
        <v>2130</v>
      </c>
      <c r="AB1680" s="13">
        <f>AB1679*0.08</f>
        <v>980.89955164185176</v>
      </c>
    </row>
    <row r="1681" spans="3:28" s="29" customFormat="1" x14ac:dyDescent="0.25">
      <c r="C1681" s="896"/>
      <c r="D1681" s="896"/>
      <c r="E1681" s="896"/>
      <c r="F1681" s="898"/>
      <c r="G1681" s="898"/>
      <c r="H1681" s="898"/>
      <c r="I1681" s="898"/>
      <c r="J1681" s="898"/>
      <c r="Q1681" s="13" t="s">
        <v>2130</v>
      </c>
      <c r="R1681" s="13">
        <f>R1680*0.08</f>
        <v>1782.4040198819514</v>
      </c>
      <c r="AA1681" s="13" t="s">
        <v>1686</v>
      </c>
      <c r="AB1681" s="13">
        <f>SUM(AB1679+AB1680)</f>
        <v>13242.143947164997</v>
      </c>
    </row>
    <row r="1682" spans="3:28" s="29" customFormat="1" x14ac:dyDescent="0.25">
      <c r="Q1682" s="13" t="s">
        <v>1686</v>
      </c>
      <c r="R1682" s="13">
        <f>SUM(R1680+R1681)</f>
        <v>24062.454268406345</v>
      </c>
      <c r="T1682" s="30"/>
      <c r="U1682" s="30"/>
      <c r="V1682" s="30"/>
      <c r="W1682" s="30"/>
      <c r="X1682" s="30"/>
    </row>
    <row r="1683" spans="3:28" s="29" customFormat="1" x14ac:dyDescent="0.25">
      <c r="T1683" s="30"/>
      <c r="U1683" s="30"/>
      <c r="V1683" s="30"/>
      <c r="W1683" s="30"/>
      <c r="X1683" s="30"/>
    </row>
    <row r="1684" spans="3:28" s="29" customFormat="1" x14ac:dyDescent="0.25">
      <c r="C1684" s="910" t="s">
        <v>8</v>
      </c>
      <c r="D1684" s="910"/>
      <c r="E1684" s="910"/>
      <c r="F1684" s="910"/>
      <c r="G1684" s="910"/>
      <c r="H1684" s="910"/>
      <c r="I1684" s="910"/>
      <c r="J1684" s="910"/>
      <c r="T1684" s="30"/>
      <c r="U1684" s="30"/>
      <c r="V1684" s="30"/>
      <c r="W1684" s="30"/>
      <c r="X1684" s="30"/>
    </row>
    <row r="1685" spans="3:28" s="29" customFormat="1" x14ac:dyDescent="0.25">
      <c r="C1685" s="895" t="s">
        <v>0</v>
      </c>
      <c r="D1685" s="895"/>
      <c r="E1685" s="895"/>
      <c r="F1685" s="895" t="s">
        <v>1</v>
      </c>
      <c r="G1685" s="895"/>
      <c r="H1685" s="895"/>
      <c r="I1685" s="895"/>
      <c r="J1685" s="895"/>
      <c r="T1685" s="30"/>
      <c r="U1685" s="30"/>
      <c r="V1685" s="30"/>
      <c r="W1685" s="30"/>
      <c r="X1685" s="30"/>
    </row>
    <row r="1686" spans="3:28" s="29" customFormat="1" x14ac:dyDescent="0.25">
      <c r="C1686" s="896" t="s">
        <v>2</v>
      </c>
      <c r="D1686" s="896"/>
      <c r="E1686" s="896"/>
      <c r="F1686" s="898" t="s">
        <v>1007</v>
      </c>
      <c r="G1686" s="898"/>
      <c r="H1686" s="898"/>
      <c r="I1686" s="898"/>
      <c r="J1686" s="898"/>
      <c r="M1686" s="12" t="s">
        <v>336</v>
      </c>
      <c r="N1686" s="12" t="s">
        <v>174</v>
      </c>
      <c r="O1686" s="12" t="s">
        <v>248</v>
      </c>
      <c r="P1686" s="12" t="s">
        <v>176</v>
      </c>
      <c r="Q1686" s="12" t="s">
        <v>337</v>
      </c>
      <c r="R1686" s="298" t="s">
        <v>1641</v>
      </c>
      <c r="S1686" s="298" t="s">
        <v>1642</v>
      </c>
      <c r="T1686" s="298" t="s">
        <v>1643</v>
      </c>
      <c r="U1686" s="298" t="s">
        <v>1644</v>
      </c>
      <c r="V1686" s="103"/>
      <c r="W1686" s="103"/>
      <c r="X1686" s="103"/>
    </row>
    <row r="1687" spans="3:28" s="29" customFormat="1" x14ac:dyDescent="0.25">
      <c r="C1687" s="896"/>
      <c r="D1687" s="896"/>
      <c r="E1687" s="896"/>
      <c r="F1687" s="898"/>
      <c r="G1687" s="898"/>
      <c r="H1687" s="898"/>
      <c r="I1687" s="898"/>
      <c r="J1687" s="898"/>
      <c r="M1687" s="13" t="s">
        <v>344</v>
      </c>
      <c r="N1687" s="13">
        <f>F13</f>
        <v>2073.8723984875514</v>
      </c>
      <c r="O1687" s="13" t="str">
        <f>D13</f>
        <v>g</v>
      </c>
      <c r="P1687" s="13">
        <v>100</v>
      </c>
      <c r="Q1687" s="13">
        <f>N1687</f>
        <v>2073.8723984875514</v>
      </c>
      <c r="R1687" s="13">
        <v>0</v>
      </c>
      <c r="S1687" s="13">
        <f>P1687*R1687</f>
        <v>0</v>
      </c>
      <c r="T1687" s="13">
        <f>P1687-S1687</f>
        <v>100</v>
      </c>
      <c r="U1687" s="13">
        <f>Q1687+((S1687*Q1687)/P1687)</f>
        <v>2073.8723984875514</v>
      </c>
      <c r="V1687" s="104"/>
      <c r="W1687" s="104"/>
      <c r="X1687" s="104"/>
    </row>
    <row r="1688" spans="3:28" s="29" customFormat="1" x14ac:dyDescent="0.25">
      <c r="C1688" s="896"/>
      <c r="D1688" s="896"/>
      <c r="E1688" s="896"/>
      <c r="F1688" s="898"/>
      <c r="G1688" s="898"/>
      <c r="H1688" s="898"/>
      <c r="I1688" s="898"/>
      <c r="J1688" s="898"/>
      <c r="M1688" s="13" t="s">
        <v>340</v>
      </c>
      <c r="N1688" s="13">
        <f>Y20</f>
        <v>0.64</v>
      </c>
      <c r="O1688" s="13" t="str">
        <f>X20</f>
        <v>g</v>
      </c>
      <c r="P1688" s="13">
        <v>2</v>
      </c>
      <c r="Q1688" s="13">
        <f t="shared" ref="Q1688:Q1693" si="446">N1688*P1688</f>
        <v>1.28</v>
      </c>
      <c r="R1688" s="13">
        <v>0</v>
      </c>
      <c r="S1688" s="13">
        <f t="shared" ref="S1688:S1689" si="447">P1688*R1688</f>
        <v>0</v>
      </c>
      <c r="T1688" s="13">
        <f t="shared" ref="T1688:T1693" si="448">P1688-S1688</f>
        <v>2</v>
      </c>
      <c r="U1688" s="13">
        <f t="shared" ref="U1688:U1693" si="449">Q1688+((S1688*Q1688)/P1688)</f>
        <v>1.28</v>
      </c>
      <c r="V1688" s="30"/>
      <c r="W1688" s="30"/>
      <c r="X1688" s="30"/>
    </row>
    <row r="1689" spans="3:28" s="29" customFormat="1" x14ac:dyDescent="0.25">
      <c r="C1689" s="895" t="s">
        <v>0</v>
      </c>
      <c r="D1689" s="895"/>
      <c r="E1689" s="895"/>
      <c r="F1689" s="895" t="s">
        <v>1</v>
      </c>
      <c r="G1689" s="895"/>
      <c r="H1689" s="895"/>
      <c r="I1689" s="895"/>
      <c r="J1689" s="895"/>
      <c r="M1689" s="13" t="s">
        <v>429</v>
      </c>
      <c r="N1689" s="13">
        <f>P29</f>
        <v>1.8</v>
      </c>
      <c r="O1689" s="13" t="str">
        <f>O29</f>
        <v>g</v>
      </c>
      <c r="P1689" s="13">
        <v>60</v>
      </c>
      <c r="Q1689" s="13">
        <f t="shared" si="446"/>
        <v>108</v>
      </c>
      <c r="R1689" s="13">
        <f>AJ18</f>
        <v>0.05</v>
      </c>
      <c r="S1689" s="13">
        <f t="shared" si="447"/>
        <v>3</v>
      </c>
      <c r="T1689" s="13">
        <f t="shared" si="448"/>
        <v>57</v>
      </c>
      <c r="U1689" s="13">
        <f t="shared" si="449"/>
        <v>113.4</v>
      </c>
      <c r="V1689" s="30"/>
      <c r="W1689" s="30"/>
      <c r="X1689" s="30"/>
    </row>
    <row r="1690" spans="3:28" s="29" customFormat="1" x14ac:dyDescent="0.25">
      <c r="C1690" s="896" t="s">
        <v>3</v>
      </c>
      <c r="D1690" s="896"/>
      <c r="E1690" s="896"/>
      <c r="F1690" s="898" t="s">
        <v>193</v>
      </c>
      <c r="G1690" s="898"/>
      <c r="H1690" s="898"/>
      <c r="I1690" s="898"/>
      <c r="J1690" s="898"/>
      <c r="M1690" s="13" t="s">
        <v>430</v>
      </c>
      <c r="N1690" s="13">
        <f>P10</f>
        <v>0.7</v>
      </c>
      <c r="O1690" s="13" t="str">
        <f>O10</f>
        <v>g</v>
      </c>
      <c r="P1690" s="13">
        <v>30</v>
      </c>
      <c r="Q1690" s="13">
        <f t="shared" si="446"/>
        <v>21</v>
      </c>
      <c r="R1690" s="13">
        <f>AJ7</f>
        <v>0.15</v>
      </c>
      <c r="S1690" s="13">
        <f>P1690*R1690</f>
        <v>4.5</v>
      </c>
      <c r="T1690" s="13">
        <f t="shared" si="448"/>
        <v>25.5</v>
      </c>
      <c r="U1690" s="13">
        <f t="shared" si="449"/>
        <v>24.15</v>
      </c>
      <c r="V1690" s="30"/>
      <c r="W1690" s="30"/>
      <c r="X1690" s="30"/>
    </row>
    <row r="1691" spans="3:28" s="29" customFormat="1" x14ac:dyDescent="0.25">
      <c r="C1691" s="896"/>
      <c r="D1691" s="896"/>
      <c r="E1691" s="896"/>
      <c r="F1691" s="898"/>
      <c r="G1691" s="898"/>
      <c r="H1691" s="898"/>
      <c r="I1691" s="898"/>
      <c r="J1691" s="898"/>
      <c r="M1691" s="13" t="s">
        <v>490</v>
      </c>
      <c r="N1691" s="13">
        <f>P6</f>
        <v>7.8</v>
      </c>
      <c r="O1691" s="13" t="str">
        <f>O6</f>
        <v>g</v>
      </c>
      <c r="P1691" s="13">
        <v>60</v>
      </c>
      <c r="Q1691" s="13">
        <f t="shared" si="446"/>
        <v>468</v>
      </c>
      <c r="R1691" s="13">
        <f>AJ4</f>
        <v>0.55000000000000004</v>
      </c>
      <c r="S1691" s="13">
        <f t="shared" ref="S1691:S1693" si="450">P1691*R1691</f>
        <v>33</v>
      </c>
      <c r="T1691" s="13">
        <f t="shared" si="448"/>
        <v>27</v>
      </c>
      <c r="U1691" s="13">
        <f t="shared" si="449"/>
        <v>725.4</v>
      </c>
      <c r="V1691" s="30"/>
      <c r="W1691" s="30"/>
      <c r="X1691" s="30"/>
    </row>
    <row r="1692" spans="3:28" s="29" customFormat="1" x14ac:dyDescent="0.25">
      <c r="C1692" s="896"/>
      <c r="D1692" s="896"/>
      <c r="E1692" s="896"/>
      <c r="F1692" s="898"/>
      <c r="G1692" s="898"/>
      <c r="H1692" s="898"/>
      <c r="I1692" s="898"/>
      <c r="J1692" s="898"/>
      <c r="M1692" s="13" t="s">
        <v>510</v>
      </c>
      <c r="N1692" s="13">
        <f>P21</f>
        <v>1.6</v>
      </c>
      <c r="O1692" s="13" t="str">
        <f>O21</f>
        <v>g</v>
      </c>
      <c r="P1692" s="13">
        <v>50</v>
      </c>
      <c r="Q1692" s="13">
        <f t="shared" si="446"/>
        <v>80</v>
      </c>
      <c r="R1692" s="13">
        <f>AJ12</f>
        <v>0</v>
      </c>
      <c r="S1692" s="13">
        <f t="shared" si="450"/>
        <v>0</v>
      </c>
      <c r="T1692" s="13">
        <f t="shared" si="448"/>
        <v>50</v>
      </c>
      <c r="U1692" s="13">
        <f t="shared" si="449"/>
        <v>80</v>
      </c>
      <c r="V1692" s="30"/>
      <c r="W1692" s="30"/>
      <c r="X1692" s="30"/>
    </row>
    <row r="1693" spans="3:28" s="29" customFormat="1" x14ac:dyDescent="0.25">
      <c r="C1693" s="896" t="s">
        <v>4</v>
      </c>
      <c r="D1693" s="896"/>
      <c r="E1693" s="896"/>
      <c r="F1693" s="898" t="s">
        <v>15</v>
      </c>
      <c r="G1693" s="898"/>
      <c r="H1693" s="898"/>
      <c r="I1693" s="898"/>
      <c r="J1693" s="898"/>
      <c r="M1693" s="13" t="s">
        <v>529</v>
      </c>
      <c r="N1693" s="13">
        <f>P32</f>
        <v>17.72</v>
      </c>
      <c r="O1693" s="13" t="str">
        <f>O32</f>
        <v>g</v>
      </c>
      <c r="P1693" s="13">
        <v>50</v>
      </c>
      <c r="Q1693" s="13">
        <f t="shared" si="446"/>
        <v>886</v>
      </c>
      <c r="R1693" s="13">
        <f>AJ20</f>
        <v>0.31</v>
      </c>
      <c r="S1693" s="13">
        <f t="shared" si="450"/>
        <v>15.5</v>
      </c>
      <c r="T1693" s="13">
        <f t="shared" si="448"/>
        <v>34.5</v>
      </c>
      <c r="U1693" s="13">
        <f t="shared" si="449"/>
        <v>1160.6600000000001</v>
      </c>
      <c r="V1693" s="30"/>
      <c r="W1693" s="30"/>
      <c r="X1693" s="30"/>
    </row>
    <row r="1694" spans="3:28" s="29" customFormat="1" x14ac:dyDescent="0.25">
      <c r="C1694" s="896"/>
      <c r="D1694" s="896"/>
      <c r="E1694" s="896"/>
      <c r="F1694" s="898"/>
      <c r="G1694" s="898"/>
      <c r="H1694" s="898"/>
      <c r="I1694" s="898"/>
      <c r="J1694" s="898"/>
      <c r="M1694" s="13"/>
      <c r="N1694" s="13"/>
      <c r="O1694" s="13"/>
      <c r="P1694" s="13"/>
      <c r="Q1694" s="13"/>
      <c r="R1694" s="13"/>
      <c r="S1694" s="13"/>
      <c r="T1694" s="13"/>
      <c r="U1694" s="13"/>
      <c r="V1694" s="30"/>
      <c r="W1694" s="30"/>
      <c r="X1694" s="30"/>
    </row>
    <row r="1695" spans="3:28" s="29" customFormat="1" x14ac:dyDescent="0.25">
      <c r="C1695" s="896"/>
      <c r="D1695" s="896"/>
      <c r="E1695" s="896"/>
      <c r="F1695" s="898"/>
      <c r="G1695" s="898"/>
      <c r="H1695" s="898"/>
      <c r="I1695" s="898"/>
      <c r="J1695" s="898"/>
      <c r="M1695" s="13" t="s">
        <v>337</v>
      </c>
      <c r="N1695" s="13">
        <f>SUM(N1687:N1694)</f>
        <v>2104.1323984875512</v>
      </c>
      <c r="O1695" s="13"/>
      <c r="P1695" s="13">
        <f>SUM(P1687:P1694)</f>
        <v>352</v>
      </c>
      <c r="Q1695" s="13">
        <f>SUM(Q1687:Q1694)</f>
        <v>3638.1523984875516</v>
      </c>
      <c r="R1695" s="13"/>
      <c r="S1695" s="13"/>
      <c r="T1695" s="13"/>
      <c r="U1695" s="13">
        <f>SUM(U1687:U1694)</f>
        <v>4178.7623984875518</v>
      </c>
      <c r="V1695" s="30"/>
      <c r="W1695" s="30"/>
      <c r="X1695" s="30"/>
    </row>
    <row r="1696" spans="3:28" s="29" customFormat="1" x14ac:dyDescent="0.25">
      <c r="C1696" s="896" t="s">
        <v>5</v>
      </c>
      <c r="D1696" s="896"/>
      <c r="E1696" s="896"/>
      <c r="F1696" s="898" t="s">
        <v>194</v>
      </c>
      <c r="G1696" s="898"/>
      <c r="H1696" s="898"/>
      <c r="I1696" s="898"/>
      <c r="J1696" s="898"/>
      <c r="T1696" s="30"/>
      <c r="U1696" s="30"/>
      <c r="V1696" s="30"/>
      <c r="W1696" s="30"/>
      <c r="X1696" s="30"/>
    </row>
    <row r="1697" spans="3:24" s="29" customFormat="1" x14ac:dyDescent="0.25">
      <c r="C1697" s="896"/>
      <c r="D1697" s="896"/>
      <c r="E1697" s="896"/>
      <c r="F1697" s="898"/>
      <c r="G1697" s="898"/>
      <c r="H1697" s="898"/>
      <c r="I1697" s="898"/>
      <c r="J1697" s="898"/>
      <c r="Q1697" s="13" t="s">
        <v>1681</v>
      </c>
      <c r="R1697" s="13">
        <f>U1695</f>
        <v>4178.7623984875518</v>
      </c>
      <c r="S1697" s="608" t="s">
        <v>2142</v>
      </c>
      <c r="T1697" s="608">
        <f>(R1697*100)/R1704</f>
        <v>39.477876886077837</v>
      </c>
      <c r="U1697" s="30"/>
      <c r="V1697" s="30"/>
      <c r="W1697" s="30"/>
      <c r="X1697" s="30"/>
    </row>
    <row r="1698" spans="3:24" s="29" customFormat="1" x14ac:dyDescent="0.25">
      <c r="C1698" s="896"/>
      <c r="D1698" s="896"/>
      <c r="E1698" s="896"/>
      <c r="F1698" s="898"/>
      <c r="G1698" s="898"/>
      <c r="H1698" s="898"/>
      <c r="I1698" s="898"/>
      <c r="J1698" s="898"/>
      <c r="Q1698" s="13" t="s">
        <v>2326</v>
      </c>
      <c r="R1698" s="13">
        <f>$AL$26</f>
        <v>1801.715474357886</v>
      </c>
      <c r="T1698" s="30"/>
      <c r="U1698" s="30"/>
      <c r="V1698" s="30"/>
      <c r="W1698" s="30"/>
      <c r="X1698" s="30"/>
    </row>
    <row r="1699" spans="3:24" s="29" customFormat="1" x14ac:dyDescent="0.25">
      <c r="C1699" s="896" t="s">
        <v>6</v>
      </c>
      <c r="D1699" s="896"/>
      <c r="E1699" s="896"/>
      <c r="F1699" s="898" t="s">
        <v>9</v>
      </c>
      <c r="G1699" s="898"/>
      <c r="H1699" s="898"/>
      <c r="I1699" s="898"/>
      <c r="J1699" s="898"/>
      <c r="Q1699" s="13" t="s">
        <v>2325</v>
      </c>
      <c r="R1699" s="13">
        <f>$AL$27</f>
        <v>75.599999999999994</v>
      </c>
    </row>
    <row r="1700" spans="3:24" s="29" customFormat="1" x14ac:dyDescent="0.25">
      <c r="C1700" s="896"/>
      <c r="D1700" s="896"/>
      <c r="E1700" s="896"/>
      <c r="F1700" s="898"/>
      <c r="G1700" s="898"/>
      <c r="H1700" s="898"/>
      <c r="I1700" s="898"/>
      <c r="J1700" s="898"/>
      <c r="Q1700" s="13" t="s">
        <v>1684</v>
      </c>
      <c r="R1700" s="13">
        <f>$AL$29</f>
        <v>69.543532482306858</v>
      </c>
    </row>
    <row r="1701" spans="3:24" s="29" customFormat="1" x14ac:dyDescent="0.25">
      <c r="C1701" s="896"/>
      <c r="D1701" s="896"/>
      <c r="E1701" s="896"/>
      <c r="F1701" s="898"/>
      <c r="G1701" s="898"/>
      <c r="H1701" s="898"/>
      <c r="I1701" s="898"/>
      <c r="J1701" s="898"/>
      <c r="Q1701" s="13" t="s">
        <v>1685</v>
      </c>
      <c r="R1701" s="13">
        <v>0.6</v>
      </c>
    </row>
    <row r="1702" spans="3:24" s="29" customFormat="1" x14ac:dyDescent="0.25">
      <c r="C1702" s="896" t="s">
        <v>7</v>
      </c>
      <c r="D1702" s="896"/>
      <c r="E1702" s="896"/>
      <c r="F1702" s="898" t="s">
        <v>195</v>
      </c>
      <c r="G1702" s="898"/>
      <c r="H1702" s="898"/>
      <c r="I1702" s="898"/>
      <c r="J1702" s="898"/>
      <c r="Q1702" s="13" t="s">
        <v>1708</v>
      </c>
      <c r="R1702" s="13">
        <f>(SUM(R1697:R1700)*R1701)+SUM(R1697:R1700)</f>
        <v>9800.9942485243919</v>
      </c>
    </row>
    <row r="1703" spans="3:24" s="29" customFormat="1" x14ac:dyDescent="0.25">
      <c r="C1703" s="896"/>
      <c r="D1703" s="896"/>
      <c r="E1703" s="896"/>
      <c r="F1703" s="898"/>
      <c r="G1703" s="898"/>
      <c r="H1703" s="898"/>
      <c r="I1703" s="898"/>
      <c r="J1703" s="898"/>
      <c r="Q1703" s="13" t="s">
        <v>2130</v>
      </c>
      <c r="R1703" s="13">
        <f>R1702*0.08</f>
        <v>784.0795398819514</v>
      </c>
    </row>
    <row r="1704" spans="3:24" s="29" customFormat="1" x14ac:dyDescent="0.25">
      <c r="C1704" s="896"/>
      <c r="D1704" s="896"/>
      <c r="E1704" s="896"/>
      <c r="F1704" s="898"/>
      <c r="G1704" s="898"/>
      <c r="H1704" s="898"/>
      <c r="I1704" s="898"/>
      <c r="J1704" s="898"/>
      <c r="Q1704" s="13" t="s">
        <v>1686</v>
      </c>
      <c r="R1704" s="13">
        <f>SUM(R1702+R1703)</f>
        <v>10585.073788406344</v>
      </c>
      <c r="T1704" s="30"/>
      <c r="U1704" s="30"/>
      <c r="V1704" s="30"/>
      <c r="W1704" s="30"/>
      <c r="X1704" s="30"/>
    </row>
    <row r="1705" spans="3:24" s="29" customFormat="1" x14ac:dyDescent="0.25">
      <c r="T1705" s="30"/>
      <c r="U1705" s="30"/>
      <c r="V1705" s="30"/>
      <c r="W1705" s="30"/>
      <c r="X1705" s="30"/>
    </row>
    <row r="1706" spans="3:24" s="29" customFormat="1" x14ac:dyDescent="0.25">
      <c r="T1706" s="30"/>
      <c r="U1706" s="30"/>
      <c r="V1706" s="30"/>
      <c r="W1706" s="30"/>
      <c r="X1706" s="30"/>
    </row>
    <row r="1707" spans="3:24" s="29" customFormat="1" x14ac:dyDescent="0.25">
      <c r="C1707" s="910" t="s">
        <v>8</v>
      </c>
      <c r="D1707" s="910"/>
      <c r="E1707" s="910"/>
      <c r="F1707" s="910"/>
      <c r="G1707" s="910"/>
      <c r="H1707" s="910"/>
      <c r="I1707" s="910"/>
      <c r="J1707" s="910"/>
      <c r="T1707" s="30"/>
      <c r="U1707" s="30"/>
      <c r="V1707" s="30"/>
      <c r="W1707" s="30"/>
      <c r="X1707" s="30"/>
    </row>
    <row r="1708" spans="3:24" s="29" customFormat="1" x14ac:dyDescent="0.25">
      <c r="C1708" s="895" t="s">
        <v>0</v>
      </c>
      <c r="D1708" s="895"/>
      <c r="E1708" s="895"/>
      <c r="F1708" s="895" t="s">
        <v>1</v>
      </c>
      <c r="G1708" s="895"/>
      <c r="H1708" s="895"/>
      <c r="I1708" s="895"/>
      <c r="J1708" s="895"/>
      <c r="T1708" s="30"/>
      <c r="U1708" s="30"/>
      <c r="V1708" s="30"/>
      <c r="W1708" s="30"/>
      <c r="X1708" s="30"/>
    </row>
    <row r="1709" spans="3:24" s="29" customFormat="1" x14ac:dyDescent="0.25">
      <c r="C1709" s="896" t="s">
        <v>2</v>
      </c>
      <c r="D1709" s="896"/>
      <c r="E1709" s="896"/>
      <c r="F1709" s="898" t="s">
        <v>1008</v>
      </c>
      <c r="G1709" s="898"/>
      <c r="H1709" s="898"/>
      <c r="I1709" s="898"/>
      <c r="J1709" s="898"/>
      <c r="M1709" s="12" t="s">
        <v>336</v>
      </c>
      <c r="N1709" s="12" t="s">
        <v>174</v>
      </c>
      <c r="O1709" s="12" t="s">
        <v>248</v>
      </c>
      <c r="P1709" s="12" t="s">
        <v>176</v>
      </c>
      <c r="Q1709" s="12" t="s">
        <v>337</v>
      </c>
      <c r="R1709" s="298" t="s">
        <v>1641</v>
      </c>
      <c r="S1709" s="298" t="s">
        <v>1642</v>
      </c>
      <c r="T1709" s="298" t="s">
        <v>1643</v>
      </c>
      <c r="U1709" s="298" t="s">
        <v>1644</v>
      </c>
      <c r="V1709" s="103"/>
      <c r="W1709" s="103"/>
      <c r="X1709" s="103"/>
    </row>
    <row r="1710" spans="3:24" s="29" customFormat="1" x14ac:dyDescent="0.25">
      <c r="C1710" s="896"/>
      <c r="D1710" s="896"/>
      <c r="E1710" s="896"/>
      <c r="F1710" s="898"/>
      <c r="G1710" s="898"/>
      <c r="H1710" s="898"/>
      <c r="I1710" s="898"/>
      <c r="J1710" s="898"/>
      <c r="M1710" s="13" t="s">
        <v>344</v>
      </c>
      <c r="N1710" s="13">
        <f>F9</f>
        <v>2073.8723984875514</v>
      </c>
      <c r="O1710" s="13" t="str">
        <f>D9</f>
        <v>g</v>
      </c>
      <c r="P1710" s="13">
        <v>100</v>
      </c>
      <c r="Q1710" s="13">
        <f>N1710</f>
        <v>2073.8723984875514</v>
      </c>
      <c r="R1710" s="13">
        <v>0</v>
      </c>
      <c r="S1710" s="13">
        <f>P1710*R1710</f>
        <v>0</v>
      </c>
      <c r="T1710" s="13">
        <f>P1710-S1710</f>
        <v>100</v>
      </c>
      <c r="U1710" s="13">
        <f>Q1710+((S1710*Q1710)/P1710)</f>
        <v>2073.8723984875514</v>
      </c>
      <c r="V1710" s="104"/>
      <c r="W1710" s="104"/>
      <c r="X1710" s="104"/>
    </row>
    <row r="1711" spans="3:24" s="29" customFormat="1" x14ac:dyDescent="0.25">
      <c r="C1711" s="896"/>
      <c r="D1711" s="896"/>
      <c r="E1711" s="896"/>
      <c r="F1711" s="898"/>
      <c r="G1711" s="898"/>
      <c r="H1711" s="898"/>
      <c r="I1711" s="898"/>
      <c r="J1711" s="898"/>
      <c r="M1711" s="13" t="s">
        <v>340</v>
      </c>
      <c r="N1711" s="13">
        <f>Y20</f>
        <v>0.64</v>
      </c>
      <c r="O1711" s="13" t="str">
        <f>X20</f>
        <v>g</v>
      </c>
      <c r="P1711" s="13">
        <v>2</v>
      </c>
      <c r="Q1711" s="13">
        <f t="shared" ref="Q1711:Q1718" si="451">N1711*P1711</f>
        <v>1.28</v>
      </c>
      <c r="R1711" s="13">
        <v>0</v>
      </c>
      <c r="S1711" s="13">
        <f t="shared" ref="S1711:S1712" si="452">P1711*R1711</f>
        <v>0</v>
      </c>
      <c r="T1711" s="13">
        <f t="shared" ref="T1711:T1718" si="453">P1711-S1711</f>
        <v>2</v>
      </c>
      <c r="U1711" s="13">
        <f t="shared" ref="U1711:U1718" si="454">Q1711+((S1711*Q1711)/P1711)</f>
        <v>1.28</v>
      </c>
      <c r="V1711" s="30"/>
      <c r="W1711" s="30"/>
      <c r="X1711" s="30"/>
    </row>
    <row r="1712" spans="3:24" s="29" customFormat="1" x14ac:dyDescent="0.25">
      <c r="C1712" s="895" t="s">
        <v>0</v>
      </c>
      <c r="D1712" s="895"/>
      <c r="E1712" s="895"/>
      <c r="F1712" s="895" t="s">
        <v>1</v>
      </c>
      <c r="G1712" s="895"/>
      <c r="H1712" s="895"/>
      <c r="I1712" s="895"/>
      <c r="J1712" s="895"/>
      <c r="M1712" s="13" t="s">
        <v>346</v>
      </c>
      <c r="N1712" s="13">
        <f>P3</f>
        <v>7</v>
      </c>
      <c r="O1712" s="13" t="str">
        <f>O3</f>
        <v>g</v>
      </c>
      <c r="P1712" s="13">
        <v>6</v>
      </c>
      <c r="Q1712" s="13">
        <f t="shared" si="451"/>
        <v>42</v>
      </c>
      <c r="R1712" s="13">
        <f>AJ2</f>
        <v>0.23</v>
      </c>
      <c r="S1712" s="13">
        <f t="shared" si="452"/>
        <v>1.3800000000000001</v>
      </c>
      <c r="T1712" s="13">
        <f t="shared" si="453"/>
        <v>4.62</v>
      </c>
      <c r="U1712" s="13">
        <f t="shared" si="454"/>
        <v>51.660000000000004</v>
      </c>
      <c r="V1712" s="30"/>
      <c r="W1712" s="30"/>
      <c r="X1712" s="30"/>
    </row>
    <row r="1713" spans="3:24" s="29" customFormat="1" x14ac:dyDescent="0.25">
      <c r="C1713" s="896" t="s">
        <v>3</v>
      </c>
      <c r="D1713" s="896"/>
      <c r="E1713" s="896"/>
      <c r="F1713" s="897" t="s">
        <v>197</v>
      </c>
      <c r="G1713" s="898"/>
      <c r="H1713" s="898"/>
      <c r="I1713" s="898"/>
      <c r="J1713" s="898"/>
      <c r="M1713" s="13" t="s">
        <v>433</v>
      </c>
      <c r="N1713" s="13">
        <f>Y18</f>
        <v>223.57</v>
      </c>
      <c r="O1713" s="13" t="str">
        <f>X18</f>
        <v>g</v>
      </c>
      <c r="P1713" s="13">
        <v>10</v>
      </c>
      <c r="Q1713" s="13">
        <f t="shared" si="451"/>
        <v>2235.6999999999998</v>
      </c>
      <c r="R1713" s="13">
        <v>0</v>
      </c>
      <c r="S1713" s="13">
        <f>P1713*R1713</f>
        <v>0</v>
      </c>
      <c r="T1713" s="13">
        <f t="shared" si="453"/>
        <v>10</v>
      </c>
      <c r="U1713" s="13">
        <f t="shared" si="454"/>
        <v>2235.6999999999998</v>
      </c>
      <c r="V1713" s="30"/>
      <c r="W1713" s="30"/>
      <c r="X1713" s="30"/>
    </row>
    <row r="1714" spans="3:24" s="29" customFormat="1" x14ac:dyDescent="0.25">
      <c r="C1714" s="896"/>
      <c r="D1714" s="896"/>
      <c r="E1714" s="896"/>
      <c r="F1714" s="898"/>
      <c r="G1714" s="898"/>
      <c r="H1714" s="898"/>
      <c r="I1714" s="898"/>
      <c r="J1714" s="898"/>
      <c r="M1714" s="13" t="s">
        <v>539</v>
      </c>
      <c r="N1714" s="13">
        <f>P7</f>
        <v>2.5</v>
      </c>
      <c r="O1714" s="13" t="str">
        <f>O7</f>
        <v>g</v>
      </c>
      <c r="P1714" s="13">
        <v>50</v>
      </c>
      <c r="Q1714" s="13">
        <f t="shared" si="451"/>
        <v>125</v>
      </c>
      <c r="R1714" s="13">
        <f>AJ5</f>
        <v>0.13</v>
      </c>
      <c r="S1714" s="13">
        <f t="shared" ref="S1714:S1718" si="455">P1714*R1714</f>
        <v>6.5</v>
      </c>
      <c r="T1714" s="13">
        <f t="shared" si="453"/>
        <v>43.5</v>
      </c>
      <c r="U1714" s="13">
        <f t="shared" si="454"/>
        <v>141.25</v>
      </c>
      <c r="V1714" s="30"/>
      <c r="W1714" s="30"/>
      <c r="X1714" s="30"/>
    </row>
    <row r="1715" spans="3:24" s="29" customFormat="1" x14ac:dyDescent="0.25">
      <c r="C1715" s="896"/>
      <c r="D1715" s="896"/>
      <c r="E1715" s="896"/>
      <c r="F1715" s="898"/>
      <c r="G1715" s="898"/>
      <c r="H1715" s="898"/>
      <c r="I1715" s="898"/>
      <c r="J1715" s="898"/>
      <c r="M1715" s="13" t="s">
        <v>529</v>
      </c>
      <c r="N1715" s="13">
        <f>P32</f>
        <v>17.72</v>
      </c>
      <c r="O1715" s="13" t="str">
        <f>O32</f>
        <v>g</v>
      </c>
      <c r="P1715" s="13">
        <v>60</v>
      </c>
      <c r="Q1715" s="13">
        <f t="shared" si="451"/>
        <v>1063.1999999999998</v>
      </c>
      <c r="R1715" s="13">
        <f>AJ20</f>
        <v>0.31</v>
      </c>
      <c r="S1715" s="13">
        <f t="shared" si="455"/>
        <v>18.600000000000001</v>
      </c>
      <c r="T1715" s="13">
        <f t="shared" si="453"/>
        <v>41.4</v>
      </c>
      <c r="U1715" s="13">
        <f t="shared" si="454"/>
        <v>1392.7919999999997</v>
      </c>
      <c r="V1715" s="30"/>
      <c r="W1715" s="30"/>
      <c r="X1715" s="30"/>
    </row>
    <row r="1716" spans="3:24" s="29" customFormat="1" x14ac:dyDescent="0.25">
      <c r="C1716" s="896" t="s">
        <v>4</v>
      </c>
      <c r="D1716" s="896"/>
      <c r="E1716" s="896"/>
      <c r="F1716" s="898" t="s">
        <v>15</v>
      </c>
      <c r="G1716" s="898"/>
      <c r="H1716" s="898"/>
      <c r="I1716" s="898"/>
      <c r="J1716" s="898"/>
      <c r="M1716" s="13" t="s">
        <v>505</v>
      </c>
      <c r="N1716" s="13">
        <f>P24</f>
        <v>3.5</v>
      </c>
      <c r="O1716" s="13" t="str">
        <f>O24</f>
        <v>g</v>
      </c>
      <c r="P1716" s="13">
        <v>50</v>
      </c>
      <c r="Q1716" s="13">
        <f t="shared" si="451"/>
        <v>175</v>
      </c>
      <c r="R1716" s="13">
        <f>AJ15</f>
        <v>0.26</v>
      </c>
      <c r="S1716" s="13">
        <f t="shared" si="455"/>
        <v>13</v>
      </c>
      <c r="T1716" s="13">
        <f t="shared" si="453"/>
        <v>37</v>
      </c>
      <c r="U1716" s="13">
        <f t="shared" si="454"/>
        <v>220.5</v>
      </c>
      <c r="V1716" s="30"/>
      <c r="W1716" s="30"/>
      <c r="X1716" s="30"/>
    </row>
    <row r="1717" spans="3:24" s="29" customFormat="1" x14ac:dyDescent="0.25">
      <c r="C1717" s="896"/>
      <c r="D1717" s="896"/>
      <c r="E1717" s="896"/>
      <c r="F1717" s="898"/>
      <c r="G1717" s="898"/>
      <c r="H1717" s="898"/>
      <c r="I1717" s="898"/>
      <c r="J1717" s="898"/>
      <c r="M1717" s="13" t="s">
        <v>450</v>
      </c>
      <c r="N1717" s="13">
        <f>AE11</f>
        <v>22.95</v>
      </c>
      <c r="O1717" s="13" t="str">
        <f>AD11</f>
        <v>g</v>
      </c>
      <c r="P1717" s="13">
        <v>60</v>
      </c>
      <c r="Q1717" s="13">
        <f t="shared" si="451"/>
        <v>1377</v>
      </c>
      <c r="R1717" s="13">
        <v>0</v>
      </c>
      <c r="S1717" s="13">
        <f t="shared" si="455"/>
        <v>0</v>
      </c>
      <c r="T1717" s="13">
        <f t="shared" si="453"/>
        <v>60</v>
      </c>
      <c r="U1717" s="13">
        <f t="shared" si="454"/>
        <v>1377</v>
      </c>
      <c r="V1717" s="30"/>
      <c r="W1717" s="30"/>
      <c r="X1717" s="30"/>
    </row>
    <row r="1718" spans="3:24" s="29" customFormat="1" x14ac:dyDescent="0.25">
      <c r="C1718" s="896"/>
      <c r="D1718" s="896"/>
      <c r="E1718" s="896"/>
      <c r="F1718" s="898"/>
      <c r="G1718" s="898"/>
      <c r="H1718" s="898"/>
      <c r="I1718" s="898"/>
      <c r="J1718" s="898"/>
      <c r="M1718" s="13" t="s">
        <v>511</v>
      </c>
      <c r="N1718" s="13">
        <f>P15</f>
        <v>8</v>
      </c>
      <c r="O1718" s="13" t="str">
        <f>O15</f>
        <v>g</v>
      </c>
      <c r="P1718" s="13">
        <v>15</v>
      </c>
      <c r="Q1718" s="13">
        <f t="shared" si="451"/>
        <v>120</v>
      </c>
      <c r="R1718" s="13">
        <v>0</v>
      </c>
      <c r="S1718" s="13">
        <f t="shared" si="455"/>
        <v>0</v>
      </c>
      <c r="T1718" s="13">
        <f t="shared" si="453"/>
        <v>15</v>
      </c>
      <c r="U1718" s="13">
        <f t="shared" si="454"/>
        <v>120</v>
      </c>
      <c r="V1718" s="30"/>
      <c r="W1718" s="30"/>
      <c r="X1718" s="30"/>
    </row>
    <row r="1719" spans="3:24" s="29" customFormat="1" x14ac:dyDescent="0.25">
      <c r="C1719" s="896" t="s">
        <v>5</v>
      </c>
      <c r="D1719" s="896"/>
      <c r="E1719" s="896"/>
      <c r="F1719" s="898" t="s">
        <v>196</v>
      </c>
      <c r="G1719" s="898"/>
      <c r="H1719" s="898"/>
      <c r="I1719" s="898"/>
      <c r="J1719" s="898"/>
      <c r="M1719" s="13"/>
      <c r="N1719" s="13"/>
      <c r="O1719" s="13"/>
      <c r="P1719" s="13"/>
      <c r="Q1719" s="13"/>
      <c r="R1719" s="13"/>
      <c r="S1719" s="13"/>
      <c r="T1719" s="13"/>
      <c r="U1719" s="13"/>
      <c r="V1719" s="30"/>
      <c r="W1719" s="30"/>
      <c r="X1719" s="30"/>
    </row>
    <row r="1720" spans="3:24" s="29" customFormat="1" x14ac:dyDescent="0.25">
      <c r="C1720" s="896"/>
      <c r="D1720" s="896"/>
      <c r="E1720" s="896"/>
      <c r="F1720" s="898"/>
      <c r="G1720" s="898"/>
      <c r="H1720" s="898"/>
      <c r="I1720" s="898"/>
      <c r="J1720" s="898"/>
      <c r="M1720" s="13" t="s">
        <v>337</v>
      </c>
      <c r="N1720" s="13">
        <f>SUM(N1710:N1719)</f>
        <v>2359.7523984875511</v>
      </c>
      <c r="O1720" s="13"/>
      <c r="P1720" s="13">
        <f>SUM(P1710:P1719)</f>
        <v>353</v>
      </c>
      <c r="Q1720" s="13">
        <f>SUM(Q1710:Q1719)</f>
        <v>7213.0523984875517</v>
      </c>
      <c r="R1720" s="13"/>
      <c r="S1720" s="13"/>
      <c r="T1720" s="13"/>
      <c r="U1720" s="13">
        <f>SUM(U1710:U1719)</f>
        <v>7614.0543984875512</v>
      </c>
      <c r="V1720" s="30"/>
      <c r="W1720" s="30"/>
      <c r="X1720" s="30"/>
    </row>
    <row r="1721" spans="3:24" s="29" customFormat="1" x14ac:dyDescent="0.25">
      <c r="C1721" s="896"/>
      <c r="D1721" s="896"/>
      <c r="E1721" s="896"/>
      <c r="F1721" s="898"/>
      <c r="G1721" s="898"/>
      <c r="H1721" s="898"/>
      <c r="I1721" s="898"/>
      <c r="J1721" s="898"/>
      <c r="T1721" s="30"/>
      <c r="U1721" s="30"/>
      <c r="V1721" s="30"/>
      <c r="W1721" s="30"/>
      <c r="X1721" s="30"/>
    </row>
    <row r="1722" spans="3:24" s="29" customFormat="1" x14ac:dyDescent="0.25">
      <c r="C1722" s="896" t="s">
        <v>6</v>
      </c>
      <c r="D1722" s="896"/>
      <c r="E1722" s="896"/>
      <c r="F1722" s="898" t="s">
        <v>9</v>
      </c>
      <c r="G1722" s="898"/>
      <c r="H1722" s="898"/>
      <c r="I1722" s="898"/>
      <c r="J1722" s="898"/>
      <c r="Q1722" s="13" t="s">
        <v>1681</v>
      </c>
      <c r="R1722" s="13">
        <f>U1720</f>
        <v>7614.0543984875512</v>
      </c>
      <c r="S1722" s="608" t="s">
        <v>2142</v>
      </c>
      <c r="T1722" s="608">
        <f>(R1722*100)/R1729</f>
        <v>46.086407164307715</v>
      </c>
    </row>
    <row r="1723" spans="3:24" s="29" customFormat="1" x14ac:dyDescent="0.25">
      <c r="C1723" s="896"/>
      <c r="D1723" s="896"/>
      <c r="E1723" s="896"/>
      <c r="F1723" s="898"/>
      <c r="G1723" s="898"/>
      <c r="H1723" s="898"/>
      <c r="I1723" s="898"/>
      <c r="J1723" s="898"/>
      <c r="Q1723" s="13" t="s">
        <v>2326</v>
      </c>
      <c r="R1723" s="13">
        <f>$AL$26</f>
        <v>1801.715474357886</v>
      </c>
    </row>
    <row r="1724" spans="3:24" s="29" customFormat="1" x14ac:dyDescent="0.25">
      <c r="C1724" s="896"/>
      <c r="D1724" s="896"/>
      <c r="E1724" s="896"/>
      <c r="F1724" s="898"/>
      <c r="G1724" s="898"/>
      <c r="H1724" s="898"/>
      <c r="I1724" s="898"/>
      <c r="J1724" s="898"/>
      <c r="Q1724" s="13" t="s">
        <v>2325</v>
      </c>
      <c r="R1724" s="13">
        <f>$AL$27</f>
        <v>75.599999999999994</v>
      </c>
    </row>
    <row r="1725" spans="3:24" s="29" customFormat="1" x14ac:dyDescent="0.25">
      <c r="C1725" s="896" t="s">
        <v>7</v>
      </c>
      <c r="D1725" s="896"/>
      <c r="E1725" s="896"/>
      <c r="F1725" s="898" t="s">
        <v>332</v>
      </c>
      <c r="G1725" s="898"/>
      <c r="H1725" s="898"/>
      <c r="I1725" s="898"/>
      <c r="J1725" s="898"/>
      <c r="Q1725" s="13" t="s">
        <v>1684</v>
      </c>
      <c r="R1725" s="13">
        <f>$AL$29</f>
        <v>69.543532482306858</v>
      </c>
    </row>
    <row r="1726" spans="3:24" s="29" customFormat="1" x14ac:dyDescent="0.25">
      <c r="C1726" s="896"/>
      <c r="D1726" s="896"/>
      <c r="E1726" s="896"/>
      <c r="F1726" s="898"/>
      <c r="G1726" s="898"/>
      <c r="H1726" s="898"/>
      <c r="I1726" s="898"/>
      <c r="J1726" s="898"/>
      <c r="Q1726" s="13" t="s">
        <v>1685</v>
      </c>
      <c r="R1726" s="13">
        <v>0.6</v>
      </c>
    </row>
    <row r="1727" spans="3:24" s="29" customFormat="1" x14ac:dyDescent="0.25">
      <c r="C1727" s="896"/>
      <c r="D1727" s="896"/>
      <c r="E1727" s="896"/>
      <c r="F1727" s="898"/>
      <c r="G1727" s="898"/>
      <c r="H1727" s="898"/>
      <c r="I1727" s="898"/>
      <c r="J1727" s="898"/>
      <c r="Q1727" s="13" t="s">
        <v>1708</v>
      </c>
      <c r="R1727" s="13">
        <f>(SUM(R1722:R1725)*R1726)+SUM(R1722:R1725)</f>
        <v>15297.461448524391</v>
      </c>
    </row>
    <row r="1728" spans="3:24" s="29" customFormat="1" x14ac:dyDescent="0.25">
      <c r="C1728" s="106"/>
      <c r="D1728" s="106"/>
      <c r="E1728" s="106"/>
      <c r="F1728" s="107"/>
      <c r="G1728" s="107"/>
      <c r="H1728" s="107"/>
      <c r="I1728" s="107"/>
      <c r="J1728" s="107"/>
      <c r="Q1728" s="13" t="s">
        <v>2130</v>
      </c>
      <c r="R1728" s="13">
        <f>R1727*0.08</f>
        <v>1223.7969158819512</v>
      </c>
      <c r="T1728" s="30"/>
      <c r="U1728" s="30"/>
      <c r="V1728" s="30"/>
      <c r="W1728" s="30"/>
      <c r="X1728" s="30"/>
    </row>
    <row r="1729" spans="3:24" s="29" customFormat="1" x14ac:dyDescent="0.25">
      <c r="C1729" s="106"/>
      <c r="D1729" s="106"/>
      <c r="E1729" s="106"/>
      <c r="F1729" s="107"/>
      <c r="G1729" s="107"/>
      <c r="H1729" s="107"/>
      <c r="I1729" s="107"/>
      <c r="J1729" s="107"/>
      <c r="Q1729" s="13" t="s">
        <v>1686</v>
      </c>
      <c r="R1729" s="13">
        <f>SUM(R1727+R1728)</f>
        <v>16521.258364406342</v>
      </c>
      <c r="T1729" s="30"/>
      <c r="U1729" s="30"/>
      <c r="V1729" s="30"/>
      <c r="W1729" s="30"/>
      <c r="X1729" s="30"/>
    </row>
    <row r="1730" spans="3:24" s="29" customFormat="1" x14ac:dyDescent="0.25">
      <c r="C1730" s="106"/>
      <c r="D1730" s="106"/>
      <c r="E1730" s="106"/>
      <c r="F1730" s="107"/>
      <c r="G1730" s="107"/>
      <c r="H1730" s="107"/>
      <c r="I1730" s="107"/>
      <c r="J1730" s="107"/>
      <c r="T1730" s="30"/>
      <c r="U1730" s="30"/>
      <c r="V1730" s="30"/>
      <c r="W1730" s="30"/>
      <c r="X1730" s="30"/>
    </row>
    <row r="1731" spans="3:24" s="29" customFormat="1" x14ac:dyDescent="0.25">
      <c r="C1731" s="106"/>
      <c r="D1731" s="106"/>
      <c r="E1731" s="106"/>
      <c r="F1731" s="107"/>
      <c r="G1731" s="107"/>
      <c r="H1731" s="107"/>
      <c r="I1731" s="107"/>
      <c r="J1731" s="107"/>
      <c r="T1731" s="30"/>
      <c r="U1731" s="30"/>
      <c r="V1731" s="30"/>
      <c r="W1731" s="30"/>
      <c r="X1731" s="30"/>
    </row>
    <row r="1732" spans="3:24" s="29" customFormat="1" x14ac:dyDescent="0.25">
      <c r="C1732" s="910" t="s">
        <v>8</v>
      </c>
      <c r="D1732" s="910"/>
      <c r="E1732" s="910"/>
      <c r="F1732" s="910"/>
      <c r="G1732" s="910"/>
      <c r="H1732" s="910"/>
      <c r="I1732" s="910"/>
      <c r="J1732" s="910"/>
      <c r="T1732" s="30"/>
      <c r="U1732" s="30"/>
      <c r="V1732" s="30"/>
      <c r="W1732" s="30"/>
      <c r="X1732" s="30"/>
    </row>
    <row r="1733" spans="3:24" s="29" customFormat="1" x14ac:dyDescent="0.25">
      <c r="C1733" s="895" t="s">
        <v>0</v>
      </c>
      <c r="D1733" s="895"/>
      <c r="E1733" s="895"/>
      <c r="F1733" s="895" t="s">
        <v>1</v>
      </c>
      <c r="G1733" s="895"/>
      <c r="H1733" s="895"/>
      <c r="I1733" s="895"/>
      <c r="J1733" s="895"/>
      <c r="T1733" s="30"/>
      <c r="U1733" s="30"/>
      <c r="V1733" s="30"/>
      <c r="W1733" s="30"/>
      <c r="X1733" s="30"/>
    </row>
    <row r="1734" spans="3:24" s="29" customFormat="1" x14ac:dyDescent="0.25">
      <c r="C1734" s="896" t="s">
        <v>2</v>
      </c>
      <c r="D1734" s="896"/>
      <c r="E1734" s="896"/>
      <c r="F1734" s="898" t="s">
        <v>944</v>
      </c>
      <c r="G1734" s="898"/>
      <c r="H1734" s="898"/>
      <c r="I1734" s="898"/>
      <c r="J1734" s="898"/>
      <c r="M1734" s="12" t="s">
        <v>336</v>
      </c>
      <c r="N1734" s="12" t="s">
        <v>174</v>
      </c>
      <c r="O1734" s="12" t="s">
        <v>248</v>
      </c>
      <c r="P1734" s="12" t="s">
        <v>176</v>
      </c>
      <c r="Q1734" s="12" t="s">
        <v>337</v>
      </c>
      <c r="R1734" s="298" t="s">
        <v>1641</v>
      </c>
      <c r="S1734" s="298" t="s">
        <v>1642</v>
      </c>
      <c r="T1734" s="298" t="s">
        <v>1643</v>
      </c>
      <c r="U1734" s="298" t="s">
        <v>1644</v>
      </c>
      <c r="V1734" s="103"/>
      <c r="W1734" s="103"/>
      <c r="X1734" s="103"/>
    </row>
    <row r="1735" spans="3:24" s="29" customFormat="1" x14ac:dyDescent="0.25">
      <c r="C1735" s="896"/>
      <c r="D1735" s="896"/>
      <c r="E1735" s="896"/>
      <c r="F1735" s="898"/>
      <c r="G1735" s="898"/>
      <c r="H1735" s="898"/>
      <c r="I1735" s="898"/>
      <c r="J1735" s="898"/>
      <c r="M1735" s="13" t="s">
        <v>344</v>
      </c>
      <c r="N1735" s="13">
        <f>F9</f>
        <v>2073.8723984875514</v>
      </c>
      <c r="O1735" s="13" t="str">
        <f>D9</f>
        <v>g</v>
      </c>
      <c r="P1735" s="13">
        <v>100</v>
      </c>
      <c r="Q1735" s="13">
        <f>N1735</f>
        <v>2073.8723984875514</v>
      </c>
      <c r="R1735" s="13">
        <v>0</v>
      </c>
      <c r="S1735" s="13">
        <f>P1735*R1735</f>
        <v>0</v>
      </c>
      <c r="T1735" s="13">
        <f>P1735-S1735</f>
        <v>100</v>
      </c>
      <c r="U1735" s="13">
        <f>Q1735+((S1735*Q1735)/P1735)</f>
        <v>2073.8723984875514</v>
      </c>
      <c r="V1735" s="104"/>
      <c r="W1735" s="104"/>
      <c r="X1735" s="104"/>
    </row>
    <row r="1736" spans="3:24" s="29" customFormat="1" x14ac:dyDescent="0.25">
      <c r="C1736" s="896"/>
      <c r="D1736" s="896"/>
      <c r="E1736" s="896"/>
      <c r="F1736" s="898"/>
      <c r="G1736" s="898"/>
      <c r="H1736" s="898"/>
      <c r="I1736" s="898"/>
      <c r="J1736" s="898"/>
      <c r="M1736" s="13" t="s">
        <v>340</v>
      </c>
      <c r="N1736" s="13">
        <f>Y20</f>
        <v>0.64</v>
      </c>
      <c r="O1736" s="13" t="str">
        <f>X20</f>
        <v>g</v>
      </c>
      <c r="P1736" s="13">
        <v>2</v>
      </c>
      <c r="Q1736" s="13">
        <f t="shared" ref="Q1736:Q1741" si="456">N1736*P1736</f>
        <v>1.28</v>
      </c>
      <c r="R1736" s="13">
        <v>0</v>
      </c>
      <c r="S1736" s="13">
        <f t="shared" ref="S1736:S1737" si="457">P1736*R1736</f>
        <v>0</v>
      </c>
      <c r="T1736" s="13">
        <f t="shared" ref="T1736:T1741" si="458">P1736-S1736</f>
        <v>2</v>
      </c>
      <c r="U1736" s="13">
        <f t="shared" ref="U1736:U1741" si="459">Q1736+((S1736*Q1736)/P1736)</f>
        <v>1.28</v>
      </c>
      <c r="V1736" s="30"/>
      <c r="W1736" s="30"/>
      <c r="X1736" s="30"/>
    </row>
    <row r="1737" spans="3:24" s="29" customFormat="1" x14ac:dyDescent="0.25">
      <c r="C1737" s="895" t="s">
        <v>0</v>
      </c>
      <c r="D1737" s="895"/>
      <c r="E1737" s="895"/>
      <c r="F1737" s="895" t="s">
        <v>1</v>
      </c>
      <c r="G1737" s="895"/>
      <c r="H1737" s="895"/>
      <c r="I1737" s="895"/>
      <c r="J1737" s="895"/>
      <c r="M1737" s="13" t="s">
        <v>346</v>
      </c>
      <c r="N1737" s="13">
        <f>P3</f>
        <v>7</v>
      </c>
      <c r="O1737" s="13" t="str">
        <f>O3</f>
        <v>g</v>
      </c>
      <c r="P1737" s="13">
        <v>6</v>
      </c>
      <c r="Q1737" s="13">
        <f t="shared" si="456"/>
        <v>42</v>
      </c>
      <c r="R1737" s="13">
        <f>AJ2</f>
        <v>0.23</v>
      </c>
      <c r="S1737" s="13">
        <f t="shared" si="457"/>
        <v>1.3800000000000001</v>
      </c>
      <c r="T1737" s="13">
        <f t="shared" si="458"/>
        <v>4.62</v>
      </c>
      <c r="U1737" s="13">
        <f t="shared" si="459"/>
        <v>51.660000000000004</v>
      </c>
      <c r="V1737" s="30"/>
      <c r="W1737" s="30"/>
      <c r="X1737" s="30"/>
    </row>
    <row r="1738" spans="3:24" s="29" customFormat="1" x14ac:dyDescent="0.25">
      <c r="C1738" s="896" t="s">
        <v>3</v>
      </c>
      <c r="D1738" s="896"/>
      <c r="E1738" s="896"/>
      <c r="F1738" s="897" t="s">
        <v>650</v>
      </c>
      <c r="G1738" s="898"/>
      <c r="H1738" s="898"/>
      <c r="I1738" s="898"/>
      <c r="J1738" s="898"/>
      <c r="M1738" s="13" t="s">
        <v>433</v>
      </c>
      <c r="N1738" s="13">
        <f>Y18</f>
        <v>223.57</v>
      </c>
      <c r="O1738" s="13" t="str">
        <f>X18</f>
        <v>g</v>
      </c>
      <c r="P1738" s="13">
        <v>8</v>
      </c>
      <c r="Q1738" s="13">
        <f t="shared" si="456"/>
        <v>1788.56</v>
      </c>
      <c r="R1738" s="13">
        <v>0</v>
      </c>
      <c r="S1738" s="13">
        <f>P1738*R1738</f>
        <v>0</v>
      </c>
      <c r="T1738" s="13">
        <f t="shared" si="458"/>
        <v>8</v>
      </c>
      <c r="U1738" s="13">
        <f t="shared" si="459"/>
        <v>1788.56</v>
      </c>
      <c r="V1738" s="30"/>
      <c r="W1738" s="30"/>
      <c r="X1738" s="30"/>
    </row>
    <row r="1739" spans="3:24" s="29" customFormat="1" x14ac:dyDescent="0.25">
      <c r="C1739" s="896"/>
      <c r="D1739" s="896"/>
      <c r="E1739" s="896"/>
      <c r="F1739" s="898"/>
      <c r="G1739" s="898"/>
      <c r="H1739" s="898"/>
      <c r="I1739" s="898"/>
      <c r="J1739" s="898"/>
      <c r="M1739" s="13" t="s">
        <v>652</v>
      </c>
      <c r="N1739" s="13">
        <f>P16</f>
        <v>1.5</v>
      </c>
      <c r="O1739" s="13" t="str">
        <f>O16</f>
        <v>g</v>
      </c>
      <c r="P1739" s="13">
        <v>50</v>
      </c>
      <c r="Q1739" s="13">
        <f t="shared" si="456"/>
        <v>75</v>
      </c>
      <c r="R1739" s="13">
        <f>AJ9</f>
        <v>0.55000000000000004</v>
      </c>
      <c r="S1739" s="13">
        <f t="shared" ref="S1739:S1741" si="460">P1739*R1739</f>
        <v>27.500000000000004</v>
      </c>
      <c r="T1739" s="13">
        <f t="shared" si="458"/>
        <v>22.499999999999996</v>
      </c>
      <c r="U1739" s="13">
        <f t="shared" si="459"/>
        <v>116.25</v>
      </c>
      <c r="V1739" s="30"/>
      <c r="W1739" s="30"/>
      <c r="X1739" s="30"/>
    </row>
    <row r="1740" spans="3:24" s="29" customFormat="1" x14ac:dyDescent="0.25">
      <c r="C1740" s="896"/>
      <c r="D1740" s="896"/>
      <c r="E1740" s="896"/>
      <c r="F1740" s="898"/>
      <c r="G1740" s="898"/>
      <c r="H1740" s="898"/>
      <c r="I1740" s="898"/>
      <c r="J1740" s="898"/>
      <c r="M1740" s="13" t="s">
        <v>653</v>
      </c>
      <c r="N1740" s="13">
        <f>P17</f>
        <v>14.478999999999999</v>
      </c>
      <c r="O1740" s="13" t="str">
        <f>O17</f>
        <v>g</v>
      </c>
      <c r="P1740" s="13">
        <v>20</v>
      </c>
      <c r="Q1740" s="13">
        <f t="shared" si="456"/>
        <v>289.58</v>
      </c>
      <c r="R1740" s="13">
        <f>AJ10</f>
        <v>0</v>
      </c>
      <c r="S1740" s="13">
        <f t="shared" si="460"/>
        <v>0</v>
      </c>
      <c r="T1740" s="13">
        <f t="shared" si="458"/>
        <v>20</v>
      </c>
      <c r="U1740" s="13">
        <f t="shared" si="459"/>
        <v>289.58</v>
      </c>
      <c r="V1740" s="30"/>
      <c r="W1740" s="30"/>
      <c r="X1740" s="30"/>
    </row>
    <row r="1741" spans="3:24" s="29" customFormat="1" x14ac:dyDescent="0.25">
      <c r="C1741" s="896" t="s">
        <v>4</v>
      </c>
      <c r="D1741" s="896"/>
      <c r="E1741" s="896"/>
      <c r="F1741" s="898" t="s">
        <v>15</v>
      </c>
      <c r="G1741" s="898"/>
      <c r="H1741" s="898"/>
      <c r="I1741" s="898"/>
      <c r="J1741" s="898"/>
      <c r="M1741" s="13" t="s">
        <v>436</v>
      </c>
      <c r="N1741" s="13">
        <f>P31</f>
        <v>2.6</v>
      </c>
      <c r="O1741" s="13" t="str">
        <f>O31</f>
        <v>g</v>
      </c>
      <c r="P1741" s="13">
        <v>50</v>
      </c>
      <c r="Q1741" s="13">
        <f t="shared" si="456"/>
        <v>130</v>
      </c>
      <c r="R1741" s="13">
        <f>AJ19</f>
        <v>0.37</v>
      </c>
      <c r="S1741" s="13">
        <f t="shared" si="460"/>
        <v>18.5</v>
      </c>
      <c r="T1741" s="13">
        <f t="shared" si="458"/>
        <v>31.5</v>
      </c>
      <c r="U1741" s="13">
        <f t="shared" si="459"/>
        <v>178.1</v>
      </c>
      <c r="V1741" s="30"/>
      <c r="W1741" s="30"/>
      <c r="X1741" s="30"/>
    </row>
    <row r="1742" spans="3:24" s="29" customFormat="1" x14ac:dyDescent="0.25">
      <c r="C1742" s="896"/>
      <c r="D1742" s="896"/>
      <c r="E1742" s="896"/>
      <c r="F1742" s="898"/>
      <c r="G1742" s="898"/>
      <c r="H1742" s="898"/>
      <c r="I1742" s="898"/>
      <c r="J1742" s="898"/>
      <c r="M1742" s="13"/>
      <c r="N1742" s="13"/>
      <c r="O1742" s="13"/>
      <c r="P1742" s="13"/>
      <c r="Q1742" s="13"/>
      <c r="R1742" s="13"/>
      <c r="S1742" s="13"/>
      <c r="T1742" s="13"/>
      <c r="U1742" s="13"/>
      <c r="V1742" s="30"/>
      <c r="W1742" s="30"/>
      <c r="X1742" s="30"/>
    </row>
    <row r="1743" spans="3:24" s="29" customFormat="1" x14ac:dyDescent="0.25">
      <c r="C1743" s="896"/>
      <c r="D1743" s="896"/>
      <c r="E1743" s="896"/>
      <c r="F1743" s="898"/>
      <c r="G1743" s="898"/>
      <c r="H1743" s="898"/>
      <c r="I1743" s="898"/>
      <c r="J1743" s="898"/>
      <c r="M1743" s="13"/>
      <c r="N1743" s="13"/>
      <c r="O1743" s="13"/>
      <c r="P1743" s="13"/>
      <c r="Q1743" s="13"/>
      <c r="R1743" s="13"/>
      <c r="S1743" s="13"/>
      <c r="T1743" s="13"/>
      <c r="U1743" s="13"/>
      <c r="V1743" s="30"/>
      <c r="W1743" s="30"/>
      <c r="X1743" s="30"/>
    </row>
    <row r="1744" spans="3:24" s="29" customFormat="1" x14ac:dyDescent="0.25">
      <c r="C1744" s="896" t="s">
        <v>5</v>
      </c>
      <c r="D1744" s="896"/>
      <c r="E1744" s="896"/>
      <c r="F1744" s="898" t="s">
        <v>651</v>
      </c>
      <c r="G1744" s="898"/>
      <c r="H1744" s="898"/>
      <c r="I1744" s="898"/>
      <c r="J1744" s="898"/>
      <c r="M1744" s="13"/>
      <c r="N1744" s="13"/>
      <c r="O1744" s="13"/>
      <c r="P1744" s="13"/>
      <c r="Q1744" s="13"/>
      <c r="R1744" s="13"/>
      <c r="S1744" s="13"/>
      <c r="T1744" s="13"/>
      <c r="U1744" s="13"/>
      <c r="V1744" s="30"/>
      <c r="W1744" s="30"/>
      <c r="X1744" s="30"/>
    </row>
    <row r="1745" spans="3:24" s="29" customFormat="1" x14ac:dyDescent="0.25">
      <c r="C1745" s="896"/>
      <c r="D1745" s="896"/>
      <c r="E1745" s="896"/>
      <c r="F1745" s="898"/>
      <c r="G1745" s="898"/>
      <c r="H1745" s="898"/>
      <c r="I1745" s="898"/>
      <c r="J1745" s="898"/>
      <c r="M1745" s="13" t="s">
        <v>337</v>
      </c>
      <c r="N1745" s="13">
        <f>SUM(N1735:N1744)</f>
        <v>2323.6613984875512</v>
      </c>
      <c r="O1745" s="13"/>
      <c r="P1745" s="13">
        <f>SUM(P1735:P1744)</f>
        <v>236</v>
      </c>
      <c r="Q1745" s="13">
        <f>SUM(Q1735:Q1744)</f>
        <v>4400.2923984875515</v>
      </c>
      <c r="R1745" s="13"/>
      <c r="S1745" s="13"/>
      <c r="T1745" s="13"/>
      <c r="U1745" s="13">
        <f>SUM(U1735:U1744)</f>
        <v>4499.3023984875517</v>
      </c>
      <c r="V1745" s="30"/>
      <c r="W1745" s="30"/>
      <c r="X1745" s="30"/>
    </row>
    <row r="1746" spans="3:24" s="29" customFormat="1" x14ac:dyDescent="0.25">
      <c r="C1746" s="896"/>
      <c r="D1746" s="896"/>
      <c r="E1746" s="896"/>
      <c r="F1746" s="898"/>
      <c r="G1746" s="898"/>
      <c r="H1746" s="898"/>
      <c r="I1746" s="898"/>
      <c r="J1746" s="898"/>
      <c r="T1746" s="30"/>
      <c r="U1746" s="30"/>
      <c r="V1746" s="30"/>
      <c r="W1746" s="30"/>
      <c r="X1746" s="30"/>
    </row>
    <row r="1747" spans="3:24" s="29" customFormat="1" x14ac:dyDescent="0.25">
      <c r="C1747" s="896" t="s">
        <v>6</v>
      </c>
      <c r="D1747" s="896"/>
      <c r="E1747" s="896"/>
      <c r="F1747" s="898" t="s">
        <v>9</v>
      </c>
      <c r="G1747" s="898"/>
      <c r="H1747" s="898"/>
      <c r="I1747" s="898"/>
      <c r="J1747" s="898"/>
      <c r="Q1747" s="13" t="s">
        <v>1681</v>
      </c>
      <c r="R1747" s="13">
        <f>U1745</f>
        <v>4499.3023984875517</v>
      </c>
      <c r="S1747" s="608" t="s">
        <v>2142</v>
      </c>
      <c r="T1747" s="608">
        <f>(R1747*100)/R1754</f>
        <v>40.392456818343035</v>
      </c>
    </row>
    <row r="1748" spans="3:24" s="29" customFormat="1" x14ac:dyDescent="0.25">
      <c r="C1748" s="896"/>
      <c r="D1748" s="896"/>
      <c r="E1748" s="896"/>
      <c r="F1748" s="898"/>
      <c r="G1748" s="898"/>
      <c r="H1748" s="898"/>
      <c r="I1748" s="898"/>
      <c r="J1748" s="898"/>
      <c r="Q1748" s="13" t="s">
        <v>2326</v>
      </c>
      <c r="R1748" s="13">
        <f>$AL$26</f>
        <v>1801.715474357886</v>
      </c>
    </row>
    <row r="1749" spans="3:24" s="29" customFormat="1" x14ac:dyDescent="0.25">
      <c r="C1749" s="896"/>
      <c r="D1749" s="896"/>
      <c r="E1749" s="896"/>
      <c r="F1749" s="898"/>
      <c r="G1749" s="898"/>
      <c r="H1749" s="898"/>
      <c r="I1749" s="898"/>
      <c r="J1749" s="898"/>
      <c r="Q1749" s="13" t="s">
        <v>2325</v>
      </c>
      <c r="R1749" s="13">
        <f>$AL$27</f>
        <v>75.599999999999994</v>
      </c>
    </row>
    <row r="1750" spans="3:24" s="29" customFormat="1" x14ac:dyDescent="0.25">
      <c r="C1750" s="896" t="s">
        <v>7</v>
      </c>
      <c r="D1750" s="896"/>
      <c r="E1750" s="896"/>
      <c r="F1750" s="898" t="s">
        <v>658</v>
      </c>
      <c r="G1750" s="898"/>
      <c r="H1750" s="898"/>
      <c r="I1750" s="898"/>
      <c r="J1750" s="898"/>
      <c r="Q1750" s="13" t="s">
        <v>1684</v>
      </c>
      <c r="R1750" s="13">
        <f>$AL$29</f>
        <v>69.543532482306858</v>
      </c>
    </row>
    <row r="1751" spans="3:24" s="29" customFormat="1" x14ac:dyDescent="0.25">
      <c r="C1751" s="896"/>
      <c r="D1751" s="896"/>
      <c r="E1751" s="896"/>
      <c r="F1751" s="898"/>
      <c r="G1751" s="898"/>
      <c r="H1751" s="898"/>
      <c r="I1751" s="898"/>
      <c r="J1751" s="898"/>
      <c r="Q1751" s="13" t="s">
        <v>1685</v>
      </c>
      <c r="R1751" s="13">
        <v>0.6</v>
      </c>
    </row>
    <row r="1752" spans="3:24" s="29" customFormat="1" x14ac:dyDescent="0.25">
      <c r="C1752" s="896"/>
      <c r="D1752" s="896"/>
      <c r="E1752" s="896"/>
      <c r="F1752" s="898"/>
      <c r="G1752" s="898"/>
      <c r="H1752" s="898"/>
      <c r="I1752" s="898"/>
      <c r="J1752" s="898"/>
      <c r="Q1752" s="13" t="s">
        <v>1708</v>
      </c>
      <c r="R1752" s="13">
        <f>(SUM(R1747:R1750)*R1751)+SUM(R1747:R1750)</f>
        <v>10313.858248524391</v>
      </c>
    </row>
    <row r="1753" spans="3:24" s="29" customFormat="1" x14ac:dyDescent="0.25">
      <c r="C1753" s="106"/>
      <c r="D1753" s="106"/>
      <c r="E1753" s="106"/>
      <c r="F1753" s="107"/>
      <c r="G1753" s="107"/>
      <c r="H1753" s="107"/>
      <c r="I1753" s="107"/>
      <c r="J1753" s="107"/>
      <c r="Q1753" s="13" t="s">
        <v>2130</v>
      </c>
      <c r="R1753" s="13">
        <f>R1752*0.08</f>
        <v>825.10865988195133</v>
      </c>
    </row>
    <row r="1754" spans="3:24" s="29" customFormat="1" x14ac:dyDescent="0.25">
      <c r="C1754" s="106"/>
      <c r="D1754" s="106"/>
      <c r="E1754" s="106"/>
      <c r="F1754" s="107"/>
      <c r="G1754" s="107"/>
      <c r="H1754" s="107"/>
      <c r="I1754" s="107"/>
      <c r="J1754" s="107"/>
      <c r="Q1754" s="13" t="s">
        <v>1686</v>
      </c>
      <c r="R1754" s="13">
        <f>SUM(R1752+R1753)</f>
        <v>11138.966908406343</v>
      </c>
    </row>
    <row r="1755" spans="3:24" s="29" customFormat="1" x14ac:dyDescent="0.25">
      <c r="C1755" s="106"/>
      <c r="D1755" s="106"/>
      <c r="E1755" s="106"/>
      <c r="F1755" s="107"/>
      <c r="G1755" s="107"/>
      <c r="H1755" s="107"/>
      <c r="I1755" s="107"/>
      <c r="J1755" s="107"/>
      <c r="T1755" s="30"/>
      <c r="U1755" s="30"/>
      <c r="V1755" s="30"/>
      <c r="W1755" s="30"/>
      <c r="X1755" s="30"/>
    </row>
    <row r="1756" spans="3:24" s="29" customFormat="1" x14ac:dyDescent="0.25">
      <c r="C1756" s="910" t="s">
        <v>8</v>
      </c>
      <c r="D1756" s="910"/>
      <c r="E1756" s="910"/>
      <c r="F1756" s="910"/>
      <c r="G1756" s="910"/>
      <c r="H1756" s="910"/>
      <c r="I1756" s="910"/>
      <c r="J1756" s="910"/>
      <c r="T1756" s="30"/>
      <c r="U1756" s="30"/>
      <c r="V1756" s="30"/>
      <c r="W1756" s="30"/>
      <c r="X1756" s="30"/>
    </row>
    <row r="1757" spans="3:24" s="29" customFormat="1" x14ac:dyDescent="0.25">
      <c r="C1757" s="895" t="s">
        <v>0</v>
      </c>
      <c r="D1757" s="895"/>
      <c r="E1757" s="895"/>
      <c r="F1757" s="895" t="s">
        <v>1</v>
      </c>
      <c r="G1757" s="895"/>
      <c r="H1757" s="895"/>
      <c r="I1757" s="895"/>
      <c r="J1757" s="895"/>
      <c r="T1757" s="30"/>
      <c r="U1757" s="30"/>
      <c r="V1757" s="30"/>
      <c r="W1757" s="30"/>
      <c r="X1757" s="30"/>
    </row>
    <row r="1758" spans="3:24" s="29" customFormat="1" x14ac:dyDescent="0.25">
      <c r="C1758" s="896" t="s">
        <v>2</v>
      </c>
      <c r="D1758" s="896"/>
      <c r="E1758" s="896"/>
      <c r="F1758" s="898" t="s">
        <v>945</v>
      </c>
      <c r="G1758" s="898"/>
      <c r="H1758" s="898"/>
      <c r="I1758" s="898"/>
      <c r="J1758" s="898"/>
      <c r="M1758" s="12" t="s">
        <v>336</v>
      </c>
      <c r="N1758" s="12" t="s">
        <v>174</v>
      </c>
      <c r="O1758" s="12" t="s">
        <v>248</v>
      </c>
      <c r="P1758" s="12" t="s">
        <v>176</v>
      </c>
      <c r="Q1758" s="12" t="s">
        <v>337</v>
      </c>
      <c r="R1758" s="298" t="s">
        <v>1641</v>
      </c>
      <c r="S1758" s="298" t="s">
        <v>1642</v>
      </c>
      <c r="T1758" s="298" t="s">
        <v>1643</v>
      </c>
      <c r="U1758" s="298" t="s">
        <v>1644</v>
      </c>
      <c r="V1758" s="103"/>
      <c r="W1758" s="103"/>
      <c r="X1758" s="103"/>
    </row>
    <row r="1759" spans="3:24" s="29" customFormat="1" x14ac:dyDescent="0.25">
      <c r="C1759" s="896"/>
      <c r="D1759" s="896"/>
      <c r="E1759" s="896"/>
      <c r="F1759" s="898"/>
      <c r="G1759" s="898"/>
      <c r="H1759" s="898"/>
      <c r="I1759" s="898"/>
      <c r="J1759" s="898"/>
      <c r="M1759" s="13" t="s">
        <v>344</v>
      </c>
      <c r="N1759" s="13">
        <f>F9</f>
        <v>2073.8723984875514</v>
      </c>
      <c r="O1759" s="13" t="str">
        <f>D9</f>
        <v>g</v>
      </c>
      <c r="P1759" s="13">
        <v>100</v>
      </c>
      <c r="Q1759" s="13">
        <f>N1759</f>
        <v>2073.8723984875514</v>
      </c>
      <c r="R1759" s="13">
        <v>0</v>
      </c>
      <c r="S1759" s="13">
        <f>P1759*R1759</f>
        <v>0</v>
      </c>
      <c r="T1759" s="13">
        <f>P1759-S1759</f>
        <v>100</v>
      </c>
      <c r="U1759" s="13">
        <f>Q1759+((S1759*Q1759)/P1759)</f>
        <v>2073.8723984875514</v>
      </c>
      <c r="V1759" s="104"/>
      <c r="W1759" s="104"/>
      <c r="X1759" s="104"/>
    </row>
    <row r="1760" spans="3:24" s="29" customFormat="1" x14ac:dyDescent="0.25">
      <c r="C1760" s="896"/>
      <c r="D1760" s="896"/>
      <c r="E1760" s="896"/>
      <c r="F1760" s="898"/>
      <c r="G1760" s="898"/>
      <c r="H1760" s="898"/>
      <c r="I1760" s="898"/>
      <c r="J1760" s="898"/>
      <c r="M1760" s="13" t="s">
        <v>340</v>
      </c>
      <c r="N1760" s="13">
        <f>Y20</f>
        <v>0.64</v>
      </c>
      <c r="O1760" s="13" t="str">
        <f>X20</f>
        <v>g</v>
      </c>
      <c r="P1760" s="13">
        <v>2</v>
      </c>
      <c r="Q1760" s="13">
        <f t="shared" ref="Q1760:Q1765" si="461">N1760*P1760</f>
        <v>1.28</v>
      </c>
      <c r="R1760" s="13">
        <v>0</v>
      </c>
      <c r="S1760" s="13">
        <f t="shared" ref="S1760:S1761" si="462">P1760*R1760</f>
        <v>0</v>
      </c>
      <c r="T1760" s="13">
        <f t="shared" ref="T1760:T1765" si="463">P1760-S1760</f>
        <v>2</v>
      </c>
      <c r="U1760" s="13">
        <f t="shared" ref="U1760:U1765" si="464">Q1760+((S1760*Q1760)/P1760)</f>
        <v>1.28</v>
      </c>
      <c r="V1760" s="30"/>
      <c r="W1760" s="30"/>
      <c r="X1760" s="30"/>
    </row>
    <row r="1761" spans="3:24" s="29" customFormat="1" x14ac:dyDescent="0.25">
      <c r="C1761" s="895" t="s">
        <v>0</v>
      </c>
      <c r="D1761" s="895"/>
      <c r="E1761" s="895"/>
      <c r="F1761" s="895" t="s">
        <v>1</v>
      </c>
      <c r="G1761" s="895"/>
      <c r="H1761" s="895"/>
      <c r="I1761" s="895"/>
      <c r="J1761" s="895"/>
      <c r="M1761" s="13" t="s">
        <v>346</v>
      </c>
      <c r="N1761" s="13">
        <f>P3</f>
        <v>7</v>
      </c>
      <c r="O1761" s="13" t="str">
        <f>O3</f>
        <v>g</v>
      </c>
      <c r="P1761" s="13">
        <v>6</v>
      </c>
      <c r="Q1761" s="13">
        <f t="shared" si="461"/>
        <v>42</v>
      </c>
      <c r="R1761" s="13">
        <f>AJ2</f>
        <v>0.23</v>
      </c>
      <c r="S1761" s="13">
        <f t="shared" si="462"/>
        <v>1.3800000000000001</v>
      </c>
      <c r="T1761" s="13">
        <f t="shared" si="463"/>
        <v>4.62</v>
      </c>
      <c r="U1761" s="13">
        <f t="shared" si="464"/>
        <v>51.660000000000004</v>
      </c>
      <c r="V1761" s="30"/>
      <c r="W1761" s="30"/>
      <c r="X1761" s="30"/>
    </row>
    <row r="1762" spans="3:24" s="29" customFormat="1" ht="15.75" customHeight="1" x14ac:dyDescent="0.25">
      <c r="C1762" s="896" t="s">
        <v>3</v>
      </c>
      <c r="D1762" s="896"/>
      <c r="E1762" s="896"/>
      <c r="F1762" s="897" t="s">
        <v>655</v>
      </c>
      <c r="G1762" s="898"/>
      <c r="H1762" s="898"/>
      <c r="I1762" s="898"/>
      <c r="J1762" s="898"/>
      <c r="M1762" s="13" t="s">
        <v>433</v>
      </c>
      <c r="N1762" s="13">
        <f>Y18</f>
        <v>223.57</v>
      </c>
      <c r="O1762" s="13" t="str">
        <f>X18</f>
        <v>g</v>
      </c>
      <c r="P1762" s="13">
        <v>8</v>
      </c>
      <c r="Q1762" s="13">
        <f t="shared" si="461"/>
        <v>1788.56</v>
      </c>
      <c r="R1762" s="13">
        <v>0</v>
      </c>
      <c r="S1762" s="13">
        <f>P1762*R1762</f>
        <v>0</v>
      </c>
      <c r="T1762" s="13">
        <f t="shared" si="463"/>
        <v>8</v>
      </c>
      <c r="U1762" s="13">
        <f t="shared" si="464"/>
        <v>1788.56</v>
      </c>
      <c r="V1762" s="30"/>
      <c r="W1762" s="30"/>
      <c r="X1762" s="30"/>
    </row>
    <row r="1763" spans="3:24" s="29" customFormat="1" x14ac:dyDescent="0.25">
      <c r="C1763" s="896"/>
      <c r="D1763" s="896"/>
      <c r="E1763" s="896"/>
      <c r="F1763" s="898"/>
      <c r="G1763" s="898"/>
      <c r="H1763" s="898"/>
      <c r="I1763" s="898"/>
      <c r="J1763" s="898"/>
      <c r="M1763" s="13" t="s">
        <v>657</v>
      </c>
      <c r="N1763" s="13">
        <f>AB4</f>
        <v>4.8</v>
      </c>
      <c r="O1763" s="13" t="str">
        <f>AA4</f>
        <v>g</v>
      </c>
      <c r="P1763" s="13">
        <v>16</v>
      </c>
      <c r="Q1763" s="13">
        <f t="shared" si="461"/>
        <v>76.8</v>
      </c>
      <c r="R1763" s="13">
        <v>0</v>
      </c>
      <c r="S1763" s="13">
        <f t="shared" ref="S1763:S1765" si="465">P1763*R1763</f>
        <v>0</v>
      </c>
      <c r="T1763" s="13">
        <f t="shared" si="463"/>
        <v>16</v>
      </c>
      <c r="U1763" s="13">
        <f t="shared" si="464"/>
        <v>76.8</v>
      </c>
      <c r="V1763" s="30"/>
      <c r="W1763" s="30"/>
      <c r="X1763" s="30"/>
    </row>
    <row r="1764" spans="3:24" s="29" customFormat="1" x14ac:dyDescent="0.25">
      <c r="C1764" s="896"/>
      <c r="D1764" s="896"/>
      <c r="E1764" s="896"/>
      <c r="F1764" s="898"/>
      <c r="G1764" s="898"/>
      <c r="H1764" s="898"/>
      <c r="I1764" s="898"/>
      <c r="J1764" s="898"/>
      <c r="M1764" s="13" t="s">
        <v>572</v>
      </c>
      <c r="N1764" s="13">
        <f>P30</f>
        <v>3</v>
      </c>
      <c r="O1764" s="13" t="str">
        <f>O30</f>
        <v>g</v>
      </c>
      <c r="P1764" s="13">
        <v>40</v>
      </c>
      <c r="Q1764" s="13">
        <f t="shared" si="461"/>
        <v>120</v>
      </c>
      <c r="R1764" s="13">
        <v>0</v>
      </c>
      <c r="S1764" s="13">
        <f t="shared" si="465"/>
        <v>0</v>
      </c>
      <c r="T1764" s="13">
        <f t="shared" si="463"/>
        <v>40</v>
      </c>
      <c r="U1764" s="13">
        <f t="shared" si="464"/>
        <v>120</v>
      </c>
      <c r="V1764" s="30"/>
      <c r="W1764" s="30"/>
      <c r="X1764" s="30"/>
    </row>
    <row r="1765" spans="3:24" s="29" customFormat="1" x14ac:dyDescent="0.25">
      <c r="C1765" s="896" t="s">
        <v>4</v>
      </c>
      <c r="D1765" s="896"/>
      <c r="E1765" s="896"/>
      <c r="F1765" s="898" t="s">
        <v>15</v>
      </c>
      <c r="G1765" s="898"/>
      <c r="H1765" s="898"/>
      <c r="I1765" s="898"/>
      <c r="J1765" s="898"/>
      <c r="M1765" s="13" t="s">
        <v>505</v>
      </c>
      <c r="N1765" s="13">
        <f>P24</f>
        <v>3.5</v>
      </c>
      <c r="O1765" s="13" t="str">
        <f>O24</f>
        <v>g</v>
      </c>
      <c r="P1765" s="13">
        <v>60</v>
      </c>
      <c r="Q1765" s="13">
        <f t="shared" si="461"/>
        <v>210</v>
      </c>
      <c r="R1765" s="13">
        <f>AJ15</f>
        <v>0.26</v>
      </c>
      <c r="S1765" s="13">
        <f t="shared" si="465"/>
        <v>15.600000000000001</v>
      </c>
      <c r="T1765" s="13">
        <f t="shared" si="463"/>
        <v>44.4</v>
      </c>
      <c r="U1765" s="13">
        <f t="shared" si="464"/>
        <v>264.60000000000002</v>
      </c>
      <c r="V1765" s="30"/>
      <c r="W1765" s="30"/>
      <c r="X1765" s="30"/>
    </row>
    <row r="1766" spans="3:24" s="29" customFormat="1" x14ac:dyDescent="0.25">
      <c r="C1766" s="896"/>
      <c r="D1766" s="896"/>
      <c r="E1766" s="896"/>
      <c r="F1766" s="898"/>
      <c r="G1766" s="898"/>
      <c r="H1766" s="898"/>
      <c r="I1766" s="898"/>
      <c r="J1766" s="898"/>
      <c r="M1766" s="13"/>
      <c r="N1766" s="13"/>
      <c r="O1766" s="13"/>
      <c r="P1766" s="13"/>
      <c r="Q1766" s="13"/>
      <c r="R1766" s="13"/>
      <c r="S1766" s="13"/>
      <c r="T1766" s="13"/>
      <c r="U1766" s="13"/>
      <c r="V1766" s="30"/>
      <c r="W1766" s="30"/>
      <c r="X1766" s="30"/>
    </row>
    <row r="1767" spans="3:24" s="29" customFormat="1" x14ac:dyDescent="0.25">
      <c r="C1767" s="896"/>
      <c r="D1767" s="896"/>
      <c r="E1767" s="896"/>
      <c r="F1767" s="898"/>
      <c r="G1767" s="898"/>
      <c r="H1767" s="898"/>
      <c r="I1767" s="898"/>
      <c r="J1767" s="898"/>
      <c r="M1767" s="13"/>
      <c r="N1767" s="13"/>
      <c r="O1767" s="13"/>
      <c r="P1767" s="13"/>
      <c r="Q1767" s="13"/>
      <c r="R1767" s="13"/>
      <c r="S1767" s="13"/>
      <c r="T1767" s="13"/>
      <c r="U1767" s="13"/>
    </row>
    <row r="1768" spans="3:24" s="29" customFormat="1" x14ac:dyDescent="0.25">
      <c r="C1768" s="896" t="s">
        <v>5</v>
      </c>
      <c r="D1768" s="896"/>
      <c r="E1768" s="896"/>
      <c r="F1768" s="898" t="s">
        <v>654</v>
      </c>
      <c r="G1768" s="898"/>
      <c r="H1768" s="898"/>
      <c r="I1768" s="898"/>
      <c r="J1768" s="898"/>
      <c r="M1768" s="13"/>
      <c r="N1768" s="13"/>
      <c r="O1768" s="13"/>
      <c r="P1768" s="13"/>
      <c r="Q1768" s="13"/>
      <c r="R1768" s="13"/>
      <c r="S1768" s="13"/>
      <c r="T1768" s="13"/>
      <c r="U1768" s="13"/>
    </row>
    <row r="1769" spans="3:24" s="29" customFormat="1" x14ac:dyDescent="0.25">
      <c r="C1769" s="896"/>
      <c r="D1769" s="896"/>
      <c r="E1769" s="896"/>
      <c r="F1769" s="898"/>
      <c r="G1769" s="898"/>
      <c r="H1769" s="898"/>
      <c r="I1769" s="898"/>
      <c r="J1769" s="898"/>
      <c r="M1769" s="13" t="s">
        <v>337</v>
      </c>
      <c r="N1769" s="13">
        <f>SUM(N1759:N1768)</f>
        <v>2316.3823984875517</v>
      </c>
      <c r="O1769" s="13"/>
      <c r="P1769" s="13">
        <f>SUM(P1759:P1768)</f>
        <v>232</v>
      </c>
      <c r="Q1769" s="13">
        <f>SUM(Q1759:Q1768)</f>
        <v>4312.5123984875518</v>
      </c>
      <c r="R1769" s="13"/>
      <c r="S1769" s="13"/>
      <c r="T1769" s="13"/>
      <c r="U1769" s="13">
        <f>SUM(U1759:U1768)</f>
        <v>4376.772398487552</v>
      </c>
    </row>
    <row r="1770" spans="3:24" s="29" customFormat="1" x14ac:dyDescent="0.25">
      <c r="C1770" s="896"/>
      <c r="D1770" s="896"/>
      <c r="E1770" s="896"/>
      <c r="F1770" s="898"/>
      <c r="G1770" s="898"/>
      <c r="H1770" s="898"/>
      <c r="I1770" s="898"/>
      <c r="J1770" s="898"/>
    </row>
    <row r="1771" spans="3:24" s="29" customFormat="1" x14ac:dyDescent="0.25">
      <c r="C1771" s="896" t="s">
        <v>6</v>
      </c>
      <c r="D1771" s="896"/>
      <c r="E1771" s="896"/>
      <c r="F1771" s="898" t="s">
        <v>9</v>
      </c>
      <c r="G1771" s="898"/>
      <c r="H1771" s="898"/>
      <c r="I1771" s="898"/>
      <c r="J1771" s="898"/>
      <c r="Q1771" s="13" t="s">
        <v>1681</v>
      </c>
      <c r="R1771" s="13">
        <f>U1769</f>
        <v>4376.772398487552</v>
      </c>
      <c r="S1771" s="608" t="s">
        <v>2142</v>
      </c>
      <c r="T1771" s="608">
        <f>(R1771*100)/R1778</f>
        <v>40.053795595026699</v>
      </c>
    </row>
    <row r="1772" spans="3:24" s="29" customFormat="1" x14ac:dyDescent="0.25">
      <c r="C1772" s="896"/>
      <c r="D1772" s="896"/>
      <c r="E1772" s="896"/>
      <c r="F1772" s="898"/>
      <c r="G1772" s="898"/>
      <c r="H1772" s="898"/>
      <c r="I1772" s="898"/>
      <c r="J1772" s="898"/>
      <c r="Q1772" s="13" t="s">
        <v>2326</v>
      </c>
      <c r="R1772" s="13">
        <f>$AL$26</f>
        <v>1801.715474357886</v>
      </c>
    </row>
    <row r="1773" spans="3:24" s="29" customFormat="1" x14ac:dyDescent="0.25">
      <c r="C1773" s="896"/>
      <c r="D1773" s="896"/>
      <c r="E1773" s="896"/>
      <c r="F1773" s="898"/>
      <c r="G1773" s="898"/>
      <c r="H1773" s="898"/>
      <c r="I1773" s="898"/>
      <c r="J1773" s="898"/>
      <c r="Q1773" s="13" t="s">
        <v>2325</v>
      </c>
      <c r="R1773" s="13">
        <f>$AL$27</f>
        <v>75.599999999999994</v>
      </c>
    </row>
    <row r="1774" spans="3:24" s="29" customFormat="1" x14ac:dyDescent="0.25">
      <c r="C1774" s="896" t="s">
        <v>7</v>
      </c>
      <c r="D1774" s="896"/>
      <c r="E1774" s="896"/>
      <c r="F1774" s="898" t="s">
        <v>656</v>
      </c>
      <c r="G1774" s="898"/>
      <c r="H1774" s="898"/>
      <c r="I1774" s="898"/>
      <c r="J1774" s="898"/>
      <c r="Q1774" s="13" t="s">
        <v>1684</v>
      </c>
      <c r="R1774" s="13">
        <f>$AL$29</f>
        <v>69.543532482306858</v>
      </c>
    </row>
    <row r="1775" spans="3:24" s="29" customFormat="1" x14ac:dyDescent="0.25">
      <c r="C1775" s="896"/>
      <c r="D1775" s="896"/>
      <c r="E1775" s="896"/>
      <c r="F1775" s="898"/>
      <c r="G1775" s="898"/>
      <c r="H1775" s="898"/>
      <c r="I1775" s="898"/>
      <c r="J1775" s="898"/>
      <c r="Q1775" s="13" t="s">
        <v>1685</v>
      </c>
      <c r="R1775" s="13">
        <v>0.6</v>
      </c>
    </row>
    <row r="1776" spans="3:24" s="29" customFormat="1" x14ac:dyDescent="0.25">
      <c r="C1776" s="896"/>
      <c r="D1776" s="896"/>
      <c r="E1776" s="896"/>
      <c r="F1776" s="898"/>
      <c r="G1776" s="898"/>
      <c r="H1776" s="898"/>
      <c r="I1776" s="898"/>
      <c r="J1776" s="898"/>
      <c r="Q1776" s="13" t="s">
        <v>1708</v>
      </c>
      <c r="R1776" s="13">
        <f>(SUM(R1771:R1774)*R1775)+SUM(R1771:R1774)</f>
        <v>10117.810248524391</v>
      </c>
    </row>
    <row r="1777" spans="3:24" s="29" customFormat="1" x14ac:dyDescent="0.25">
      <c r="Q1777" s="13" t="s">
        <v>2130</v>
      </c>
      <c r="R1777" s="13">
        <f>R1776*0.08</f>
        <v>809.42481988195129</v>
      </c>
    </row>
    <row r="1778" spans="3:24" s="29" customFormat="1" x14ac:dyDescent="0.25">
      <c r="Q1778" s="13" t="s">
        <v>1686</v>
      </c>
      <c r="R1778" s="13">
        <f>SUM(R1776+R1777)</f>
        <v>10927.235068406342</v>
      </c>
    </row>
    <row r="1779" spans="3:24" s="29" customFormat="1" x14ac:dyDescent="0.25">
      <c r="T1779" s="30"/>
      <c r="U1779" s="30"/>
      <c r="V1779" s="30"/>
      <c r="W1779" s="30"/>
      <c r="X1779" s="30"/>
    </row>
    <row r="1780" spans="3:24" s="29" customFormat="1" x14ac:dyDescent="0.25">
      <c r="C1780" s="899" t="s">
        <v>8</v>
      </c>
      <c r="D1780" s="900"/>
      <c r="E1780" s="900"/>
      <c r="F1780" s="900"/>
      <c r="G1780" s="900"/>
      <c r="H1780" s="900"/>
      <c r="I1780" s="900"/>
      <c r="J1780" s="901"/>
      <c r="T1780" s="30"/>
      <c r="U1780" s="30"/>
      <c r="V1780" s="30"/>
      <c r="W1780" s="30"/>
      <c r="X1780" s="30"/>
    </row>
    <row r="1781" spans="3:24" s="29" customFormat="1" x14ac:dyDescent="0.25">
      <c r="C1781" s="895" t="s">
        <v>0</v>
      </c>
      <c r="D1781" s="895"/>
      <c r="E1781" s="895"/>
      <c r="F1781" s="895" t="s">
        <v>1</v>
      </c>
      <c r="G1781" s="895"/>
      <c r="H1781" s="895"/>
      <c r="I1781" s="895"/>
      <c r="J1781" s="895"/>
      <c r="T1781" s="30"/>
      <c r="U1781" s="30"/>
      <c r="V1781" s="30"/>
      <c r="W1781" s="30"/>
      <c r="X1781" s="30"/>
    </row>
    <row r="1782" spans="3:24" s="29" customFormat="1" x14ac:dyDescent="0.25">
      <c r="C1782" s="896" t="s">
        <v>2</v>
      </c>
      <c r="D1782" s="896"/>
      <c r="E1782" s="896"/>
      <c r="F1782" s="898" t="s">
        <v>202</v>
      </c>
      <c r="G1782" s="898"/>
      <c r="H1782" s="898"/>
      <c r="I1782" s="898"/>
      <c r="J1782" s="898"/>
      <c r="M1782" s="12" t="s">
        <v>336</v>
      </c>
      <c r="N1782" s="12" t="s">
        <v>174</v>
      </c>
      <c r="O1782" s="12" t="s">
        <v>248</v>
      </c>
      <c r="P1782" s="12" t="s">
        <v>176</v>
      </c>
      <c r="Q1782" s="12" t="s">
        <v>337</v>
      </c>
      <c r="R1782" s="298" t="s">
        <v>1641</v>
      </c>
      <c r="S1782" s="298" t="s">
        <v>1642</v>
      </c>
      <c r="T1782" s="298" t="s">
        <v>1643</v>
      </c>
      <c r="U1782" s="298" t="s">
        <v>1644</v>
      </c>
      <c r="V1782" s="103"/>
      <c r="W1782" s="103"/>
      <c r="X1782" s="103"/>
    </row>
    <row r="1783" spans="3:24" s="29" customFormat="1" x14ac:dyDescent="0.25">
      <c r="C1783" s="896"/>
      <c r="D1783" s="896"/>
      <c r="E1783" s="896"/>
      <c r="F1783" s="898"/>
      <c r="G1783" s="898"/>
      <c r="H1783" s="898"/>
      <c r="I1783" s="898"/>
      <c r="J1783" s="898"/>
      <c r="M1783" s="13" t="s">
        <v>344</v>
      </c>
      <c r="N1783" s="13">
        <f>F7</f>
        <v>2073.8723984875514</v>
      </c>
      <c r="O1783" s="13" t="str">
        <f>D7</f>
        <v>g</v>
      </c>
      <c r="P1783" s="13">
        <v>120</v>
      </c>
      <c r="Q1783" s="13">
        <f>N1783</f>
        <v>2073.8723984875514</v>
      </c>
      <c r="R1783" s="13">
        <v>0</v>
      </c>
      <c r="S1783" s="13">
        <f>P1783*R1783</f>
        <v>0</v>
      </c>
      <c r="T1783" s="13">
        <f>P1783-S1783</f>
        <v>120</v>
      </c>
      <c r="U1783" s="13">
        <f>Q1783+((S1783*Q1783)/P1783)</f>
        <v>2073.8723984875514</v>
      </c>
      <c r="V1783" s="104"/>
      <c r="W1783" s="104"/>
      <c r="X1783" s="104"/>
    </row>
    <row r="1784" spans="3:24" s="29" customFormat="1" x14ac:dyDescent="0.25">
      <c r="C1784" s="896"/>
      <c r="D1784" s="896"/>
      <c r="E1784" s="896"/>
      <c r="F1784" s="898"/>
      <c r="G1784" s="898"/>
      <c r="H1784" s="898"/>
      <c r="I1784" s="898"/>
      <c r="J1784" s="898"/>
      <c r="M1784" s="13" t="s">
        <v>340</v>
      </c>
      <c r="N1784" s="13">
        <f>Y20</f>
        <v>0.64</v>
      </c>
      <c r="O1784" s="13" t="str">
        <f>X20</f>
        <v>g</v>
      </c>
      <c r="P1784" s="13">
        <v>2</v>
      </c>
      <c r="Q1784" s="13">
        <f>N1784*P1784</f>
        <v>1.28</v>
      </c>
      <c r="R1784" s="13">
        <v>0</v>
      </c>
      <c r="S1784" s="13">
        <f t="shared" ref="S1784:S1785" si="466">P1784*R1784</f>
        <v>0</v>
      </c>
      <c r="T1784" s="13">
        <f t="shared" ref="T1784:T1788" si="467">P1784-S1784</f>
        <v>2</v>
      </c>
      <c r="U1784" s="13">
        <f t="shared" ref="U1784:U1788" si="468">Q1784+((S1784*Q1784)/P1784)</f>
        <v>1.28</v>
      </c>
      <c r="V1784" s="30"/>
      <c r="W1784" s="30"/>
      <c r="X1784" s="30"/>
    </row>
    <row r="1785" spans="3:24" s="29" customFormat="1" x14ac:dyDescent="0.25">
      <c r="C1785" s="895" t="s">
        <v>0</v>
      </c>
      <c r="D1785" s="895"/>
      <c r="E1785" s="895"/>
      <c r="F1785" s="895" t="s">
        <v>1</v>
      </c>
      <c r="G1785" s="895"/>
      <c r="H1785" s="895"/>
      <c r="I1785" s="895"/>
      <c r="J1785" s="895"/>
      <c r="M1785" s="13" t="s">
        <v>454</v>
      </c>
      <c r="N1785" s="13">
        <f>P14</f>
        <v>18.86</v>
      </c>
      <c r="O1785" s="13" t="str">
        <f>O14</f>
        <v>g</v>
      </c>
      <c r="P1785" s="13">
        <v>60</v>
      </c>
      <c r="Q1785" s="13">
        <f>N1785*P1785</f>
        <v>1131.5999999999999</v>
      </c>
      <c r="R1785" s="13">
        <v>0</v>
      </c>
      <c r="S1785" s="13">
        <f t="shared" si="466"/>
        <v>0</v>
      </c>
      <c r="T1785" s="13">
        <f t="shared" si="467"/>
        <v>60</v>
      </c>
      <c r="U1785" s="13">
        <f t="shared" si="468"/>
        <v>1131.5999999999999</v>
      </c>
      <c r="V1785" s="30"/>
      <c r="W1785" s="30"/>
      <c r="X1785" s="30"/>
    </row>
    <row r="1786" spans="3:24" s="29" customFormat="1" x14ac:dyDescent="0.25">
      <c r="C1786" s="896" t="s">
        <v>3</v>
      </c>
      <c r="D1786" s="896"/>
      <c r="E1786" s="896"/>
      <c r="F1786" s="897" t="s">
        <v>203</v>
      </c>
      <c r="G1786" s="898"/>
      <c r="H1786" s="898"/>
      <c r="I1786" s="898"/>
      <c r="J1786" s="898"/>
      <c r="M1786" s="13" t="s">
        <v>540</v>
      </c>
      <c r="N1786" s="13">
        <f>P18</f>
        <v>5</v>
      </c>
      <c r="O1786" s="13" t="str">
        <f>O18</f>
        <v>g</v>
      </c>
      <c r="P1786" s="13">
        <v>40</v>
      </c>
      <c r="Q1786" s="13">
        <f>N1786*P1786</f>
        <v>200</v>
      </c>
      <c r="R1786" s="13">
        <f>AJ11</f>
        <v>0.23</v>
      </c>
      <c r="S1786" s="13">
        <f>P1786*R1786</f>
        <v>9.2000000000000011</v>
      </c>
      <c r="T1786" s="13">
        <f t="shared" si="467"/>
        <v>30.799999999999997</v>
      </c>
      <c r="U1786" s="13">
        <f t="shared" si="468"/>
        <v>246</v>
      </c>
      <c r="V1786" s="30"/>
      <c r="W1786" s="30"/>
      <c r="X1786" s="30"/>
    </row>
    <row r="1787" spans="3:24" s="29" customFormat="1" x14ac:dyDescent="0.25">
      <c r="C1787" s="896"/>
      <c r="D1787" s="896"/>
      <c r="E1787" s="896"/>
      <c r="F1787" s="898"/>
      <c r="G1787" s="898"/>
      <c r="H1787" s="898"/>
      <c r="I1787" s="898"/>
      <c r="J1787" s="898"/>
      <c r="M1787" s="13" t="s">
        <v>433</v>
      </c>
      <c r="N1787" s="13">
        <f>Y18</f>
        <v>223.57</v>
      </c>
      <c r="O1787" s="13" t="str">
        <f>X18</f>
        <v>g</v>
      </c>
      <c r="P1787" s="13">
        <v>10</v>
      </c>
      <c r="Q1787" s="13">
        <f>N1787*P1787</f>
        <v>2235.6999999999998</v>
      </c>
      <c r="R1787" s="13">
        <v>0</v>
      </c>
      <c r="S1787" s="13">
        <f t="shared" ref="S1787:S1788" si="469">P1787*R1787</f>
        <v>0</v>
      </c>
      <c r="T1787" s="13">
        <f t="shared" si="467"/>
        <v>10</v>
      </c>
      <c r="U1787" s="13">
        <f t="shared" si="468"/>
        <v>2235.6999999999998</v>
      </c>
      <c r="V1787" s="30"/>
      <c r="W1787" s="30"/>
      <c r="X1787" s="30"/>
    </row>
    <row r="1788" spans="3:24" s="29" customFormat="1" x14ac:dyDescent="0.25">
      <c r="C1788" s="896"/>
      <c r="D1788" s="896"/>
      <c r="E1788" s="896"/>
      <c r="F1788" s="898"/>
      <c r="G1788" s="898"/>
      <c r="H1788" s="898"/>
      <c r="I1788" s="898"/>
      <c r="J1788" s="898"/>
      <c r="M1788" s="13" t="s">
        <v>455</v>
      </c>
      <c r="N1788" s="13">
        <f>AE15</f>
        <v>51.96</v>
      </c>
      <c r="O1788" s="13" t="str">
        <f>AD15</f>
        <v>mL</v>
      </c>
      <c r="P1788" s="13">
        <v>40</v>
      </c>
      <c r="Q1788" s="13">
        <f>N1788*P1788</f>
        <v>2078.4</v>
      </c>
      <c r="R1788" s="13">
        <v>0</v>
      </c>
      <c r="S1788" s="13">
        <f t="shared" si="469"/>
        <v>0</v>
      </c>
      <c r="T1788" s="13">
        <f t="shared" si="467"/>
        <v>40</v>
      </c>
      <c r="U1788" s="13">
        <f t="shared" si="468"/>
        <v>2078.4</v>
      </c>
      <c r="V1788" s="30"/>
      <c r="W1788" s="30"/>
      <c r="X1788" s="30"/>
    </row>
    <row r="1789" spans="3:24" s="29" customFormat="1" x14ac:dyDescent="0.25">
      <c r="C1789" s="896" t="s">
        <v>4</v>
      </c>
      <c r="D1789" s="896"/>
      <c r="E1789" s="896"/>
      <c r="F1789" s="898" t="s">
        <v>15</v>
      </c>
      <c r="G1789" s="898"/>
      <c r="H1789" s="898"/>
      <c r="I1789" s="898"/>
      <c r="J1789" s="898"/>
      <c r="M1789" s="13"/>
      <c r="N1789" s="13"/>
      <c r="O1789" s="13"/>
      <c r="P1789" s="13"/>
      <c r="Q1789" s="13"/>
      <c r="R1789" s="13"/>
      <c r="S1789" s="13"/>
      <c r="T1789" s="13"/>
      <c r="U1789" s="13"/>
      <c r="V1789" s="30"/>
      <c r="W1789" s="30"/>
      <c r="X1789" s="30"/>
    </row>
    <row r="1790" spans="3:24" s="29" customFormat="1" x14ac:dyDescent="0.25">
      <c r="C1790" s="896"/>
      <c r="D1790" s="896"/>
      <c r="E1790" s="896"/>
      <c r="F1790" s="898"/>
      <c r="G1790" s="898"/>
      <c r="H1790" s="898"/>
      <c r="I1790" s="898"/>
      <c r="J1790" s="898"/>
      <c r="M1790" s="13"/>
      <c r="N1790" s="13"/>
      <c r="O1790" s="13"/>
      <c r="P1790" s="13"/>
      <c r="Q1790" s="13"/>
      <c r="R1790" s="13"/>
      <c r="S1790" s="13"/>
      <c r="T1790" s="13"/>
      <c r="U1790" s="13"/>
      <c r="V1790" s="30"/>
      <c r="W1790" s="30"/>
      <c r="X1790" s="30"/>
    </row>
    <row r="1791" spans="3:24" s="29" customFormat="1" x14ac:dyDescent="0.25">
      <c r="C1791" s="896"/>
      <c r="D1791" s="896"/>
      <c r="E1791" s="896"/>
      <c r="F1791" s="898"/>
      <c r="G1791" s="898"/>
      <c r="H1791" s="898"/>
      <c r="I1791" s="898"/>
      <c r="J1791" s="898"/>
      <c r="M1791" s="13" t="s">
        <v>337</v>
      </c>
      <c r="N1791" s="13">
        <f>SUM(N1783:N1790)</f>
        <v>2373.9023984875516</v>
      </c>
      <c r="O1791" s="13"/>
      <c r="P1791" s="13">
        <f>SUM(P1783:P1790)</f>
        <v>272</v>
      </c>
      <c r="Q1791" s="13">
        <f>SUM(Q1783:Q1790)</f>
        <v>7720.8523984875519</v>
      </c>
      <c r="R1791" s="13"/>
      <c r="S1791" s="13"/>
      <c r="T1791" s="13"/>
      <c r="U1791" s="13">
        <f>SUM(U1783:U1790)</f>
        <v>7766.8523984875519</v>
      </c>
    </row>
    <row r="1792" spans="3:24" s="29" customFormat="1" x14ac:dyDescent="0.25">
      <c r="C1792" s="896" t="s">
        <v>5</v>
      </c>
      <c r="D1792" s="896"/>
      <c r="E1792" s="896"/>
      <c r="F1792" s="898" t="s">
        <v>204</v>
      </c>
      <c r="G1792" s="898"/>
      <c r="H1792" s="898"/>
      <c r="I1792" s="898"/>
      <c r="J1792" s="898"/>
    </row>
    <row r="1793" spans="3:24" s="29" customFormat="1" x14ac:dyDescent="0.25">
      <c r="C1793" s="896"/>
      <c r="D1793" s="896"/>
      <c r="E1793" s="896"/>
      <c r="F1793" s="898"/>
      <c r="G1793" s="898"/>
      <c r="H1793" s="898"/>
      <c r="I1793" s="898"/>
      <c r="J1793" s="898"/>
      <c r="Q1793" s="13" t="s">
        <v>1681</v>
      </c>
      <c r="R1793" s="13">
        <f>U1791</f>
        <v>7766.8523984875519</v>
      </c>
      <c r="S1793" s="608" t="s">
        <v>2142</v>
      </c>
      <c r="T1793" s="608">
        <f>(R1793*100)/R1800</f>
        <v>46.271770506374096</v>
      </c>
    </row>
    <row r="1794" spans="3:24" s="29" customFormat="1" x14ac:dyDescent="0.25">
      <c r="C1794" s="896"/>
      <c r="D1794" s="896"/>
      <c r="E1794" s="896"/>
      <c r="F1794" s="898"/>
      <c r="G1794" s="898"/>
      <c r="H1794" s="898"/>
      <c r="I1794" s="898"/>
      <c r="J1794" s="898"/>
      <c r="Q1794" s="13" t="s">
        <v>2326</v>
      </c>
      <c r="R1794" s="13">
        <f>$AL$26</f>
        <v>1801.715474357886</v>
      </c>
    </row>
    <row r="1795" spans="3:24" s="29" customFormat="1" x14ac:dyDescent="0.25">
      <c r="C1795" s="896" t="s">
        <v>6</v>
      </c>
      <c r="D1795" s="896"/>
      <c r="E1795" s="896"/>
      <c r="F1795" s="898" t="s">
        <v>9</v>
      </c>
      <c r="G1795" s="898"/>
      <c r="H1795" s="898"/>
      <c r="I1795" s="898"/>
      <c r="J1795" s="898"/>
      <c r="Q1795" s="13" t="s">
        <v>2325</v>
      </c>
      <c r="R1795" s="13">
        <f>$AL$27</f>
        <v>75.599999999999994</v>
      </c>
    </row>
    <row r="1796" spans="3:24" s="29" customFormat="1" x14ac:dyDescent="0.25">
      <c r="C1796" s="896"/>
      <c r="D1796" s="896"/>
      <c r="E1796" s="896"/>
      <c r="F1796" s="898"/>
      <c r="G1796" s="898"/>
      <c r="H1796" s="898"/>
      <c r="I1796" s="898"/>
      <c r="J1796" s="898"/>
      <c r="Q1796" s="13" t="s">
        <v>1684</v>
      </c>
      <c r="R1796" s="13">
        <f>$AL$29</f>
        <v>69.543532482306858</v>
      </c>
    </row>
    <row r="1797" spans="3:24" s="29" customFormat="1" x14ac:dyDescent="0.25">
      <c r="C1797" s="896"/>
      <c r="D1797" s="896"/>
      <c r="E1797" s="896"/>
      <c r="F1797" s="898"/>
      <c r="G1797" s="898"/>
      <c r="H1797" s="898"/>
      <c r="I1797" s="898"/>
      <c r="J1797" s="898"/>
      <c r="Q1797" s="13" t="s">
        <v>1685</v>
      </c>
      <c r="R1797" s="13">
        <v>0.6</v>
      </c>
    </row>
    <row r="1798" spans="3:24" s="29" customFormat="1" x14ac:dyDescent="0.25">
      <c r="C1798" s="896" t="s">
        <v>7</v>
      </c>
      <c r="D1798" s="896"/>
      <c r="E1798" s="896"/>
      <c r="F1798" s="898" t="s">
        <v>636</v>
      </c>
      <c r="G1798" s="898"/>
      <c r="H1798" s="898"/>
      <c r="I1798" s="898"/>
      <c r="J1798" s="898"/>
      <c r="Q1798" s="13" t="s">
        <v>1708</v>
      </c>
      <c r="R1798" s="13">
        <f>(SUM(R1793:R1796)*R1797)+SUM(R1793:R1796)</f>
        <v>15541.938248524391</v>
      </c>
    </row>
    <row r="1799" spans="3:24" s="29" customFormat="1" x14ac:dyDescent="0.25">
      <c r="C1799" s="896"/>
      <c r="D1799" s="896"/>
      <c r="E1799" s="896"/>
      <c r="F1799" s="898"/>
      <c r="G1799" s="898"/>
      <c r="H1799" s="898"/>
      <c r="I1799" s="898"/>
      <c r="J1799" s="898"/>
      <c r="Q1799" s="13" t="s">
        <v>2130</v>
      </c>
      <c r="R1799" s="13">
        <f>R1798*0.08</f>
        <v>1243.3550598819513</v>
      </c>
    </row>
    <row r="1800" spans="3:24" s="29" customFormat="1" x14ac:dyDescent="0.25">
      <c r="C1800" s="896"/>
      <c r="D1800" s="896"/>
      <c r="E1800" s="896"/>
      <c r="F1800" s="898"/>
      <c r="G1800" s="898"/>
      <c r="H1800" s="898"/>
      <c r="I1800" s="898"/>
      <c r="J1800" s="898"/>
      <c r="Q1800" s="13" t="s">
        <v>1686</v>
      </c>
      <c r="R1800" s="13">
        <f>SUM(R1798+R1799)</f>
        <v>16785.293308406344</v>
      </c>
      <c r="T1800" s="30"/>
      <c r="U1800" s="30"/>
      <c r="V1800" s="30"/>
      <c r="W1800" s="30"/>
      <c r="X1800" s="30"/>
    </row>
    <row r="1801" spans="3:24" s="29" customFormat="1" x14ac:dyDescent="0.25">
      <c r="T1801" s="30"/>
      <c r="U1801" s="30"/>
      <c r="V1801" s="30"/>
      <c r="W1801" s="30"/>
      <c r="X1801" s="30"/>
    </row>
    <row r="1802" spans="3:24" s="29" customFormat="1" x14ac:dyDescent="0.25">
      <c r="T1802" s="30"/>
      <c r="U1802" s="30"/>
      <c r="V1802" s="30"/>
      <c r="W1802" s="30"/>
      <c r="X1802" s="30"/>
    </row>
    <row r="1803" spans="3:24" s="29" customFormat="1" x14ac:dyDescent="0.25">
      <c r="C1803" s="910" t="s">
        <v>8</v>
      </c>
      <c r="D1803" s="910"/>
      <c r="E1803" s="910"/>
      <c r="F1803" s="910"/>
      <c r="G1803" s="910"/>
      <c r="H1803" s="910"/>
      <c r="I1803" s="910"/>
      <c r="J1803" s="910"/>
      <c r="T1803" s="30"/>
      <c r="U1803" s="30"/>
      <c r="V1803" s="30"/>
      <c r="W1803" s="30"/>
      <c r="X1803" s="30"/>
    </row>
    <row r="1804" spans="3:24" s="29" customFormat="1" x14ac:dyDescent="0.25">
      <c r="C1804" s="895" t="s">
        <v>0</v>
      </c>
      <c r="D1804" s="895"/>
      <c r="E1804" s="895"/>
      <c r="F1804" s="895" t="s">
        <v>1</v>
      </c>
      <c r="G1804" s="895"/>
      <c r="H1804" s="895"/>
      <c r="I1804" s="895"/>
      <c r="J1804" s="895"/>
      <c r="T1804" s="30"/>
      <c r="U1804" s="30"/>
      <c r="V1804" s="30"/>
      <c r="W1804" s="30"/>
      <c r="X1804" s="30"/>
    </row>
    <row r="1805" spans="3:24" s="29" customFormat="1" x14ac:dyDescent="0.25">
      <c r="C1805" s="896" t="s">
        <v>2</v>
      </c>
      <c r="D1805" s="896"/>
      <c r="E1805" s="896"/>
      <c r="F1805" s="898" t="s">
        <v>205</v>
      </c>
      <c r="G1805" s="898"/>
      <c r="H1805" s="898"/>
      <c r="I1805" s="898"/>
      <c r="J1805" s="898"/>
      <c r="M1805" s="12" t="s">
        <v>336</v>
      </c>
      <c r="N1805" s="12" t="s">
        <v>174</v>
      </c>
      <c r="O1805" s="12" t="s">
        <v>248</v>
      </c>
      <c r="P1805" s="12" t="s">
        <v>176</v>
      </c>
      <c r="Q1805" s="12" t="s">
        <v>337</v>
      </c>
      <c r="R1805" s="298" t="s">
        <v>1641</v>
      </c>
      <c r="S1805" s="298" t="s">
        <v>1642</v>
      </c>
      <c r="T1805" s="298" t="s">
        <v>1643</v>
      </c>
      <c r="U1805" s="298" t="s">
        <v>1644</v>
      </c>
      <c r="V1805" s="103"/>
      <c r="W1805" s="103"/>
      <c r="X1805" s="103"/>
    </row>
    <row r="1806" spans="3:24" s="29" customFormat="1" x14ac:dyDescent="0.25">
      <c r="C1806" s="896"/>
      <c r="D1806" s="896"/>
      <c r="E1806" s="896"/>
      <c r="F1806" s="898"/>
      <c r="G1806" s="898"/>
      <c r="H1806" s="898"/>
      <c r="I1806" s="898"/>
      <c r="J1806" s="898"/>
      <c r="M1806" s="13" t="s">
        <v>344</v>
      </c>
      <c r="N1806" s="13">
        <f>F21</f>
        <v>2073.8723984875514</v>
      </c>
      <c r="O1806" s="13" t="str">
        <f>D21</f>
        <v>g</v>
      </c>
      <c r="P1806" s="13">
        <v>100</v>
      </c>
      <c r="Q1806" s="13">
        <f>N1806</f>
        <v>2073.8723984875514</v>
      </c>
      <c r="R1806" s="13">
        <v>0</v>
      </c>
      <c r="S1806" s="13">
        <f>P1806*R1806</f>
        <v>0</v>
      </c>
      <c r="T1806" s="13">
        <f>P1806-S1806</f>
        <v>100</v>
      </c>
      <c r="U1806" s="13">
        <f>Q1806+((S1806*Q1806)/P1806)</f>
        <v>2073.8723984875514</v>
      </c>
      <c r="V1806" s="104"/>
      <c r="W1806" s="104"/>
      <c r="X1806" s="104"/>
    </row>
    <row r="1807" spans="3:24" s="29" customFormat="1" x14ac:dyDescent="0.25">
      <c r="C1807" s="896"/>
      <c r="D1807" s="896"/>
      <c r="E1807" s="896"/>
      <c r="F1807" s="898"/>
      <c r="G1807" s="898"/>
      <c r="H1807" s="898"/>
      <c r="I1807" s="898"/>
      <c r="J1807" s="898"/>
      <c r="M1807" s="13" t="s">
        <v>340</v>
      </c>
      <c r="N1807" s="13">
        <f>Y20</f>
        <v>0.64</v>
      </c>
      <c r="O1807" s="13" t="str">
        <f>X20</f>
        <v>g</v>
      </c>
      <c r="P1807" s="13">
        <v>2</v>
      </c>
      <c r="Q1807" s="13">
        <f t="shared" ref="Q1807:Q1812" si="470">N1807*P1807</f>
        <v>1.28</v>
      </c>
      <c r="R1807" s="13">
        <v>0</v>
      </c>
      <c r="S1807" s="13">
        <f t="shared" ref="S1807:S1808" si="471">P1807*R1807</f>
        <v>0</v>
      </c>
      <c r="T1807" s="13">
        <f t="shared" ref="T1807:T1812" si="472">P1807-S1807</f>
        <v>2</v>
      </c>
      <c r="U1807" s="13">
        <f t="shared" ref="U1807:U1812" si="473">Q1807+((S1807*Q1807)/P1807)</f>
        <v>1.28</v>
      </c>
      <c r="V1807" s="30"/>
      <c r="W1807" s="30"/>
      <c r="X1807" s="30"/>
    </row>
    <row r="1808" spans="3:24" s="29" customFormat="1" x14ac:dyDescent="0.25">
      <c r="C1808" s="895" t="s">
        <v>0</v>
      </c>
      <c r="D1808" s="895"/>
      <c r="E1808" s="895"/>
      <c r="F1808" s="895" t="s">
        <v>1</v>
      </c>
      <c r="G1808" s="895"/>
      <c r="H1808" s="895"/>
      <c r="I1808" s="895"/>
      <c r="J1808" s="895"/>
      <c r="M1808" s="13" t="s">
        <v>346</v>
      </c>
      <c r="N1808" s="13">
        <f>P3</f>
        <v>7</v>
      </c>
      <c r="O1808" s="13" t="str">
        <f>O3</f>
        <v>g</v>
      </c>
      <c r="P1808" s="13">
        <v>6</v>
      </c>
      <c r="Q1808" s="13">
        <f t="shared" si="470"/>
        <v>42</v>
      </c>
      <c r="R1808" s="13">
        <f>AJ2</f>
        <v>0.23</v>
      </c>
      <c r="S1808" s="13">
        <f t="shared" si="471"/>
        <v>1.3800000000000001</v>
      </c>
      <c r="T1808" s="13">
        <f t="shared" si="472"/>
        <v>4.62</v>
      </c>
      <c r="U1808" s="13">
        <f t="shared" si="473"/>
        <v>51.660000000000004</v>
      </c>
      <c r="V1808" s="30"/>
      <c r="W1808" s="30"/>
      <c r="X1808" s="30"/>
    </row>
    <row r="1809" spans="3:24" s="29" customFormat="1" x14ac:dyDescent="0.25">
      <c r="C1809" s="896" t="s">
        <v>3</v>
      </c>
      <c r="D1809" s="896"/>
      <c r="E1809" s="896"/>
      <c r="F1809" s="897" t="s">
        <v>206</v>
      </c>
      <c r="G1809" s="898"/>
      <c r="H1809" s="898"/>
      <c r="I1809" s="898"/>
      <c r="J1809" s="898"/>
      <c r="M1809" s="13" t="s">
        <v>436</v>
      </c>
      <c r="N1809" s="13">
        <f>P31</f>
        <v>2.6</v>
      </c>
      <c r="O1809" s="13" t="str">
        <f>O31</f>
        <v>g</v>
      </c>
      <c r="P1809" s="13">
        <v>30</v>
      </c>
      <c r="Q1809" s="13">
        <f t="shared" si="470"/>
        <v>78</v>
      </c>
      <c r="R1809" s="13">
        <f>AJ19</f>
        <v>0.37</v>
      </c>
      <c r="S1809" s="13">
        <f>P1809*R1809</f>
        <v>11.1</v>
      </c>
      <c r="T1809" s="13">
        <f t="shared" si="472"/>
        <v>18.899999999999999</v>
      </c>
      <c r="U1809" s="13">
        <f t="shared" si="473"/>
        <v>106.86</v>
      </c>
      <c r="V1809" s="30"/>
      <c r="W1809" s="30"/>
      <c r="X1809" s="30"/>
    </row>
    <row r="1810" spans="3:24" s="29" customFormat="1" x14ac:dyDescent="0.25">
      <c r="C1810" s="896"/>
      <c r="D1810" s="896"/>
      <c r="E1810" s="896"/>
      <c r="F1810" s="898"/>
      <c r="G1810" s="898"/>
      <c r="H1810" s="898"/>
      <c r="I1810" s="898"/>
      <c r="J1810" s="898"/>
      <c r="M1810" s="13" t="s">
        <v>454</v>
      </c>
      <c r="N1810" s="13">
        <f>P14</f>
        <v>18.86</v>
      </c>
      <c r="O1810" s="13" t="str">
        <f>O14</f>
        <v>g</v>
      </c>
      <c r="P1810" s="13">
        <v>40</v>
      </c>
      <c r="Q1810" s="13">
        <f t="shared" si="470"/>
        <v>754.4</v>
      </c>
      <c r="R1810" s="13">
        <v>0</v>
      </c>
      <c r="S1810" s="13">
        <f t="shared" ref="S1810:S1812" si="474">P1810*R1810</f>
        <v>0</v>
      </c>
      <c r="T1810" s="13">
        <f t="shared" si="472"/>
        <v>40</v>
      </c>
      <c r="U1810" s="13">
        <f t="shared" si="473"/>
        <v>754.4</v>
      </c>
      <c r="V1810" s="30"/>
      <c r="W1810" s="30"/>
      <c r="X1810" s="30"/>
    </row>
    <row r="1811" spans="3:24" s="29" customFormat="1" x14ac:dyDescent="0.25">
      <c r="C1811" s="896"/>
      <c r="D1811" s="896"/>
      <c r="E1811" s="896"/>
      <c r="F1811" s="898"/>
      <c r="G1811" s="898"/>
      <c r="H1811" s="898"/>
      <c r="I1811" s="898"/>
      <c r="J1811" s="898"/>
      <c r="M1811" s="13" t="s">
        <v>450</v>
      </c>
      <c r="N1811" s="13">
        <f>AE11</f>
        <v>22.95</v>
      </c>
      <c r="O1811" s="13" t="str">
        <f>AD11</f>
        <v>g</v>
      </c>
      <c r="P1811" s="13">
        <v>60</v>
      </c>
      <c r="Q1811" s="13">
        <f t="shared" si="470"/>
        <v>1377</v>
      </c>
      <c r="R1811" s="13">
        <v>0</v>
      </c>
      <c r="S1811" s="13">
        <f t="shared" si="474"/>
        <v>0</v>
      </c>
      <c r="T1811" s="13">
        <f t="shared" si="472"/>
        <v>60</v>
      </c>
      <c r="U1811" s="13">
        <f t="shared" si="473"/>
        <v>1377</v>
      </c>
      <c r="V1811" s="30"/>
      <c r="W1811" s="30"/>
      <c r="X1811" s="30"/>
    </row>
    <row r="1812" spans="3:24" s="29" customFormat="1" x14ac:dyDescent="0.25">
      <c r="C1812" s="896" t="s">
        <v>4</v>
      </c>
      <c r="D1812" s="896"/>
      <c r="E1812" s="896"/>
      <c r="F1812" s="898" t="s">
        <v>15</v>
      </c>
      <c r="G1812" s="898"/>
      <c r="H1812" s="898"/>
      <c r="I1812" s="898"/>
      <c r="J1812" s="898"/>
      <c r="M1812" s="13" t="s">
        <v>345</v>
      </c>
      <c r="N1812" s="13">
        <f>P23</f>
        <v>1.6</v>
      </c>
      <c r="O1812" s="13" t="str">
        <f>O23</f>
        <v>g</v>
      </c>
      <c r="P1812" s="13">
        <v>25</v>
      </c>
      <c r="Q1812" s="13">
        <f t="shared" si="470"/>
        <v>40</v>
      </c>
      <c r="R1812" s="13">
        <v>0</v>
      </c>
      <c r="S1812" s="13">
        <f t="shared" si="474"/>
        <v>0</v>
      </c>
      <c r="T1812" s="13">
        <f t="shared" si="472"/>
        <v>25</v>
      </c>
      <c r="U1812" s="13">
        <f t="shared" si="473"/>
        <v>40</v>
      </c>
      <c r="V1812" s="30"/>
      <c r="W1812" s="30"/>
      <c r="X1812" s="30"/>
    </row>
    <row r="1813" spans="3:24" s="29" customFormat="1" x14ac:dyDescent="0.25">
      <c r="C1813" s="896"/>
      <c r="D1813" s="896"/>
      <c r="E1813" s="896"/>
      <c r="F1813" s="898"/>
      <c r="G1813" s="898"/>
      <c r="H1813" s="898"/>
      <c r="I1813" s="898"/>
      <c r="J1813" s="898"/>
      <c r="M1813" s="13"/>
      <c r="N1813" s="13"/>
      <c r="O1813" s="13"/>
      <c r="P1813" s="13"/>
      <c r="Q1813" s="13"/>
      <c r="R1813" s="13"/>
      <c r="S1813" s="13"/>
      <c r="T1813" s="13"/>
      <c r="U1813" s="13"/>
      <c r="V1813" s="30"/>
      <c r="W1813" s="30"/>
      <c r="X1813" s="30"/>
    </row>
    <row r="1814" spans="3:24" s="29" customFormat="1" x14ac:dyDescent="0.25">
      <c r="C1814" s="896"/>
      <c r="D1814" s="896"/>
      <c r="E1814" s="896"/>
      <c r="F1814" s="898"/>
      <c r="G1814" s="898"/>
      <c r="H1814" s="898"/>
      <c r="I1814" s="898"/>
      <c r="J1814" s="898"/>
      <c r="M1814" s="13" t="s">
        <v>337</v>
      </c>
      <c r="N1814" s="13">
        <f>SUM(N1806:N1813)</f>
        <v>2127.5223984875511</v>
      </c>
      <c r="O1814" s="13"/>
      <c r="P1814" s="13">
        <f>SUM(P1806:P1813)</f>
        <v>263</v>
      </c>
      <c r="Q1814" s="13">
        <f>SUM(Q1806:Q1813)</f>
        <v>4366.5523984875517</v>
      </c>
      <c r="R1814" s="13"/>
      <c r="S1814" s="13"/>
      <c r="T1814" s="13"/>
      <c r="U1814" s="13">
        <f>SUM(U1806:U1813)</f>
        <v>4405.0723984875513</v>
      </c>
      <c r="V1814" s="30"/>
      <c r="W1814" s="30"/>
      <c r="X1814" s="30"/>
    </row>
    <row r="1815" spans="3:24" s="29" customFormat="1" x14ac:dyDescent="0.25">
      <c r="C1815" s="896" t="s">
        <v>5</v>
      </c>
      <c r="D1815" s="896"/>
      <c r="E1815" s="896"/>
      <c r="F1815" s="898" t="s">
        <v>207</v>
      </c>
      <c r="G1815" s="898"/>
      <c r="H1815" s="898"/>
      <c r="I1815" s="898"/>
      <c r="J1815" s="898"/>
      <c r="T1815" s="30"/>
      <c r="U1815" s="30"/>
      <c r="V1815" s="30"/>
      <c r="W1815" s="30"/>
      <c r="X1815" s="30"/>
    </row>
    <row r="1816" spans="3:24" s="29" customFormat="1" x14ac:dyDescent="0.25">
      <c r="C1816" s="896"/>
      <c r="D1816" s="896"/>
      <c r="E1816" s="896"/>
      <c r="F1816" s="898"/>
      <c r="G1816" s="898"/>
      <c r="H1816" s="898"/>
      <c r="I1816" s="898"/>
      <c r="J1816" s="898"/>
      <c r="Q1816" s="13" t="s">
        <v>1681</v>
      </c>
      <c r="R1816" s="13">
        <f>U1814</f>
        <v>4405.0723984875513</v>
      </c>
      <c r="S1816" s="608" t="s">
        <v>2142</v>
      </c>
      <c r="T1816" s="608">
        <f>(R1816*100)/R1823</f>
        <v>40.133174453828495</v>
      </c>
      <c r="U1816" s="30"/>
      <c r="V1816" s="30"/>
      <c r="W1816" s="30"/>
      <c r="X1816" s="30"/>
    </row>
    <row r="1817" spans="3:24" s="29" customFormat="1" x14ac:dyDescent="0.25">
      <c r="C1817" s="896"/>
      <c r="D1817" s="896"/>
      <c r="E1817" s="896"/>
      <c r="F1817" s="898"/>
      <c r="G1817" s="898"/>
      <c r="H1817" s="898"/>
      <c r="I1817" s="898"/>
      <c r="J1817" s="898"/>
      <c r="Q1817" s="13" t="s">
        <v>2326</v>
      </c>
      <c r="R1817" s="13">
        <f>$AL$26</f>
        <v>1801.715474357886</v>
      </c>
      <c r="T1817" s="30"/>
      <c r="U1817" s="30"/>
      <c r="V1817" s="30"/>
      <c r="W1817" s="30"/>
      <c r="X1817" s="30"/>
    </row>
    <row r="1818" spans="3:24" s="29" customFormat="1" x14ac:dyDescent="0.25">
      <c r="C1818" s="896" t="s">
        <v>6</v>
      </c>
      <c r="D1818" s="896"/>
      <c r="E1818" s="896"/>
      <c r="F1818" s="898" t="s">
        <v>9</v>
      </c>
      <c r="G1818" s="898"/>
      <c r="H1818" s="898"/>
      <c r="I1818" s="898"/>
      <c r="J1818" s="898"/>
      <c r="Q1818" s="13" t="s">
        <v>2325</v>
      </c>
      <c r="R1818" s="13">
        <f>$AL$27</f>
        <v>75.599999999999994</v>
      </c>
    </row>
    <row r="1819" spans="3:24" s="29" customFormat="1" x14ac:dyDescent="0.25">
      <c r="C1819" s="896"/>
      <c r="D1819" s="896"/>
      <c r="E1819" s="896"/>
      <c r="F1819" s="898"/>
      <c r="G1819" s="898"/>
      <c r="H1819" s="898"/>
      <c r="I1819" s="898"/>
      <c r="J1819" s="898"/>
      <c r="Q1819" s="13" t="s">
        <v>1684</v>
      </c>
      <c r="R1819" s="13">
        <f>$AL$29</f>
        <v>69.543532482306858</v>
      </c>
    </row>
    <row r="1820" spans="3:24" s="29" customFormat="1" x14ac:dyDescent="0.25">
      <c r="C1820" s="896"/>
      <c r="D1820" s="896"/>
      <c r="E1820" s="896"/>
      <c r="F1820" s="898"/>
      <c r="G1820" s="898"/>
      <c r="H1820" s="898"/>
      <c r="I1820" s="898"/>
      <c r="J1820" s="898"/>
      <c r="Q1820" s="13" t="s">
        <v>1685</v>
      </c>
      <c r="R1820" s="13">
        <v>0.6</v>
      </c>
    </row>
    <row r="1821" spans="3:24" s="29" customFormat="1" x14ac:dyDescent="0.25">
      <c r="C1821" s="896" t="s">
        <v>7</v>
      </c>
      <c r="D1821" s="896"/>
      <c r="E1821" s="896"/>
      <c r="F1821" s="898" t="s">
        <v>208</v>
      </c>
      <c r="G1821" s="898"/>
      <c r="H1821" s="898"/>
      <c r="I1821" s="898"/>
      <c r="J1821" s="898"/>
      <c r="Q1821" s="13" t="s">
        <v>1708</v>
      </c>
      <c r="R1821" s="13">
        <f>(SUM(R1816:R1819)*R1820)+SUM(R1816:R1819)</f>
        <v>10163.09024852439</v>
      </c>
    </row>
    <row r="1822" spans="3:24" s="29" customFormat="1" x14ac:dyDescent="0.25">
      <c r="C1822" s="896"/>
      <c r="D1822" s="896"/>
      <c r="E1822" s="896"/>
      <c r="F1822" s="898"/>
      <c r="G1822" s="898"/>
      <c r="H1822" s="898"/>
      <c r="I1822" s="898"/>
      <c r="J1822" s="898"/>
      <c r="Q1822" s="13" t="s">
        <v>2130</v>
      </c>
      <c r="R1822" s="13">
        <f>R1821*0.08</f>
        <v>813.04721988195115</v>
      </c>
    </row>
    <row r="1823" spans="3:24" s="29" customFormat="1" x14ac:dyDescent="0.25">
      <c r="C1823" s="896"/>
      <c r="D1823" s="896"/>
      <c r="E1823" s="896"/>
      <c r="F1823" s="898"/>
      <c r="G1823" s="898"/>
      <c r="H1823" s="898"/>
      <c r="I1823" s="898"/>
      <c r="J1823" s="898"/>
      <c r="Q1823" s="13" t="s">
        <v>1686</v>
      </c>
      <c r="R1823" s="13">
        <f>SUM(R1821+R1822)</f>
        <v>10976.137468406341</v>
      </c>
    </row>
    <row r="1824" spans="3:24" s="29" customFormat="1" x14ac:dyDescent="0.25">
      <c r="C1824" s="106"/>
      <c r="D1824" s="106"/>
      <c r="E1824" s="106"/>
      <c r="F1824" s="107"/>
      <c r="G1824" s="107"/>
      <c r="H1824" s="107"/>
      <c r="I1824" s="107"/>
      <c r="J1824" s="107"/>
    </row>
    <row r="1825" spans="3:24" s="29" customFormat="1" x14ac:dyDescent="0.25">
      <c r="C1825" s="106"/>
      <c r="D1825" s="106"/>
      <c r="E1825" s="106"/>
      <c r="F1825" s="107"/>
      <c r="G1825" s="107"/>
      <c r="H1825" s="107"/>
      <c r="I1825" s="107"/>
      <c r="J1825" s="107"/>
      <c r="T1825" s="30"/>
      <c r="U1825" s="30"/>
      <c r="V1825" s="30"/>
      <c r="W1825" s="30"/>
      <c r="X1825" s="30"/>
    </row>
    <row r="1826" spans="3:24" s="29" customFormat="1" x14ac:dyDescent="0.25">
      <c r="C1826" s="910" t="s">
        <v>8</v>
      </c>
      <c r="D1826" s="910"/>
      <c r="E1826" s="910"/>
      <c r="F1826" s="910"/>
      <c r="G1826" s="910"/>
      <c r="H1826" s="910"/>
      <c r="I1826" s="910"/>
      <c r="J1826" s="910"/>
      <c r="T1826" s="30"/>
      <c r="U1826" s="30"/>
      <c r="V1826" s="30"/>
      <c r="W1826" s="30"/>
      <c r="X1826" s="30"/>
    </row>
    <row r="1827" spans="3:24" s="29" customFormat="1" x14ac:dyDescent="0.25">
      <c r="C1827" s="895" t="s">
        <v>0</v>
      </c>
      <c r="D1827" s="895"/>
      <c r="E1827" s="895"/>
      <c r="F1827" s="895" t="s">
        <v>1</v>
      </c>
      <c r="G1827" s="895"/>
      <c r="H1827" s="895"/>
      <c r="I1827" s="895"/>
      <c r="J1827" s="895"/>
      <c r="T1827" s="30"/>
      <c r="U1827" s="30"/>
      <c r="V1827" s="30"/>
      <c r="W1827" s="30"/>
      <c r="X1827" s="30"/>
    </row>
    <row r="1828" spans="3:24" s="29" customFormat="1" x14ac:dyDescent="0.25">
      <c r="C1828" s="896" t="s">
        <v>2</v>
      </c>
      <c r="D1828" s="896"/>
      <c r="E1828" s="896"/>
      <c r="F1828" s="898" t="s">
        <v>659</v>
      </c>
      <c r="G1828" s="898"/>
      <c r="H1828" s="898"/>
      <c r="I1828" s="898"/>
      <c r="J1828" s="898"/>
      <c r="M1828" s="12" t="s">
        <v>336</v>
      </c>
      <c r="N1828" s="12" t="s">
        <v>174</v>
      </c>
      <c r="O1828" s="12" t="s">
        <v>248</v>
      </c>
      <c r="P1828" s="12" t="s">
        <v>176</v>
      </c>
      <c r="Q1828" s="12" t="s">
        <v>337</v>
      </c>
      <c r="R1828" s="298" t="s">
        <v>1641</v>
      </c>
      <c r="S1828" s="298" t="s">
        <v>1642</v>
      </c>
      <c r="T1828" s="298" t="s">
        <v>1643</v>
      </c>
      <c r="U1828" s="298" t="s">
        <v>1644</v>
      </c>
      <c r="V1828" s="103"/>
      <c r="W1828" s="103"/>
      <c r="X1828" s="103"/>
    </row>
    <row r="1829" spans="3:24" s="29" customFormat="1" x14ac:dyDescent="0.25">
      <c r="C1829" s="896"/>
      <c r="D1829" s="896"/>
      <c r="E1829" s="896"/>
      <c r="F1829" s="898"/>
      <c r="G1829" s="898"/>
      <c r="H1829" s="898"/>
      <c r="I1829" s="898"/>
      <c r="J1829" s="898"/>
      <c r="M1829" s="13" t="s">
        <v>344</v>
      </c>
      <c r="N1829" s="13">
        <f>F21</f>
        <v>2073.8723984875514</v>
      </c>
      <c r="O1829" s="13" t="str">
        <f>D21</f>
        <v>g</v>
      </c>
      <c r="P1829" s="13">
        <v>100</v>
      </c>
      <c r="Q1829" s="13">
        <f>N1829</f>
        <v>2073.8723984875514</v>
      </c>
      <c r="R1829" s="13">
        <v>0</v>
      </c>
      <c r="S1829" s="13">
        <f>P1829*R1829</f>
        <v>0</v>
      </c>
      <c r="T1829" s="13">
        <f>P1829-S1829</f>
        <v>100</v>
      </c>
      <c r="U1829" s="13">
        <f>Q1829+((S1829*Q1829)/P1829)</f>
        <v>2073.8723984875514</v>
      </c>
      <c r="V1829" s="104"/>
      <c r="W1829" s="104"/>
      <c r="X1829" s="104"/>
    </row>
    <row r="1830" spans="3:24" s="29" customFormat="1" x14ac:dyDescent="0.25">
      <c r="C1830" s="896"/>
      <c r="D1830" s="896"/>
      <c r="E1830" s="896"/>
      <c r="F1830" s="898"/>
      <c r="G1830" s="898"/>
      <c r="H1830" s="898"/>
      <c r="I1830" s="898"/>
      <c r="J1830" s="898"/>
      <c r="M1830" s="13" t="s">
        <v>340</v>
      </c>
      <c r="N1830" s="13">
        <f>Y20</f>
        <v>0.64</v>
      </c>
      <c r="O1830" s="13" t="str">
        <f>X20</f>
        <v>g</v>
      </c>
      <c r="P1830" s="13">
        <v>2</v>
      </c>
      <c r="Q1830" s="13">
        <f t="shared" ref="Q1830:Q1834" si="475">N1830*P1830</f>
        <v>1.28</v>
      </c>
      <c r="R1830" s="13">
        <v>0</v>
      </c>
      <c r="S1830" s="13">
        <f t="shared" ref="S1830:S1831" si="476">P1830*R1830</f>
        <v>0</v>
      </c>
      <c r="T1830" s="13">
        <f t="shared" ref="T1830:T1834" si="477">P1830-S1830</f>
        <v>2</v>
      </c>
      <c r="U1830" s="13">
        <f t="shared" ref="U1830:U1834" si="478">Q1830+((S1830*Q1830)/P1830)</f>
        <v>1.28</v>
      </c>
      <c r="V1830" s="30"/>
      <c r="W1830" s="30"/>
      <c r="X1830" s="30"/>
    </row>
    <row r="1831" spans="3:24" s="29" customFormat="1" x14ac:dyDescent="0.25">
      <c r="C1831" s="895" t="s">
        <v>0</v>
      </c>
      <c r="D1831" s="895"/>
      <c r="E1831" s="895"/>
      <c r="F1831" s="895" t="s">
        <v>1</v>
      </c>
      <c r="G1831" s="895"/>
      <c r="H1831" s="895"/>
      <c r="I1831" s="895"/>
      <c r="J1831" s="895"/>
      <c r="M1831" s="13" t="s">
        <v>346</v>
      </c>
      <c r="N1831" s="13">
        <f>P3</f>
        <v>7</v>
      </c>
      <c r="O1831" s="13" t="str">
        <f>O3</f>
        <v>g</v>
      </c>
      <c r="P1831" s="13">
        <v>6</v>
      </c>
      <c r="Q1831" s="13">
        <f t="shared" si="475"/>
        <v>42</v>
      </c>
      <c r="R1831" s="13">
        <f>AJ2</f>
        <v>0.23</v>
      </c>
      <c r="S1831" s="13">
        <f t="shared" si="476"/>
        <v>1.3800000000000001</v>
      </c>
      <c r="T1831" s="13">
        <f t="shared" si="477"/>
        <v>4.62</v>
      </c>
      <c r="U1831" s="13">
        <f t="shared" si="478"/>
        <v>51.660000000000004</v>
      </c>
      <c r="V1831" s="30"/>
      <c r="W1831" s="30"/>
      <c r="X1831" s="30"/>
    </row>
    <row r="1832" spans="3:24" s="29" customFormat="1" x14ac:dyDescent="0.25">
      <c r="C1832" s="896" t="s">
        <v>3</v>
      </c>
      <c r="D1832" s="896"/>
      <c r="E1832" s="896"/>
      <c r="F1832" s="897" t="s">
        <v>660</v>
      </c>
      <c r="G1832" s="898"/>
      <c r="H1832" s="898"/>
      <c r="I1832" s="898"/>
      <c r="J1832" s="898"/>
      <c r="M1832" s="13" t="s">
        <v>482</v>
      </c>
      <c r="N1832" s="13">
        <f>P18</f>
        <v>5</v>
      </c>
      <c r="O1832" s="13" t="str">
        <f>O18</f>
        <v>g</v>
      </c>
      <c r="P1832" s="13">
        <v>50</v>
      </c>
      <c r="Q1832" s="13">
        <f t="shared" si="475"/>
        <v>250</v>
      </c>
      <c r="R1832" s="13">
        <f>AJ11</f>
        <v>0.23</v>
      </c>
      <c r="S1832" s="13">
        <f>P1832*R1832</f>
        <v>11.5</v>
      </c>
      <c r="T1832" s="13">
        <f t="shared" si="477"/>
        <v>38.5</v>
      </c>
      <c r="U1832" s="13">
        <f t="shared" si="478"/>
        <v>307.5</v>
      </c>
      <c r="V1832" s="30"/>
      <c r="W1832" s="30"/>
      <c r="X1832" s="30"/>
    </row>
    <row r="1833" spans="3:24" s="29" customFormat="1" x14ac:dyDescent="0.25">
      <c r="C1833" s="896"/>
      <c r="D1833" s="896"/>
      <c r="E1833" s="896"/>
      <c r="F1833" s="898"/>
      <c r="G1833" s="898"/>
      <c r="H1833" s="898"/>
      <c r="I1833" s="898"/>
      <c r="J1833" s="898"/>
      <c r="M1833" s="13" t="s">
        <v>541</v>
      </c>
      <c r="N1833" s="13">
        <f>V16</f>
        <v>54.41</v>
      </c>
      <c r="O1833" s="13" t="str">
        <f>U16</f>
        <v>g</v>
      </c>
      <c r="P1833" s="13">
        <v>40</v>
      </c>
      <c r="Q1833" s="13">
        <f t="shared" si="475"/>
        <v>2176.3999999999996</v>
      </c>
      <c r="R1833" s="13">
        <v>0</v>
      </c>
      <c r="S1833" s="13">
        <f t="shared" ref="S1833:S1834" si="479">P1833*R1833</f>
        <v>0</v>
      </c>
      <c r="T1833" s="13">
        <f t="shared" si="477"/>
        <v>40</v>
      </c>
      <c r="U1833" s="13">
        <f t="shared" si="478"/>
        <v>2176.3999999999996</v>
      </c>
      <c r="V1833" s="30"/>
      <c r="W1833" s="30"/>
      <c r="X1833" s="30"/>
    </row>
    <row r="1834" spans="3:24" s="29" customFormat="1" x14ac:dyDescent="0.25">
      <c r="C1834" s="896"/>
      <c r="D1834" s="896"/>
      <c r="E1834" s="896"/>
      <c r="F1834" s="898"/>
      <c r="G1834" s="898"/>
      <c r="H1834" s="898"/>
      <c r="I1834" s="898"/>
      <c r="J1834" s="898"/>
      <c r="M1834" s="13" t="s">
        <v>546</v>
      </c>
      <c r="N1834" s="13">
        <f>AE3</f>
        <v>49.18</v>
      </c>
      <c r="O1834" s="13" t="str">
        <f>AD3</f>
        <v>mL</v>
      </c>
      <c r="P1834" s="13">
        <v>25</v>
      </c>
      <c r="Q1834" s="13">
        <f t="shared" si="475"/>
        <v>1229.5</v>
      </c>
      <c r="R1834" s="13">
        <v>0</v>
      </c>
      <c r="S1834" s="13">
        <f t="shared" si="479"/>
        <v>0</v>
      </c>
      <c r="T1834" s="13">
        <f t="shared" si="477"/>
        <v>25</v>
      </c>
      <c r="U1834" s="13">
        <f t="shared" si="478"/>
        <v>1229.5</v>
      </c>
      <c r="V1834" s="30"/>
      <c r="W1834" s="30"/>
      <c r="X1834" s="30"/>
    </row>
    <row r="1835" spans="3:24" s="29" customFormat="1" x14ac:dyDescent="0.25">
      <c r="C1835" s="896" t="s">
        <v>4</v>
      </c>
      <c r="D1835" s="896"/>
      <c r="E1835" s="896"/>
      <c r="F1835" s="898" t="s">
        <v>15</v>
      </c>
      <c r="G1835" s="898"/>
      <c r="H1835" s="898"/>
      <c r="I1835" s="898"/>
      <c r="J1835" s="898"/>
      <c r="M1835" s="13"/>
      <c r="N1835" s="13"/>
      <c r="O1835" s="13"/>
      <c r="P1835" s="13"/>
      <c r="Q1835" s="13"/>
      <c r="R1835" s="13"/>
      <c r="S1835" s="13"/>
      <c r="T1835" s="13"/>
      <c r="U1835" s="13"/>
      <c r="V1835" s="30"/>
      <c r="W1835" s="30"/>
      <c r="X1835" s="30"/>
    </row>
    <row r="1836" spans="3:24" s="29" customFormat="1" x14ac:dyDescent="0.25">
      <c r="C1836" s="896"/>
      <c r="D1836" s="896"/>
      <c r="E1836" s="896"/>
      <c r="F1836" s="898"/>
      <c r="G1836" s="898"/>
      <c r="H1836" s="898"/>
      <c r="I1836" s="898"/>
      <c r="J1836" s="898"/>
      <c r="M1836" s="13"/>
      <c r="N1836" s="13"/>
      <c r="O1836" s="13"/>
      <c r="P1836" s="13"/>
      <c r="Q1836" s="13"/>
      <c r="R1836" s="13"/>
      <c r="S1836" s="13"/>
      <c r="T1836" s="13"/>
      <c r="U1836" s="13"/>
      <c r="V1836" s="30"/>
      <c r="W1836" s="30"/>
      <c r="X1836" s="30"/>
    </row>
    <row r="1837" spans="3:24" s="29" customFormat="1" x14ac:dyDescent="0.25">
      <c r="C1837" s="896"/>
      <c r="D1837" s="896"/>
      <c r="E1837" s="896"/>
      <c r="F1837" s="898"/>
      <c r="G1837" s="898"/>
      <c r="H1837" s="898"/>
      <c r="I1837" s="898"/>
      <c r="J1837" s="898"/>
      <c r="M1837" s="13" t="s">
        <v>337</v>
      </c>
      <c r="N1837" s="13">
        <f>SUM(N1829:N1836)</f>
        <v>2190.102398487551</v>
      </c>
      <c r="O1837" s="13"/>
      <c r="P1837" s="13">
        <f>SUM(P1829:P1836)</f>
        <v>223</v>
      </c>
      <c r="Q1837" s="13">
        <f>SUM(Q1829:Q1836)</f>
        <v>5773.0523984875508</v>
      </c>
      <c r="R1837" s="13"/>
      <c r="S1837" s="13"/>
      <c r="T1837" s="13"/>
      <c r="U1837" s="13">
        <f>SUM(U1829:U1836)</f>
        <v>5840.2123984875507</v>
      </c>
      <c r="V1837" s="30"/>
      <c r="W1837" s="30"/>
      <c r="X1837" s="30"/>
    </row>
    <row r="1838" spans="3:24" s="29" customFormat="1" x14ac:dyDescent="0.25">
      <c r="C1838" s="896" t="s">
        <v>5</v>
      </c>
      <c r="D1838" s="896"/>
      <c r="E1838" s="896"/>
      <c r="F1838" s="898" t="s">
        <v>659</v>
      </c>
      <c r="G1838" s="898"/>
      <c r="H1838" s="898"/>
      <c r="I1838" s="898"/>
      <c r="J1838" s="898"/>
      <c r="T1838" s="30"/>
      <c r="U1838" s="30"/>
      <c r="V1838" s="30"/>
      <c r="W1838" s="30"/>
      <c r="X1838" s="30"/>
    </row>
    <row r="1839" spans="3:24" s="29" customFormat="1" x14ac:dyDescent="0.25">
      <c r="C1839" s="896"/>
      <c r="D1839" s="896"/>
      <c r="E1839" s="896"/>
      <c r="F1839" s="898"/>
      <c r="G1839" s="898"/>
      <c r="H1839" s="898"/>
      <c r="I1839" s="898"/>
      <c r="J1839" s="898"/>
      <c r="Q1839" s="13" t="s">
        <v>1681</v>
      </c>
      <c r="R1839" s="13">
        <f>U1837</f>
        <v>5840.2123984875507</v>
      </c>
      <c r="S1839" s="608" t="s">
        <v>2142</v>
      </c>
      <c r="T1839" s="608">
        <f>(R1839*100)/R1846</f>
        <v>43.402100346847782</v>
      </c>
      <c r="U1839" s="30"/>
      <c r="V1839" s="30"/>
      <c r="W1839" s="30"/>
      <c r="X1839" s="30"/>
    </row>
    <row r="1840" spans="3:24" s="29" customFormat="1" x14ac:dyDescent="0.25">
      <c r="C1840" s="896"/>
      <c r="D1840" s="896"/>
      <c r="E1840" s="896"/>
      <c r="F1840" s="898"/>
      <c r="G1840" s="898"/>
      <c r="H1840" s="898"/>
      <c r="I1840" s="898"/>
      <c r="J1840" s="898"/>
      <c r="Q1840" s="13" t="s">
        <v>2326</v>
      </c>
      <c r="R1840" s="13">
        <f>$AL$26</f>
        <v>1801.715474357886</v>
      </c>
    </row>
    <row r="1841" spans="3:21" s="29" customFormat="1" x14ac:dyDescent="0.25">
      <c r="C1841" s="896" t="s">
        <v>6</v>
      </c>
      <c r="D1841" s="896"/>
      <c r="E1841" s="896"/>
      <c r="F1841" s="898" t="s">
        <v>9</v>
      </c>
      <c r="G1841" s="898"/>
      <c r="H1841" s="898"/>
      <c r="I1841" s="898"/>
      <c r="J1841" s="898"/>
      <c r="Q1841" s="13" t="s">
        <v>2325</v>
      </c>
      <c r="R1841" s="13">
        <f>$AL$27</f>
        <v>75.599999999999994</v>
      </c>
    </row>
    <row r="1842" spans="3:21" s="29" customFormat="1" x14ac:dyDescent="0.25">
      <c r="C1842" s="896"/>
      <c r="D1842" s="896"/>
      <c r="E1842" s="896"/>
      <c r="F1842" s="898"/>
      <c r="G1842" s="898"/>
      <c r="H1842" s="898"/>
      <c r="I1842" s="898"/>
      <c r="J1842" s="898"/>
      <c r="Q1842" s="13" t="s">
        <v>1684</v>
      </c>
      <c r="R1842" s="13">
        <f>$AL$29</f>
        <v>69.543532482306858</v>
      </c>
    </row>
    <row r="1843" spans="3:21" s="29" customFormat="1" x14ac:dyDescent="0.25">
      <c r="C1843" s="896"/>
      <c r="D1843" s="896"/>
      <c r="E1843" s="896"/>
      <c r="F1843" s="898"/>
      <c r="G1843" s="898"/>
      <c r="H1843" s="898"/>
      <c r="I1843" s="898"/>
      <c r="J1843" s="898"/>
      <c r="Q1843" s="13" t="s">
        <v>1685</v>
      </c>
      <c r="R1843" s="13">
        <v>0.6</v>
      </c>
    </row>
    <row r="1844" spans="3:21" s="29" customFormat="1" x14ac:dyDescent="0.25">
      <c r="C1844" s="896" t="s">
        <v>7</v>
      </c>
      <c r="D1844" s="896"/>
      <c r="E1844" s="896"/>
      <c r="F1844" s="898" t="s">
        <v>661</v>
      </c>
      <c r="G1844" s="898"/>
      <c r="H1844" s="898"/>
      <c r="I1844" s="898"/>
      <c r="J1844" s="898"/>
      <c r="Q1844" s="13" t="s">
        <v>1708</v>
      </c>
      <c r="R1844" s="13">
        <f>(SUM(R1839:R1842)*R1843)+SUM(R1839:R1842)</f>
        <v>12459.314248524388</v>
      </c>
    </row>
    <row r="1845" spans="3:21" s="29" customFormat="1" x14ac:dyDescent="0.25">
      <c r="C1845" s="896"/>
      <c r="D1845" s="896"/>
      <c r="E1845" s="896"/>
      <c r="F1845" s="898"/>
      <c r="G1845" s="898"/>
      <c r="H1845" s="898"/>
      <c r="I1845" s="898"/>
      <c r="J1845" s="898"/>
      <c r="Q1845" s="13" t="s">
        <v>2130</v>
      </c>
      <c r="R1845" s="13">
        <f>R1844*0.08</f>
        <v>996.7451398819511</v>
      </c>
    </row>
    <row r="1846" spans="3:21" s="29" customFormat="1" x14ac:dyDescent="0.25">
      <c r="C1846" s="896"/>
      <c r="D1846" s="896"/>
      <c r="E1846" s="896"/>
      <c r="F1846" s="898"/>
      <c r="G1846" s="898"/>
      <c r="H1846" s="898"/>
      <c r="I1846" s="898"/>
      <c r="J1846" s="898"/>
      <c r="Q1846" s="13" t="s">
        <v>1686</v>
      </c>
      <c r="R1846" s="13">
        <f>SUM(R1844+R1845)</f>
        <v>13456.059388406338</v>
      </c>
    </row>
    <row r="1847" spans="3:21" s="29" customFormat="1" x14ac:dyDescent="0.25">
      <c r="C1847" s="106"/>
      <c r="D1847" s="106"/>
      <c r="E1847" s="106"/>
      <c r="F1847" s="107"/>
      <c r="G1847" s="107"/>
      <c r="H1847" s="107"/>
      <c r="I1847" s="107"/>
      <c r="J1847" s="107"/>
    </row>
    <row r="1848" spans="3:21" s="29" customFormat="1" x14ac:dyDescent="0.25">
      <c r="C1848" s="106"/>
      <c r="D1848" s="106"/>
      <c r="E1848" s="106"/>
      <c r="F1848" s="107"/>
      <c r="G1848" s="107"/>
      <c r="H1848" s="107"/>
      <c r="I1848" s="107"/>
      <c r="J1848" s="107"/>
    </row>
    <row r="1849" spans="3:21" s="29" customFormat="1" x14ac:dyDescent="0.25">
      <c r="C1849" s="899" t="s">
        <v>8</v>
      </c>
      <c r="D1849" s="900"/>
      <c r="E1849" s="900"/>
      <c r="F1849" s="900"/>
      <c r="G1849" s="900"/>
      <c r="H1849" s="900"/>
      <c r="I1849" s="900"/>
      <c r="J1849" s="901"/>
    </row>
    <row r="1850" spans="3:21" s="29" customFormat="1" x14ac:dyDescent="0.25">
      <c r="C1850" s="895" t="s">
        <v>0</v>
      </c>
      <c r="D1850" s="895"/>
      <c r="E1850" s="895"/>
      <c r="F1850" s="895" t="s">
        <v>1</v>
      </c>
      <c r="G1850" s="895"/>
      <c r="H1850" s="895"/>
      <c r="I1850" s="895"/>
      <c r="J1850" s="895"/>
    </row>
    <row r="1851" spans="3:21" s="29" customFormat="1" x14ac:dyDescent="0.25">
      <c r="C1851" s="896" t="s">
        <v>2</v>
      </c>
      <c r="D1851" s="896"/>
      <c r="E1851" s="896"/>
      <c r="F1851" s="898" t="s">
        <v>989</v>
      </c>
      <c r="G1851" s="898"/>
      <c r="H1851" s="898"/>
      <c r="I1851" s="898"/>
      <c r="J1851" s="898"/>
      <c r="M1851" s="12" t="s">
        <v>336</v>
      </c>
      <c r="N1851" s="12" t="s">
        <v>174</v>
      </c>
      <c r="O1851" s="12" t="s">
        <v>248</v>
      </c>
      <c r="P1851" s="12" t="s">
        <v>176</v>
      </c>
      <c r="Q1851" s="12" t="s">
        <v>337</v>
      </c>
      <c r="R1851" s="298" t="s">
        <v>1641</v>
      </c>
      <c r="S1851" s="298" t="s">
        <v>1642</v>
      </c>
      <c r="T1851" s="298" t="s">
        <v>1643</v>
      </c>
      <c r="U1851" s="298" t="s">
        <v>1644</v>
      </c>
    </row>
    <row r="1852" spans="3:21" s="29" customFormat="1" x14ac:dyDescent="0.25">
      <c r="C1852" s="896"/>
      <c r="D1852" s="896"/>
      <c r="E1852" s="896"/>
      <c r="F1852" s="898"/>
      <c r="G1852" s="898"/>
      <c r="H1852" s="898"/>
      <c r="I1852" s="898"/>
      <c r="J1852" s="898"/>
      <c r="M1852" s="13" t="s">
        <v>344</v>
      </c>
      <c r="N1852" s="13">
        <f>F26</f>
        <v>2073.8723984875514</v>
      </c>
      <c r="O1852" s="13" t="str">
        <f>D26</f>
        <v>g</v>
      </c>
      <c r="P1852" s="13">
        <v>100</v>
      </c>
      <c r="Q1852" s="13">
        <f>N1852</f>
        <v>2073.8723984875514</v>
      </c>
      <c r="R1852" s="13">
        <v>0</v>
      </c>
      <c r="S1852" s="13">
        <f>P1852*R1852</f>
        <v>0</v>
      </c>
      <c r="T1852" s="13">
        <f>P1852-S1852</f>
        <v>100</v>
      </c>
      <c r="U1852" s="13">
        <f>Q1852+((S1852*Q1852)/P1852)</f>
        <v>2073.8723984875514</v>
      </c>
    </row>
    <row r="1853" spans="3:21" s="29" customFormat="1" x14ac:dyDescent="0.25">
      <c r="C1853" s="896"/>
      <c r="D1853" s="896"/>
      <c r="E1853" s="896"/>
      <c r="F1853" s="898"/>
      <c r="G1853" s="898"/>
      <c r="H1853" s="898"/>
      <c r="I1853" s="898"/>
      <c r="J1853" s="898"/>
      <c r="M1853" s="13" t="s">
        <v>340</v>
      </c>
      <c r="N1853" s="13">
        <f>Y20</f>
        <v>0.64</v>
      </c>
      <c r="O1853" s="13" t="str">
        <f>X20</f>
        <v>g</v>
      </c>
      <c r="P1853" s="13">
        <v>2</v>
      </c>
      <c r="Q1853" s="13">
        <f>N1853*P1853</f>
        <v>1.28</v>
      </c>
      <c r="R1853" s="13">
        <v>0</v>
      </c>
      <c r="S1853" s="13">
        <f t="shared" ref="S1853:S1854" si="480">P1853*R1853</f>
        <v>0</v>
      </c>
      <c r="T1853" s="13">
        <f t="shared" ref="T1853:T1856" si="481">P1853-S1853</f>
        <v>2</v>
      </c>
      <c r="U1853" s="13">
        <f t="shared" ref="U1853:U1856" si="482">Q1853+((S1853*Q1853)/P1853)</f>
        <v>1.28</v>
      </c>
    </row>
    <row r="1854" spans="3:21" s="29" customFormat="1" x14ac:dyDescent="0.25">
      <c r="C1854" s="895" t="s">
        <v>0</v>
      </c>
      <c r="D1854" s="895"/>
      <c r="E1854" s="895"/>
      <c r="F1854" s="895" t="s">
        <v>1</v>
      </c>
      <c r="G1854" s="895"/>
      <c r="H1854" s="895"/>
      <c r="I1854" s="895"/>
      <c r="J1854" s="895"/>
      <c r="M1854" s="13" t="s">
        <v>541</v>
      </c>
      <c r="N1854" s="13">
        <f>V16</f>
        <v>54.41</v>
      </c>
      <c r="O1854" s="13" t="str">
        <f>U16</f>
        <v>g</v>
      </c>
      <c r="P1854" s="13">
        <v>40</v>
      </c>
      <c r="Q1854" s="13">
        <f>N1854*P1854</f>
        <v>2176.3999999999996</v>
      </c>
      <c r="R1854" s="13">
        <v>0</v>
      </c>
      <c r="S1854" s="13">
        <f t="shared" si="480"/>
        <v>0</v>
      </c>
      <c r="T1854" s="13">
        <f t="shared" si="481"/>
        <v>40</v>
      </c>
      <c r="U1854" s="13">
        <f t="shared" si="482"/>
        <v>2176.3999999999996</v>
      </c>
    </row>
    <row r="1855" spans="3:21" s="29" customFormat="1" x14ac:dyDescent="0.25">
      <c r="C1855" s="896" t="s">
        <v>3</v>
      </c>
      <c r="D1855" s="896"/>
      <c r="E1855" s="896"/>
      <c r="F1855" s="897" t="s">
        <v>990</v>
      </c>
      <c r="G1855" s="898"/>
      <c r="H1855" s="898"/>
      <c r="I1855" s="898"/>
      <c r="J1855" s="898"/>
      <c r="M1855" s="13" t="s">
        <v>546</v>
      </c>
      <c r="N1855" s="13">
        <f>AE3</f>
        <v>49.18</v>
      </c>
      <c r="O1855" s="13" t="str">
        <f>AD3</f>
        <v>mL</v>
      </c>
      <c r="P1855" s="13">
        <v>10</v>
      </c>
      <c r="Q1855" s="13">
        <f>N1855*P1855</f>
        <v>491.8</v>
      </c>
      <c r="R1855" s="13">
        <v>0</v>
      </c>
      <c r="S1855" s="13">
        <f>P1855*R1855</f>
        <v>0</v>
      </c>
      <c r="T1855" s="13">
        <f t="shared" si="481"/>
        <v>10</v>
      </c>
      <c r="U1855" s="13">
        <f t="shared" si="482"/>
        <v>491.8</v>
      </c>
    </row>
    <row r="1856" spans="3:21" s="29" customFormat="1" x14ac:dyDescent="0.25">
      <c r="C1856" s="896"/>
      <c r="D1856" s="896"/>
      <c r="E1856" s="896"/>
      <c r="F1856" s="898"/>
      <c r="G1856" s="898"/>
      <c r="H1856" s="898"/>
      <c r="I1856" s="898"/>
      <c r="J1856" s="898"/>
      <c r="M1856" s="13" t="s">
        <v>433</v>
      </c>
      <c r="N1856" s="13">
        <f>Y18</f>
        <v>223.57</v>
      </c>
      <c r="O1856" s="13" t="str">
        <f>X18</f>
        <v>g</v>
      </c>
      <c r="P1856" s="13">
        <v>6</v>
      </c>
      <c r="Q1856" s="13">
        <f>N1856*P1856</f>
        <v>1341.42</v>
      </c>
      <c r="R1856" s="13">
        <v>0</v>
      </c>
      <c r="S1856" s="13">
        <f t="shared" ref="S1856" si="483">P1856*R1856</f>
        <v>0</v>
      </c>
      <c r="T1856" s="13">
        <f t="shared" si="481"/>
        <v>6</v>
      </c>
      <c r="U1856" s="13">
        <f t="shared" si="482"/>
        <v>1341.42</v>
      </c>
    </row>
    <row r="1857" spans="3:21" s="29" customFormat="1" x14ac:dyDescent="0.25">
      <c r="C1857" s="896"/>
      <c r="D1857" s="896"/>
      <c r="E1857" s="896"/>
      <c r="F1857" s="898"/>
      <c r="G1857" s="898"/>
      <c r="H1857" s="898"/>
      <c r="I1857" s="898"/>
      <c r="J1857" s="898"/>
      <c r="M1857" s="13"/>
      <c r="N1857" s="13"/>
      <c r="O1857" s="13"/>
      <c r="P1857" s="13"/>
      <c r="Q1857" s="13"/>
      <c r="R1857" s="13"/>
      <c r="S1857" s="13"/>
      <c r="T1857" s="13"/>
      <c r="U1857" s="13"/>
    </row>
    <row r="1858" spans="3:21" s="29" customFormat="1" x14ac:dyDescent="0.25">
      <c r="C1858" s="896" t="s">
        <v>4</v>
      </c>
      <c r="D1858" s="896"/>
      <c r="E1858" s="896"/>
      <c r="F1858" s="898" t="s">
        <v>15</v>
      </c>
      <c r="G1858" s="898"/>
      <c r="H1858" s="898"/>
      <c r="I1858" s="898"/>
      <c r="J1858" s="898"/>
      <c r="M1858" s="13"/>
      <c r="N1858" s="13"/>
      <c r="O1858" s="13"/>
      <c r="P1858" s="13"/>
      <c r="Q1858" s="13"/>
      <c r="R1858" s="13"/>
      <c r="S1858" s="13"/>
      <c r="T1858" s="13"/>
      <c r="U1858" s="13"/>
    </row>
    <row r="1859" spans="3:21" s="29" customFormat="1" x14ac:dyDescent="0.25">
      <c r="C1859" s="896"/>
      <c r="D1859" s="896"/>
      <c r="E1859" s="896"/>
      <c r="F1859" s="898"/>
      <c r="G1859" s="898"/>
      <c r="H1859" s="898"/>
      <c r="I1859" s="898"/>
      <c r="J1859" s="898"/>
      <c r="M1859" s="13"/>
      <c r="N1859" s="13"/>
      <c r="O1859" s="13"/>
      <c r="P1859" s="13"/>
      <c r="Q1859" s="13"/>
      <c r="R1859" s="13"/>
      <c r="S1859" s="13"/>
      <c r="T1859" s="13"/>
      <c r="U1859" s="13"/>
    </row>
    <row r="1860" spans="3:21" s="29" customFormat="1" x14ac:dyDescent="0.25">
      <c r="C1860" s="896"/>
      <c r="D1860" s="896"/>
      <c r="E1860" s="896"/>
      <c r="F1860" s="898"/>
      <c r="G1860" s="898"/>
      <c r="H1860" s="898"/>
      <c r="I1860" s="898"/>
      <c r="J1860" s="898"/>
      <c r="M1860" s="13" t="s">
        <v>337</v>
      </c>
      <c r="N1860" s="13">
        <f>SUM(N1852:N1859)</f>
        <v>2401.6723984875512</v>
      </c>
      <c r="O1860" s="13"/>
      <c r="P1860" s="13">
        <f>SUM(P1852:P1859)</f>
        <v>158</v>
      </c>
      <c r="Q1860" s="13">
        <f>SUM(Q1852:Q1859)</f>
        <v>6084.7723984875511</v>
      </c>
      <c r="R1860" s="13"/>
      <c r="S1860" s="13"/>
      <c r="T1860" s="13"/>
      <c r="U1860" s="13">
        <f>SUM(U1852:U1859)</f>
        <v>6084.7723984875511</v>
      </c>
    </row>
    <row r="1861" spans="3:21" s="29" customFormat="1" x14ac:dyDescent="0.25">
      <c r="C1861" s="896" t="s">
        <v>5</v>
      </c>
      <c r="D1861" s="896"/>
      <c r="E1861" s="896"/>
      <c r="F1861" s="898" t="s">
        <v>991</v>
      </c>
      <c r="G1861" s="898"/>
      <c r="H1861" s="898"/>
      <c r="I1861" s="898"/>
      <c r="J1861" s="898"/>
    </row>
    <row r="1862" spans="3:21" s="29" customFormat="1" x14ac:dyDescent="0.25">
      <c r="C1862" s="896"/>
      <c r="D1862" s="896"/>
      <c r="E1862" s="896"/>
      <c r="F1862" s="898"/>
      <c r="G1862" s="898"/>
      <c r="H1862" s="898"/>
      <c r="I1862" s="898"/>
      <c r="J1862" s="898"/>
      <c r="Q1862" s="13" t="s">
        <v>1681</v>
      </c>
      <c r="R1862" s="13">
        <f>U1860</f>
        <v>6084.7723984875511</v>
      </c>
      <c r="S1862" s="608" t="s">
        <v>2142</v>
      </c>
      <c r="T1862" s="608">
        <f>(R1862*100)/R1869</f>
        <v>43.842653447255934</v>
      </c>
    </row>
    <row r="1863" spans="3:21" s="29" customFormat="1" x14ac:dyDescent="0.25">
      <c r="C1863" s="896"/>
      <c r="D1863" s="896"/>
      <c r="E1863" s="896"/>
      <c r="F1863" s="898"/>
      <c r="G1863" s="898"/>
      <c r="H1863" s="898"/>
      <c r="I1863" s="898"/>
      <c r="J1863" s="898"/>
      <c r="Q1863" s="13" t="s">
        <v>2326</v>
      </c>
      <c r="R1863" s="13">
        <f>$AL$26</f>
        <v>1801.715474357886</v>
      </c>
    </row>
    <row r="1864" spans="3:21" s="29" customFormat="1" x14ac:dyDescent="0.25">
      <c r="C1864" s="896" t="s">
        <v>6</v>
      </c>
      <c r="D1864" s="896"/>
      <c r="E1864" s="896"/>
      <c r="F1864" s="898" t="s">
        <v>9</v>
      </c>
      <c r="G1864" s="898"/>
      <c r="H1864" s="898"/>
      <c r="I1864" s="898"/>
      <c r="J1864" s="898"/>
      <c r="Q1864" s="13" t="s">
        <v>2325</v>
      </c>
      <c r="R1864" s="13">
        <f>$AL$27</f>
        <v>75.599999999999994</v>
      </c>
    </row>
    <row r="1865" spans="3:21" s="29" customFormat="1" x14ac:dyDescent="0.25">
      <c r="C1865" s="896"/>
      <c r="D1865" s="896"/>
      <c r="E1865" s="896"/>
      <c r="F1865" s="898"/>
      <c r="G1865" s="898"/>
      <c r="H1865" s="898"/>
      <c r="I1865" s="898"/>
      <c r="J1865" s="898"/>
      <c r="Q1865" s="13" t="s">
        <v>1684</v>
      </c>
      <c r="R1865" s="13">
        <f>$AL$29</f>
        <v>69.543532482306858</v>
      </c>
    </row>
    <row r="1866" spans="3:21" s="29" customFormat="1" x14ac:dyDescent="0.25">
      <c r="C1866" s="896"/>
      <c r="D1866" s="896"/>
      <c r="E1866" s="896"/>
      <c r="F1866" s="898"/>
      <c r="G1866" s="898"/>
      <c r="H1866" s="898"/>
      <c r="I1866" s="898"/>
      <c r="J1866" s="898"/>
      <c r="Q1866" s="13" t="s">
        <v>1685</v>
      </c>
      <c r="R1866" s="13">
        <v>0.6</v>
      </c>
    </row>
    <row r="1867" spans="3:21" s="29" customFormat="1" x14ac:dyDescent="0.25">
      <c r="C1867" s="896" t="s">
        <v>7</v>
      </c>
      <c r="D1867" s="896"/>
      <c r="E1867" s="896"/>
      <c r="F1867" s="898" t="s">
        <v>992</v>
      </c>
      <c r="G1867" s="898"/>
      <c r="H1867" s="898"/>
      <c r="I1867" s="898"/>
      <c r="J1867" s="898"/>
      <c r="Q1867" s="13" t="s">
        <v>1708</v>
      </c>
      <c r="R1867" s="13">
        <f>(SUM(R1862:R1865)*R1866)+SUM(R1862:R1865)</f>
        <v>12850.61024852439</v>
      </c>
    </row>
    <row r="1868" spans="3:21" s="29" customFormat="1" x14ac:dyDescent="0.25">
      <c r="C1868" s="896"/>
      <c r="D1868" s="896"/>
      <c r="E1868" s="896"/>
      <c r="F1868" s="898"/>
      <c r="G1868" s="898"/>
      <c r="H1868" s="898"/>
      <c r="I1868" s="898"/>
      <c r="J1868" s="898"/>
      <c r="Q1868" s="13" t="s">
        <v>2130</v>
      </c>
      <c r="R1868" s="13">
        <f>R1867*0.08</f>
        <v>1028.0488198819512</v>
      </c>
    </row>
    <row r="1869" spans="3:21" s="29" customFormat="1" x14ac:dyDescent="0.25">
      <c r="C1869" s="896"/>
      <c r="D1869" s="896"/>
      <c r="E1869" s="896"/>
      <c r="F1869" s="898"/>
      <c r="G1869" s="898"/>
      <c r="H1869" s="898"/>
      <c r="I1869" s="898"/>
      <c r="J1869" s="898"/>
      <c r="Q1869" s="13" t="s">
        <v>1686</v>
      </c>
      <c r="R1869" s="13">
        <f>SUM(R1867+R1868)</f>
        <v>13878.659068406341</v>
      </c>
    </row>
    <row r="1870" spans="3:21" s="29" customFormat="1" x14ac:dyDescent="0.25">
      <c r="C1870" s="106"/>
      <c r="D1870" s="106"/>
      <c r="E1870" s="106"/>
      <c r="F1870" s="107"/>
      <c r="G1870" s="107"/>
      <c r="H1870" s="107"/>
      <c r="I1870" s="107"/>
      <c r="J1870" s="107"/>
    </row>
    <row r="1871" spans="3:21" s="29" customFormat="1" x14ac:dyDescent="0.25">
      <c r="C1871" s="106"/>
      <c r="D1871" s="106"/>
      <c r="E1871" s="106"/>
      <c r="F1871" s="107"/>
      <c r="G1871" s="107"/>
      <c r="H1871" s="107"/>
      <c r="I1871" s="107"/>
      <c r="J1871" s="107"/>
    </row>
    <row r="1872" spans="3:21" s="29" customFormat="1" x14ac:dyDescent="0.25">
      <c r="C1872" s="899" t="s">
        <v>8</v>
      </c>
      <c r="D1872" s="900"/>
      <c r="E1872" s="900"/>
      <c r="F1872" s="900"/>
      <c r="G1872" s="900"/>
      <c r="H1872" s="900"/>
      <c r="I1872" s="900"/>
      <c r="J1872" s="901"/>
    </row>
    <row r="1873" spans="3:21" s="29" customFormat="1" x14ac:dyDescent="0.25">
      <c r="C1873" s="895" t="s">
        <v>0</v>
      </c>
      <c r="D1873" s="895"/>
      <c r="E1873" s="895"/>
      <c r="F1873" s="895" t="s">
        <v>1</v>
      </c>
      <c r="G1873" s="895"/>
      <c r="H1873" s="895"/>
      <c r="I1873" s="895"/>
      <c r="J1873" s="895"/>
    </row>
    <row r="1874" spans="3:21" s="29" customFormat="1" x14ac:dyDescent="0.25">
      <c r="C1874" s="896" t="s">
        <v>2</v>
      </c>
      <c r="D1874" s="896"/>
      <c r="E1874" s="896"/>
      <c r="F1874" s="898" t="s">
        <v>993</v>
      </c>
      <c r="G1874" s="898"/>
      <c r="H1874" s="898"/>
      <c r="I1874" s="898"/>
      <c r="J1874" s="898"/>
      <c r="M1874" s="12" t="s">
        <v>336</v>
      </c>
      <c r="N1874" s="12" t="s">
        <v>174</v>
      </c>
      <c r="O1874" s="12" t="s">
        <v>248</v>
      </c>
      <c r="P1874" s="12" t="s">
        <v>176</v>
      </c>
      <c r="Q1874" s="12" t="s">
        <v>337</v>
      </c>
      <c r="R1874" s="298" t="s">
        <v>1641</v>
      </c>
      <c r="S1874" s="298" t="s">
        <v>1642</v>
      </c>
      <c r="T1874" s="298" t="s">
        <v>1643</v>
      </c>
      <c r="U1874" s="298" t="s">
        <v>1644</v>
      </c>
    </row>
    <row r="1875" spans="3:21" s="29" customFormat="1" x14ac:dyDescent="0.25">
      <c r="C1875" s="896"/>
      <c r="D1875" s="896"/>
      <c r="E1875" s="896"/>
      <c r="F1875" s="898"/>
      <c r="G1875" s="898"/>
      <c r="H1875" s="898"/>
      <c r="I1875" s="898"/>
      <c r="J1875" s="898"/>
      <c r="M1875" s="13" t="s">
        <v>344</v>
      </c>
      <c r="N1875" s="13">
        <f>F17</f>
        <v>2073.8723984875514</v>
      </c>
      <c r="O1875" s="13" t="str">
        <f>D17</f>
        <v>g</v>
      </c>
      <c r="P1875" s="13">
        <v>100</v>
      </c>
      <c r="Q1875" s="13">
        <f>N1875</f>
        <v>2073.8723984875514</v>
      </c>
      <c r="R1875" s="13">
        <v>0</v>
      </c>
      <c r="S1875" s="13">
        <f>P1875*R1875</f>
        <v>0</v>
      </c>
      <c r="T1875" s="13">
        <f>P1875-S1875</f>
        <v>100</v>
      </c>
      <c r="U1875" s="13">
        <f>Q1875+((S1875*Q1875)/P1875)</f>
        <v>2073.8723984875514</v>
      </c>
    </row>
    <row r="1876" spans="3:21" s="29" customFormat="1" x14ac:dyDescent="0.25">
      <c r="C1876" s="896"/>
      <c r="D1876" s="896"/>
      <c r="E1876" s="896"/>
      <c r="F1876" s="898"/>
      <c r="G1876" s="898"/>
      <c r="H1876" s="898"/>
      <c r="I1876" s="898"/>
      <c r="J1876" s="898"/>
      <c r="M1876" s="13" t="s">
        <v>340</v>
      </c>
      <c r="N1876" s="13">
        <f>Y20</f>
        <v>0.64</v>
      </c>
      <c r="O1876" s="13" t="str">
        <f>X20</f>
        <v>g</v>
      </c>
      <c r="P1876" s="13">
        <v>2</v>
      </c>
      <c r="Q1876" s="13">
        <f t="shared" ref="Q1876:Q1879" si="484">N1876*P1876</f>
        <v>1.28</v>
      </c>
      <c r="R1876" s="13">
        <v>0</v>
      </c>
      <c r="S1876" s="13">
        <f t="shared" ref="S1876:S1877" si="485">P1876*R1876</f>
        <v>0</v>
      </c>
      <c r="T1876" s="13">
        <f t="shared" ref="T1876:T1879" si="486">P1876-S1876</f>
        <v>2</v>
      </c>
      <c r="U1876" s="13">
        <f t="shared" ref="U1876:U1879" si="487">Q1876+((S1876*Q1876)/P1876)</f>
        <v>1.28</v>
      </c>
    </row>
    <row r="1877" spans="3:21" s="29" customFormat="1" x14ac:dyDescent="0.25">
      <c r="C1877" s="895" t="s">
        <v>0</v>
      </c>
      <c r="D1877" s="895"/>
      <c r="E1877" s="895"/>
      <c r="F1877" s="895" t="s">
        <v>1</v>
      </c>
      <c r="G1877" s="895"/>
      <c r="H1877" s="895"/>
      <c r="I1877" s="895"/>
      <c r="J1877" s="895"/>
      <c r="M1877" s="13" t="s">
        <v>450</v>
      </c>
      <c r="N1877" s="13">
        <f>AE11</f>
        <v>22.95</v>
      </c>
      <c r="O1877" s="13" t="str">
        <f>AD11</f>
        <v>g</v>
      </c>
      <c r="P1877" s="13">
        <v>120</v>
      </c>
      <c r="Q1877" s="13">
        <f t="shared" si="484"/>
        <v>2754</v>
      </c>
      <c r="R1877" s="13">
        <v>0</v>
      </c>
      <c r="S1877" s="13">
        <f t="shared" si="485"/>
        <v>0</v>
      </c>
      <c r="T1877" s="13">
        <f t="shared" si="486"/>
        <v>120</v>
      </c>
      <c r="U1877" s="13">
        <f t="shared" si="487"/>
        <v>2754</v>
      </c>
    </row>
    <row r="1878" spans="3:21" s="29" customFormat="1" x14ac:dyDescent="0.25">
      <c r="C1878" s="896" t="s">
        <v>3</v>
      </c>
      <c r="D1878" s="896"/>
      <c r="E1878" s="896"/>
      <c r="F1878" s="897" t="s">
        <v>994</v>
      </c>
      <c r="G1878" s="898"/>
      <c r="H1878" s="898"/>
      <c r="I1878" s="898"/>
      <c r="J1878" s="898"/>
      <c r="M1878" s="13" t="s">
        <v>345</v>
      </c>
      <c r="N1878" s="13">
        <f>P23</f>
        <v>1.6</v>
      </c>
      <c r="O1878" s="13" t="str">
        <f>O23</f>
        <v>g</v>
      </c>
      <c r="P1878" s="13">
        <v>50</v>
      </c>
      <c r="Q1878" s="13">
        <f t="shared" si="484"/>
        <v>80</v>
      </c>
      <c r="R1878" s="13">
        <v>0</v>
      </c>
      <c r="S1878" s="13">
        <f>P1878*R1878</f>
        <v>0</v>
      </c>
      <c r="T1878" s="13">
        <f t="shared" si="486"/>
        <v>50</v>
      </c>
      <c r="U1878" s="13">
        <f t="shared" si="487"/>
        <v>80</v>
      </c>
    </row>
    <row r="1879" spans="3:21" s="29" customFormat="1" x14ac:dyDescent="0.25">
      <c r="C1879" s="896"/>
      <c r="D1879" s="896"/>
      <c r="E1879" s="896"/>
      <c r="F1879" s="898"/>
      <c r="G1879" s="898"/>
      <c r="H1879" s="898"/>
      <c r="I1879" s="898"/>
      <c r="J1879" s="898"/>
      <c r="M1879" s="13" t="s">
        <v>546</v>
      </c>
      <c r="N1879" s="13">
        <f>AE3</f>
        <v>49.18</v>
      </c>
      <c r="O1879" s="13" t="str">
        <f>AD3</f>
        <v>mL</v>
      </c>
      <c r="P1879" s="13">
        <v>10</v>
      </c>
      <c r="Q1879" s="13">
        <f t="shared" si="484"/>
        <v>491.8</v>
      </c>
      <c r="R1879" s="13">
        <v>0</v>
      </c>
      <c r="S1879" s="13">
        <f t="shared" ref="S1879" si="488">P1879*R1879</f>
        <v>0</v>
      </c>
      <c r="T1879" s="13">
        <f t="shared" si="486"/>
        <v>10</v>
      </c>
      <c r="U1879" s="13">
        <f t="shared" si="487"/>
        <v>491.8</v>
      </c>
    </row>
    <row r="1880" spans="3:21" s="29" customFormat="1" x14ac:dyDescent="0.25">
      <c r="C1880" s="896"/>
      <c r="D1880" s="896"/>
      <c r="E1880" s="896"/>
      <c r="F1880" s="898"/>
      <c r="G1880" s="898"/>
      <c r="H1880" s="898"/>
      <c r="I1880" s="898"/>
      <c r="J1880" s="898"/>
      <c r="M1880" s="13"/>
      <c r="N1880" s="13"/>
      <c r="O1880" s="13"/>
      <c r="P1880" s="13"/>
      <c r="Q1880" s="13"/>
      <c r="R1880" s="13"/>
      <c r="S1880" s="13"/>
      <c r="T1880" s="13"/>
      <c r="U1880" s="13"/>
    </row>
    <row r="1881" spans="3:21" s="29" customFormat="1" x14ac:dyDescent="0.25">
      <c r="C1881" s="896" t="s">
        <v>4</v>
      </c>
      <c r="D1881" s="896"/>
      <c r="E1881" s="896"/>
      <c r="F1881" s="898" t="s">
        <v>15</v>
      </c>
      <c r="G1881" s="898"/>
      <c r="H1881" s="898"/>
      <c r="I1881" s="898"/>
      <c r="J1881" s="898"/>
      <c r="M1881" s="13"/>
      <c r="N1881" s="13"/>
      <c r="O1881" s="13"/>
      <c r="P1881" s="13"/>
      <c r="Q1881" s="13"/>
      <c r="R1881" s="13"/>
      <c r="S1881" s="13"/>
      <c r="T1881" s="13"/>
      <c r="U1881" s="13"/>
    </row>
    <row r="1882" spans="3:21" s="29" customFormat="1" x14ac:dyDescent="0.25">
      <c r="C1882" s="896"/>
      <c r="D1882" s="896"/>
      <c r="E1882" s="896"/>
      <c r="F1882" s="898"/>
      <c r="G1882" s="898"/>
      <c r="H1882" s="898"/>
      <c r="I1882" s="898"/>
      <c r="J1882" s="898"/>
      <c r="M1882" s="13"/>
      <c r="N1882" s="13"/>
      <c r="O1882" s="13"/>
      <c r="P1882" s="13"/>
      <c r="Q1882" s="13"/>
      <c r="R1882" s="13"/>
      <c r="S1882" s="13"/>
      <c r="T1882" s="13"/>
      <c r="U1882" s="13"/>
    </row>
    <row r="1883" spans="3:21" s="29" customFormat="1" x14ac:dyDescent="0.25">
      <c r="C1883" s="896"/>
      <c r="D1883" s="896"/>
      <c r="E1883" s="896"/>
      <c r="F1883" s="898"/>
      <c r="G1883" s="898"/>
      <c r="H1883" s="898"/>
      <c r="I1883" s="898"/>
      <c r="J1883" s="898"/>
      <c r="M1883" s="13" t="s">
        <v>337</v>
      </c>
      <c r="N1883" s="13">
        <f>SUM(N1875:N1882)</f>
        <v>2148.2423984875509</v>
      </c>
      <c r="O1883" s="13"/>
      <c r="P1883" s="13">
        <f>SUM(P1875:P1882)</f>
        <v>282</v>
      </c>
      <c r="Q1883" s="13">
        <f>SUM(Q1875:Q1882)</f>
        <v>5400.9523984875514</v>
      </c>
      <c r="R1883" s="13"/>
      <c r="S1883" s="13"/>
      <c r="T1883" s="13"/>
      <c r="U1883" s="13">
        <f>SUM(U1875:U1882)</f>
        <v>5400.9523984875514</v>
      </c>
    </row>
    <row r="1884" spans="3:21" s="29" customFormat="1" x14ac:dyDescent="0.25">
      <c r="C1884" s="896" t="s">
        <v>5</v>
      </c>
      <c r="D1884" s="896"/>
      <c r="E1884" s="896"/>
      <c r="F1884" s="898" t="s">
        <v>995</v>
      </c>
      <c r="G1884" s="898"/>
      <c r="H1884" s="898"/>
      <c r="I1884" s="898"/>
      <c r="J1884" s="898"/>
    </row>
    <row r="1885" spans="3:21" s="29" customFormat="1" x14ac:dyDescent="0.25">
      <c r="C1885" s="896"/>
      <c r="D1885" s="896"/>
      <c r="E1885" s="896"/>
      <c r="F1885" s="898"/>
      <c r="G1885" s="898"/>
      <c r="H1885" s="898"/>
      <c r="I1885" s="898"/>
      <c r="J1885" s="898"/>
      <c r="Q1885" s="13" t="s">
        <v>1681</v>
      </c>
      <c r="R1885" s="13">
        <f>U1883</f>
        <v>5400.9523984875514</v>
      </c>
      <c r="S1885" s="608" t="s">
        <v>2142</v>
      </c>
      <c r="T1885" s="608">
        <f>(R1885*100)/R1892</f>
        <v>42.537171738864672</v>
      </c>
    </row>
    <row r="1886" spans="3:21" s="29" customFormat="1" x14ac:dyDescent="0.25">
      <c r="C1886" s="896"/>
      <c r="D1886" s="896"/>
      <c r="E1886" s="896"/>
      <c r="F1886" s="898"/>
      <c r="G1886" s="898"/>
      <c r="H1886" s="898"/>
      <c r="I1886" s="898"/>
      <c r="J1886" s="898"/>
      <c r="Q1886" s="13" t="s">
        <v>2326</v>
      </c>
      <c r="R1886" s="13">
        <f>$AL$26</f>
        <v>1801.715474357886</v>
      </c>
    </row>
    <row r="1887" spans="3:21" s="29" customFormat="1" x14ac:dyDescent="0.25">
      <c r="C1887" s="896" t="s">
        <v>6</v>
      </c>
      <c r="D1887" s="896"/>
      <c r="E1887" s="896"/>
      <c r="F1887" s="898" t="s">
        <v>9</v>
      </c>
      <c r="G1887" s="898"/>
      <c r="H1887" s="898"/>
      <c r="I1887" s="898"/>
      <c r="J1887" s="898"/>
      <c r="Q1887" s="13" t="s">
        <v>2325</v>
      </c>
      <c r="R1887" s="13">
        <f>$AL$27</f>
        <v>75.599999999999994</v>
      </c>
    </row>
    <row r="1888" spans="3:21" s="29" customFormat="1" x14ac:dyDescent="0.25">
      <c r="C1888" s="896"/>
      <c r="D1888" s="896"/>
      <c r="E1888" s="896"/>
      <c r="F1888" s="898"/>
      <c r="G1888" s="898"/>
      <c r="H1888" s="898"/>
      <c r="I1888" s="898"/>
      <c r="J1888" s="898"/>
      <c r="Q1888" s="13" t="s">
        <v>1684</v>
      </c>
      <c r="R1888" s="13">
        <f>$AL$29</f>
        <v>69.543532482306858</v>
      </c>
    </row>
    <row r="1889" spans="3:21" s="29" customFormat="1" x14ac:dyDescent="0.25">
      <c r="C1889" s="896"/>
      <c r="D1889" s="896"/>
      <c r="E1889" s="896"/>
      <c r="F1889" s="898"/>
      <c r="G1889" s="898"/>
      <c r="H1889" s="898"/>
      <c r="I1889" s="898"/>
      <c r="J1889" s="898"/>
      <c r="Q1889" s="13" t="s">
        <v>1685</v>
      </c>
      <c r="R1889" s="13">
        <v>0.6</v>
      </c>
    </row>
    <row r="1890" spans="3:21" s="29" customFormat="1" x14ac:dyDescent="0.25">
      <c r="C1890" s="896" t="s">
        <v>7</v>
      </c>
      <c r="D1890" s="896"/>
      <c r="E1890" s="896"/>
      <c r="F1890" s="898" t="s">
        <v>996</v>
      </c>
      <c r="G1890" s="898"/>
      <c r="H1890" s="898"/>
      <c r="I1890" s="898"/>
      <c r="J1890" s="898"/>
      <c r="Q1890" s="13" t="s">
        <v>1708</v>
      </c>
      <c r="R1890" s="13">
        <f>(SUM(R1885:R1888)*R1889)+SUM(R1885:R1888)</f>
        <v>11756.498248524389</v>
      </c>
    </row>
    <row r="1891" spans="3:21" s="29" customFormat="1" x14ac:dyDescent="0.25">
      <c r="C1891" s="896"/>
      <c r="D1891" s="896"/>
      <c r="E1891" s="896"/>
      <c r="F1891" s="898"/>
      <c r="G1891" s="898"/>
      <c r="H1891" s="898"/>
      <c r="I1891" s="898"/>
      <c r="J1891" s="898"/>
      <c r="Q1891" s="13" t="s">
        <v>2130</v>
      </c>
      <c r="R1891" s="13">
        <f>R1890*0.08</f>
        <v>940.51985988195111</v>
      </c>
    </row>
    <row r="1892" spans="3:21" s="29" customFormat="1" x14ac:dyDescent="0.25">
      <c r="C1892" s="896"/>
      <c r="D1892" s="896"/>
      <c r="E1892" s="896"/>
      <c r="F1892" s="898"/>
      <c r="G1892" s="898"/>
      <c r="H1892" s="898"/>
      <c r="I1892" s="898"/>
      <c r="J1892" s="898"/>
      <c r="Q1892" s="13" t="s">
        <v>1686</v>
      </c>
      <c r="R1892" s="13">
        <f>SUM(R1890+R1891)</f>
        <v>12697.018108406341</v>
      </c>
    </row>
    <row r="1893" spans="3:21" s="29" customFormat="1" x14ac:dyDescent="0.25">
      <c r="C1893" s="106"/>
      <c r="D1893" s="106"/>
      <c r="E1893" s="106"/>
      <c r="F1893" s="107"/>
      <c r="G1893" s="107"/>
      <c r="H1893" s="107"/>
      <c r="I1893" s="107"/>
      <c r="J1893" s="107"/>
    </row>
    <row r="1894" spans="3:21" s="29" customFormat="1" x14ac:dyDescent="0.25">
      <c r="C1894" s="106"/>
      <c r="D1894" s="106"/>
      <c r="E1894" s="106"/>
      <c r="F1894" s="107"/>
      <c r="G1894" s="107"/>
      <c r="H1894" s="107"/>
      <c r="I1894" s="107"/>
      <c r="J1894" s="107"/>
    </row>
    <row r="1895" spans="3:21" s="29" customFormat="1" x14ac:dyDescent="0.25">
      <c r="C1895" s="899" t="s">
        <v>8</v>
      </c>
      <c r="D1895" s="900"/>
      <c r="E1895" s="900"/>
      <c r="F1895" s="900"/>
      <c r="G1895" s="900"/>
      <c r="H1895" s="900"/>
      <c r="I1895" s="900"/>
      <c r="J1895" s="901"/>
    </row>
    <row r="1896" spans="3:21" s="29" customFormat="1" x14ac:dyDescent="0.25">
      <c r="C1896" s="895" t="s">
        <v>0</v>
      </c>
      <c r="D1896" s="895"/>
      <c r="E1896" s="895"/>
      <c r="F1896" s="895" t="s">
        <v>1</v>
      </c>
      <c r="G1896" s="895"/>
      <c r="H1896" s="895"/>
      <c r="I1896" s="895"/>
      <c r="J1896" s="895"/>
    </row>
    <row r="1897" spans="3:21" s="29" customFormat="1" x14ac:dyDescent="0.25">
      <c r="C1897" s="896" t="s">
        <v>2</v>
      </c>
      <c r="D1897" s="896"/>
      <c r="E1897" s="896"/>
      <c r="F1897" s="898" t="s">
        <v>997</v>
      </c>
      <c r="G1897" s="898"/>
      <c r="H1897" s="898"/>
      <c r="I1897" s="898"/>
      <c r="J1897" s="898"/>
      <c r="M1897" s="12" t="s">
        <v>336</v>
      </c>
      <c r="N1897" s="12" t="s">
        <v>174</v>
      </c>
      <c r="O1897" s="12" t="s">
        <v>248</v>
      </c>
      <c r="P1897" s="12" t="s">
        <v>176</v>
      </c>
      <c r="Q1897" s="12" t="s">
        <v>337</v>
      </c>
      <c r="R1897" s="298" t="s">
        <v>1641</v>
      </c>
      <c r="S1897" s="298" t="s">
        <v>1642</v>
      </c>
      <c r="T1897" s="298" t="s">
        <v>1643</v>
      </c>
      <c r="U1897" s="298" t="s">
        <v>1644</v>
      </c>
    </row>
    <row r="1898" spans="3:21" s="29" customFormat="1" x14ac:dyDescent="0.25">
      <c r="C1898" s="896"/>
      <c r="D1898" s="896"/>
      <c r="E1898" s="896"/>
      <c r="F1898" s="898"/>
      <c r="G1898" s="898"/>
      <c r="H1898" s="898"/>
      <c r="I1898" s="898"/>
      <c r="J1898" s="898"/>
      <c r="M1898" s="13" t="s">
        <v>344</v>
      </c>
      <c r="N1898" s="13">
        <f>F25</f>
        <v>2073.8723984875514</v>
      </c>
      <c r="O1898" s="13" t="str">
        <f>D25</f>
        <v>g</v>
      </c>
      <c r="P1898" s="13">
        <v>100</v>
      </c>
      <c r="Q1898" s="13">
        <f>N1898</f>
        <v>2073.8723984875514</v>
      </c>
      <c r="R1898" s="13">
        <v>0</v>
      </c>
      <c r="S1898" s="13">
        <f>P1898*R1898</f>
        <v>0</v>
      </c>
      <c r="T1898" s="13">
        <f>P1898-S1898</f>
        <v>100</v>
      </c>
      <c r="U1898" s="13">
        <f>Q1898+((S1898*Q1898)/P1898)</f>
        <v>2073.8723984875514</v>
      </c>
    </row>
    <row r="1899" spans="3:21" s="29" customFormat="1" x14ac:dyDescent="0.25">
      <c r="C1899" s="896"/>
      <c r="D1899" s="896"/>
      <c r="E1899" s="896"/>
      <c r="F1899" s="898"/>
      <c r="G1899" s="898"/>
      <c r="H1899" s="898"/>
      <c r="I1899" s="898"/>
      <c r="J1899" s="898"/>
      <c r="M1899" s="13" t="s">
        <v>340</v>
      </c>
      <c r="N1899" s="13">
        <f>Y20</f>
        <v>0.64</v>
      </c>
      <c r="O1899" s="13" t="str">
        <f>X20</f>
        <v>g</v>
      </c>
      <c r="P1899" s="13">
        <v>2</v>
      </c>
      <c r="Q1899" s="13">
        <f t="shared" ref="Q1899:Q1904" si="489">N1899*P1899</f>
        <v>1.28</v>
      </c>
      <c r="R1899" s="13">
        <v>0</v>
      </c>
      <c r="S1899" s="13">
        <f t="shared" ref="S1899:S1900" si="490">P1899*R1899</f>
        <v>0</v>
      </c>
      <c r="T1899" s="13">
        <f t="shared" ref="T1899:T1904" si="491">P1899-S1899</f>
        <v>2</v>
      </c>
      <c r="U1899" s="13">
        <f t="shared" ref="U1899:U1904" si="492">Q1899+((S1899*Q1899)/P1899)</f>
        <v>1.28</v>
      </c>
    </row>
    <row r="1900" spans="3:21" s="29" customFormat="1" x14ac:dyDescent="0.25">
      <c r="C1900" s="895" t="s">
        <v>0</v>
      </c>
      <c r="D1900" s="895"/>
      <c r="E1900" s="895"/>
      <c r="F1900" s="895" t="s">
        <v>1</v>
      </c>
      <c r="G1900" s="895"/>
      <c r="H1900" s="895"/>
      <c r="I1900" s="895"/>
      <c r="J1900" s="895"/>
      <c r="M1900" s="13" t="s">
        <v>433</v>
      </c>
      <c r="N1900" s="13">
        <f>Y18</f>
        <v>223.57</v>
      </c>
      <c r="O1900" s="13" t="str">
        <f>X18</f>
        <v>g</v>
      </c>
      <c r="P1900" s="13">
        <v>6</v>
      </c>
      <c r="Q1900" s="13">
        <f t="shared" si="489"/>
        <v>1341.42</v>
      </c>
      <c r="R1900" s="13">
        <v>0</v>
      </c>
      <c r="S1900" s="13">
        <f t="shared" si="490"/>
        <v>0</v>
      </c>
      <c r="T1900" s="13">
        <f t="shared" si="491"/>
        <v>6</v>
      </c>
      <c r="U1900" s="13">
        <f t="shared" si="492"/>
        <v>1341.42</v>
      </c>
    </row>
    <row r="1901" spans="3:21" s="29" customFormat="1" x14ac:dyDescent="0.25">
      <c r="C1901" s="896" t="s">
        <v>3</v>
      </c>
      <c r="D1901" s="896"/>
      <c r="E1901" s="896"/>
      <c r="F1901" s="897" t="s">
        <v>998</v>
      </c>
      <c r="G1901" s="898"/>
      <c r="H1901" s="898"/>
      <c r="I1901" s="898"/>
      <c r="J1901" s="898"/>
      <c r="M1901" s="13" t="s">
        <v>541</v>
      </c>
      <c r="N1901" s="13">
        <f>V16</f>
        <v>54.41</v>
      </c>
      <c r="O1901" s="13" t="str">
        <f>U16</f>
        <v>g</v>
      </c>
      <c r="P1901" s="13">
        <v>40</v>
      </c>
      <c r="Q1901" s="13">
        <f t="shared" si="489"/>
        <v>2176.3999999999996</v>
      </c>
      <c r="R1901" s="13">
        <v>0</v>
      </c>
      <c r="S1901" s="13">
        <f>P1901*R1901</f>
        <v>0</v>
      </c>
      <c r="T1901" s="13">
        <f t="shared" si="491"/>
        <v>40</v>
      </c>
      <c r="U1901" s="13">
        <f t="shared" si="492"/>
        <v>2176.3999999999996</v>
      </c>
    </row>
    <row r="1902" spans="3:21" s="29" customFormat="1" x14ac:dyDescent="0.25">
      <c r="C1902" s="896"/>
      <c r="D1902" s="896"/>
      <c r="E1902" s="896"/>
      <c r="F1902" s="898"/>
      <c r="G1902" s="898"/>
      <c r="H1902" s="898"/>
      <c r="I1902" s="898"/>
      <c r="J1902" s="898"/>
      <c r="M1902" s="13" t="s">
        <v>700</v>
      </c>
      <c r="N1902" s="13">
        <f>P12</f>
        <v>1.6</v>
      </c>
      <c r="O1902" s="13" t="str">
        <f>O12</f>
        <v>g</v>
      </c>
      <c r="P1902" s="13">
        <v>20</v>
      </c>
      <c r="Q1902" s="13">
        <f t="shared" si="489"/>
        <v>32</v>
      </c>
      <c r="R1902" s="13">
        <f>AJ7</f>
        <v>0.15</v>
      </c>
      <c r="S1902" s="13">
        <f t="shared" ref="S1902:S1904" si="493">P1902*R1902</f>
        <v>3</v>
      </c>
      <c r="T1902" s="13">
        <f t="shared" si="491"/>
        <v>17</v>
      </c>
      <c r="U1902" s="13">
        <f t="shared" si="492"/>
        <v>36.799999999999997</v>
      </c>
    </row>
    <row r="1903" spans="3:21" s="29" customFormat="1" x14ac:dyDescent="0.25">
      <c r="C1903" s="896"/>
      <c r="D1903" s="896"/>
      <c r="E1903" s="896"/>
      <c r="F1903" s="898"/>
      <c r="G1903" s="898"/>
      <c r="H1903" s="898"/>
      <c r="I1903" s="898"/>
      <c r="J1903" s="898"/>
      <c r="M1903" s="13" t="s">
        <v>511</v>
      </c>
      <c r="N1903" s="13">
        <f>P15</f>
        <v>8</v>
      </c>
      <c r="O1903" s="13" t="str">
        <f>O15</f>
        <v>g</v>
      </c>
      <c r="P1903" s="13">
        <v>20</v>
      </c>
      <c r="Q1903" s="13">
        <f t="shared" si="489"/>
        <v>160</v>
      </c>
      <c r="R1903" s="13">
        <v>0</v>
      </c>
      <c r="S1903" s="13">
        <f t="shared" si="493"/>
        <v>0</v>
      </c>
      <c r="T1903" s="13">
        <f t="shared" si="491"/>
        <v>20</v>
      </c>
      <c r="U1903" s="13">
        <f t="shared" si="492"/>
        <v>160</v>
      </c>
    </row>
    <row r="1904" spans="3:21" s="29" customFormat="1" x14ac:dyDescent="0.25">
      <c r="C1904" s="896" t="s">
        <v>4</v>
      </c>
      <c r="D1904" s="896"/>
      <c r="E1904" s="896"/>
      <c r="F1904" s="898" t="s">
        <v>15</v>
      </c>
      <c r="G1904" s="898"/>
      <c r="H1904" s="898"/>
      <c r="I1904" s="898"/>
      <c r="J1904" s="898"/>
      <c r="M1904" s="13" t="s">
        <v>434</v>
      </c>
      <c r="N1904" s="13">
        <f>AE3</f>
        <v>49.18</v>
      </c>
      <c r="O1904" s="13" t="str">
        <f>AD3</f>
        <v>mL</v>
      </c>
      <c r="P1904" s="13">
        <v>10</v>
      </c>
      <c r="Q1904" s="13">
        <f t="shared" si="489"/>
        <v>491.8</v>
      </c>
      <c r="R1904" s="13">
        <v>0</v>
      </c>
      <c r="S1904" s="13">
        <f t="shared" si="493"/>
        <v>0</v>
      </c>
      <c r="T1904" s="13">
        <f t="shared" si="491"/>
        <v>10</v>
      </c>
      <c r="U1904" s="13">
        <f t="shared" si="492"/>
        <v>491.8</v>
      </c>
    </row>
    <row r="1905" spans="3:21" s="29" customFormat="1" x14ac:dyDescent="0.25">
      <c r="C1905" s="896"/>
      <c r="D1905" s="896"/>
      <c r="E1905" s="896"/>
      <c r="F1905" s="898"/>
      <c r="G1905" s="898"/>
      <c r="H1905" s="898"/>
      <c r="I1905" s="898"/>
      <c r="J1905" s="898"/>
      <c r="M1905" s="13"/>
      <c r="N1905" s="13"/>
      <c r="O1905" s="13"/>
      <c r="P1905" s="13"/>
      <c r="Q1905" s="13"/>
      <c r="R1905" s="13"/>
      <c r="S1905" s="13"/>
      <c r="T1905" s="13"/>
      <c r="U1905" s="13"/>
    </row>
    <row r="1906" spans="3:21" s="29" customFormat="1" x14ac:dyDescent="0.25">
      <c r="C1906" s="896"/>
      <c r="D1906" s="896"/>
      <c r="E1906" s="896"/>
      <c r="F1906" s="898"/>
      <c r="G1906" s="898"/>
      <c r="H1906" s="898"/>
      <c r="I1906" s="898"/>
      <c r="J1906" s="898"/>
      <c r="M1906" s="13" t="s">
        <v>337</v>
      </c>
      <c r="N1906" s="13">
        <f>SUM(N1898:N1905)</f>
        <v>2411.2723984875511</v>
      </c>
      <c r="O1906" s="13"/>
      <c r="P1906" s="13">
        <f>SUM(P1898:P1905)</f>
        <v>198</v>
      </c>
      <c r="Q1906" s="13">
        <f>SUM(Q1898:Q1905)</f>
        <v>6276.7723984875511</v>
      </c>
      <c r="R1906" s="13"/>
      <c r="S1906" s="13"/>
      <c r="T1906" s="13"/>
      <c r="U1906" s="13">
        <f>SUM(U1898:U1905)</f>
        <v>6281.5723984875513</v>
      </c>
    </row>
    <row r="1907" spans="3:21" s="29" customFormat="1" x14ac:dyDescent="0.25">
      <c r="C1907" s="896" t="s">
        <v>5</v>
      </c>
      <c r="D1907" s="896"/>
      <c r="E1907" s="896"/>
      <c r="F1907" s="898" t="s">
        <v>999</v>
      </c>
      <c r="G1907" s="898"/>
      <c r="H1907" s="898"/>
      <c r="I1907" s="898"/>
      <c r="J1907" s="898"/>
    </row>
    <row r="1908" spans="3:21" s="29" customFormat="1" x14ac:dyDescent="0.25">
      <c r="C1908" s="896"/>
      <c r="D1908" s="896"/>
      <c r="E1908" s="896"/>
      <c r="F1908" s="898"/>
      <c r="G1908" s="898"/>
      <c r="H1908" s="898"/>
      <c r="I1908" s="898"/>
      <c r="J1908" s="898"/>
      <c r="Q1908" s="13" t="s">
        <v>1681</v>
      </c>
      <c r="R1908" s="13">
        <f>U1906</f>
        <v>6281.5723984875513</v>
      </c>
      <c r="S1908" s="608" t="s">
        <v>2142</v>
      </c>
      <c r="T1908" s="608">
        <f>(R1908*100)/R1915</f>
        <v>44.178155386140837</v>
      </c>
    </row>
    <row r="1909" spans="3:21" s="29" customFormat="1" x14ac:dyDescent="0.25">
      <c r="C1909" s="896"/>
      <c r="D1909" s="896"/>
      <c r="E1909" s="896"/>
      <c r="F1909" s="898"/>
      <c r="G1909" s="898"/>
      <c r="H1909" s="898"/>
      <c r="I1909" s="898"/>
      <c r="J1909" s="898"/>
      <c r="Q1909" s="13" t="s">
        <v>2326</v>
      </c>
      <c r="R1909" s="13">
        <f>$AL$26</f>
        <v>1801.715474357886</v>
      </c>
    </row>
    <row r="1910" spans="3:21" s="29" customFormat="1" x14ac:dyDescent="0.25">
      <c r="C1910" s="896" t="s">
        <v>6</v>
      </c>
      <c r="D1910" s="896"/>
      <c r="E1910" s="896"/>
      <c r="F1910" s="898" t="s">
        <v>9</v>
      </c>
      <c r="G1910" s="898"/>
      <c r="H1910" s="898"/>
      <c r="I1910" s="898"/>
      <c r="J1910" s="898"/>
      <c r="Q1910" s="13" t="s">
        <v>2325</v>
      </c>
      <c r="R1910" s="13">
        <f>$AL$27</f>
        <v>75.599999999999994</v>
      </c>
    </row>
    <row r="1911" spans="3:21" s="29" customFormat="1" x14ac:dyDescent="0.25">
      <c r="C1911" s="896"/>
      <c r="D1911" s="896"/>
      <c r="E1911" s="896"/>
      <c r="F1911" s="898"/>
      <c r="G1911" s="898"/>
      <c r="H1911" s="898"/>
      <c r="I1911" s="898"/>
      <c r="J1911" s="898"/>
      <c r="Q1911" s="13" t="s">
        <v>1684</v>
      </c>
      <c r="R1911" s="13">
        <f>$AL$29</f>
        <v>69.543532482306858</v>
      </c>
    </row>
    <row r="1912" spans="3:21" s="29" customFormat="1" x14ac:dyDescent="0.25">
      <c r="C1912" s="896"/>
      <c r="D1912" s="896"/>
      <c r="E1912" s="896"/>
      <c r="F1912" s="898"/>
      <c r="G1912" s="898"/>
      <c r="H1912" s="898"/>
      <c r="I1912" s="898"/>
      <c r="J1912" s="898"/>
      <c r="Q1912" s="13" t="s">
        <v>1685</v>
      </c>
      <c r="R1912" s="13">
        <v>0.6</v>
      </c>
    </row>
    <row r="1913" spans="3:21" s="29" customFormat="1" x14ac:dyDescent="0.25">
      <c r="C1913" s="896" t="s">
        <v>7</v>
      </c>
      <c r="D1913" s="896"/>
      <c r="E1913" s="896"/>
      <c r="F1913" s="898" t="s">
        <v>1009</v>
      </c>
      <c r="G1913" s="898"/>
      <c r="H1913" s="898"/>
      <c r="I1913" s="898"/>
      <c r="J1913" s="898"/>
      <c r="Q1913" s="13" t="s">
        <v>1708</v>
      </c>
      <c r="R1913" s="13">
        <f>(SUM(R1908:R1911)*R1912)+SUM(R1908:R1911)</f>
        <v>13165.490248524391</v>
      </c>
    </row>
    <row r="1914" spans="3:21" s="29" customFormat="1" x14ac:dyDescent="0.25">
      <c r="C1914" s="896"/>
      <c r="D1914" s="896"/>
      <c r="E1914" s="896"/>
      <c r="F1914" s="898"/>
      <c r="G1914" s="898"/>
      <c r="H1914" s="898"/>
      <c r="I1914" s="898"/>
      <c r="J1914" s="898"/>
      <c r="Q1914" s="13" t="s">
        <v>2130</v>
      </c>
      <c r="R1914" s="13">
        <f>R1913*0.08</f>
        <v>1053.2392198819514</v>
      </c>
    </row>
    <row r="1915" spans="3:21" s="29" customFormat="1" x14ac:dyDescent="0.25">
      <c r="C1915" s="896"/>
      <c r="D1915" s="896"/>
      <c r="E1915" s="896"/>
      <c r="F1915" s="898"/>
      <c r="G1915" s="898"/>
      <c r="H1915" s="898"/>
      <c r="I1915" s="898"/>
      <c r="J1915" s="898"/>
      <c r="Q1915" s="13" t="s">
        <v>1686</v>
      </c>
      <c r="R1915" s="13">
        <f>SUM(R1913+R1914)</f>
        <v>14218.729468406342</v>
      </c>
    </row>
    <row r="1916" spans="3:21" s="29" customFormat="1" x14ac:dyDescent="0.25">
      <c r="C1916" s="106"/>
      <c r="D1916" s="106"/>
      <c r="E1916" s="106"/>
      <c r="F1916" s="107"/>
      <c r="G1916" s="107"/>
      <c r="H1916" s="107"/>
      <c r="I1916" s="107"/>
      <c r="J1916" s="107"/>
    </row>
    <row r="1917" spans="3:21" s="29" customFormat="1" x14ac:dyDescent="0.25">
      <c r="C1917" s="106"/>
      <c r="D1917" s="106"/>
      <c r="E1917" s="106"/>
      <c r="F1917" s="107"/>
      <c r="G1917" s="107"/>
      <c r="H1917" s="107"/>
      <c r="I1917" s="107"/>
      <c r="J1917" s="107"/>
    </row>
    <row r="1918" spans="3:21" s="29" customFormat="1" x14ac:dyDescent="0.25">
      <c r="C1918" s="899" t="s">
        <v>8</v>
      </c>
      <c r="D1918" s="900"/>
      <c r="E1918" s="900"/>
      <c r="F1918" s="900"/>
      <c r="G1918" s="900"/>
      <c r="H1918" s="900"/>
      <c r="I1918" s="900"/>
      <c r="J1918" s="901"/>
    </row>
    <row r="1919" spans="3:21" s="29" customFormat="1" x14ac:dyDescent="0.25">
      <c r="C1919" s="895" t="s">
        <v>0</v>
      </c>
      <c r="D1919" s="895"/>
      <c r="E1919" s="895"/>
      <c r="F1919" s="895" t="s">
        <v>1</v>
      </c>
      <c r="G1919" s="895"/>
      <c r="H1919" s="895"/>
      <c r="I1919" s="895"/>
      <c r="J1919" s="895"/>
    </row>
    <row r="1920" spans="3:21" s="29" customFormat="1" x14ac:dyDescent="0.25">
      <c r="C1920" s="896" t="s">
        <v>2</v>
      </c>
      <c r="D1920" s="896"/>
      <c r="E1920" s="896"/>
      <c r="F1920" s="898" t="s">
        <v>1001</v>
      </c>
      <c r="G1920" s="898"/>
      <c r="H1920" s="898"/>
      <c r="I1920" s="898"/>
      <c r="J1920" s="898"/>
      <c r="M1920" s="12" t="s">
        <v>336</v>
      </c>
      <c r="N1920" s="12" t="s">
        <v>174</v>
      </c>
      <c r="O1920" s="12" t="s">
        <v>248</v>
      </c>
      <c r="P1920" s="12" t="s">
        <v>176</v>
      </c>
      <c r="Q1920" s="12" t="s">
        <v>337</v>
      </c>
      <c r="R1920" s="298" t="s">
        <v>1641</v>
      </c>
      <c r="S1920" s="298" t="s">
        <v>1642</v>
      </c>
      <c r="T1920" s="298" t="s">
        <v>1643</v>
      </c>
      <c r="U1920" s="298" t="s">
        <v>1644</v>
      </c>
    </row>
    <row r="1921" spans="3:21" s="29" customFormat="1" x14ac:dyDescent="0.25">
      <c r="C1921" s="896"/>
      <c r="D1921" s="896"/>
      <c r="E1921" s="896"/>
      <c r="F1921" s="898"/>
      <c r="G1921" s="898"/>
      <c r="H1921" s="898"/>
      <c r="I1921" s="898"/>
      <c r="J1921" s="898"/>
      <c r="M1921" s="13" t="s">
        <v>344</v>
      </c>
      <c r="N1921" s="13">
        <f>F2</f>
        <v>2073.8723984875514</v>
      </c>
      <c r="O1921" s="13" t="str">
        <f>D2</f>
        <v>g</v>
      </c>
      <c r="P1921" s="13">
        <v>100</v>
      </c>
      <c r="Q1921" s="13">
        <f>N1921</f>
        <v>2073.8723984875514</v>
      </c>
      <c r="R1921" s="13">
        <v>0</v>
      </c>
      <c r="S1921" s="13">
        <f>P1921*R1921</f>
        <v>0</v>
      </c>
      <c r="T1921" s="13">
        <f>P1921-S1921</f>
        <v>100</v>
      </c>
      <c r="U1921" s="13">
        <f>Q1921+((S1921*Q1921)/P1921)</f>
        <v>2073.8723984875514</v>
      </c>
    </row>
    <row r="1922" spans="3:21" s="29" customFormat="1" x14ac:dyDescent="0.25">
      <c r="C1922" s="896"/>
      <c r="D1922" s="896"/>
      <c r="E1922" s="896"/>
      <c r="F1922" s="898"/>
      <c r="G1922" s="898"/>
      <c r="H1922" s="898"/>
      <c r="I1922" s="898"/>
      <c r="J1922" s="898"/>
      <c r="M1922" s="13" t="s">
        <v>340</v>
      </c>
      <c r="N1922" s="13">
        <f>Y20</f>
        <v>0.64</v>
      </c>
      <c r="O1922" s="13" t="str">
        <f>X20</f>
        <v>g</v>
      </c>
      <c r="P1922" s="13">
        <v>2</v>
      </c>
      <c r="Q1922" s="13">
        <f t="shared" ref="Q1922:Q1927" si="494">N1922*P1922</f>
        <v>1.28</v>
      </c>
      <c r="R1922" s="13">
        <v>0</v>
      </c>
      <c r="S1922" s="13">
        <f t="shared" ref="S1922:S1923" si="495">P1922*R1922</f>
        <v>0</v>
      </c>
      <c r="T1922" s="13">
        <f t="shared" ref="T1922:T1927" si="496">P1922-S1922</f>
        <v>2</v>
      </c>
      <c r="U1922" s="13">
        <f t="shared" ref="U1922:U1927" si="497">Q1922+((S1922*Q1922)/P1922)</f>
        <v>1.28</v>
      </c>
    </row>
    <row r="1923" spans="3:21" s="29" customFormat="1" x14ac:dyDescent="0.25">
      <c r="C1923" s="895" t="s">
        <v>0</v>
      </c>
      <c r="D1923" s="895"/>
      <c r="E1923" s="895"/>
      <c r="F1923" s="895" t="s">
        <v>1</v>
      </c>
      <c r="G1923" s="895"/>
      <c r="H1923" s="895"/>
      <c r="I1923" s="895"/>
      <c r="J1923" s="895"/>
      <c r="M1923" s="13" t="s">
        <v>433</v>
      </c>
      <c r="N1923" s="13">
        <f>Y18</f>
        <v>223.57</v>
      </c>
      <c r="O1923" s="13" t="str">
        <f>X18</f>
        <v>g</v>
      </c>
      <c r="P1923" s="13">
        <v>6</v>
      </c>
      <c r="Q1923" s="13">
        <f t="shared" si="494"/>
        <v>1341.42</v>
      </c>
      <c r="R1923" s="13">
        <v>0</v>
      </c>
      <c r="S1923" s="13">
        <f t="shared" si="495"/>
        <v>0</v>
      </c>
      <c r="T1923" s="13">
        <f t="shared" si="496"/>
        <v>6</v>
      </c>
      <c r="U1923" s="13">
        <f t="shared" si="497"/>
        <v>1341.42</v>
      </c>
    </row>
    <row r="1924" spans="3:21" s="29" customFormat="1" x14ac:dyDescent="0.25">
      <c r="C1924" s="896" t="s">
        <v>3</v>
      </c>
      <c r="D1924" s="896"/>
      <c r="E1924" s="896"/>
      <c r="F1924" s="897" t="s">
        <v>1002</v>
      </c>
      <c r="G1924" s="898"/>
      <c r="H1924" s="898"/>
      <c r="I1924" s="898"/>
      <c r="J1924" s="898"/>
      <c r="M1924" s="13" t="s">
        <v>541</v>
      </c>
      <c r="N1924" s="13">
        <f>V16</f>
        <v>54.41</v>
      </c>
      <c r="O1924" s="13" t="str">
        <f>U16</f>
        <v>g</v>
      </c>
      <c r="P1924" s="13">
        <v>50</v>
      </c>
      <c r="Q1924" s="13">
        <f t="shared" si="494"/>
        <v>2720.5</v>
      </c>
      <c r="R1924" s="13">
        <v>0</v>
      </c>
      <c r="S1924" s="13">
        <f>P1924*R1924</f>
        <v>0</v>
      </c>
      <c r="T1924" s="13">
        <f t="shared" si="496"/>
        <v>50</v>
      </c>
      <c r="U1924" s="13">
        <f t="shared" si="497"/>
        <v>2720.5</v>
      </c>
    </row>
    <row r="1925" spans="3:21" s="29" customFormat="1" x14ac:dyDescent="0.25">
      <c r="C1925" s="896"/>
      <c r="D1925" s="896"/>
      <c r="E1925" s="896"/>
      <c r="F1925" s="898"/>
      <c r="G1925" s="898"/>
      <c r="H1925" s="898"/>
      <c r="I1925" s="898"/>
      <c r="J1925" s="898"/>
      <c r="M1925" s="13" t="s">
        <v>545</v>
      </c>
      <c r="N1925" s="13">
        <f>P28</f>
        <v>1.6</v>
      </c>
      <c r="O1925" s="13" t="str">
        <f>O28</f>
        <v>g</v>
      </c>
      <c r="P1925" s="13">
        <v>20</v>
      </c>
      <c r="Q1925" s="13">
        <f t="shared" si="494"/>
        <v>32</v>
      </c>
      <c r="R1925" s="13">
        <f>AJ17</f>
        <v>0.35</v>
      </c>
      <c r="S1925" s="13">
        <f t="shared" ref="S1925:S1927" si="498">P1925*R1925</f>
        <v>7</v>
      </c>
      <c r="T1925" s="13">
        <f t="shared" si="496"/>
        <v>13</v>
      </c>
      <c r="U1925" s="13">
        <f t="shared" si="497"/>
        <v>43.2</v>
      </c>
    </row>
    <row r="1926" spans="3:21" s="29" customFormat="1" x14ac:dyDescent="0.25">
      <c r="C1926" s="896"/>
      <c r="D1926" s="896"/>
      <c r="E1926" s="896"/>
      <c r="F1926" s="898"/>
      <c r="G1926" s="898"/>
      <c r="H1926" s="898"/>
      <c r="I1926" s="898"/>
      <c r="J1926" s="898"/>
      <c r="M1926" s="13" t="s">
        <v>436</v>
      </c>
      <c r="N1926" s="13">
        <f>P31</f>
        <v>2.6</v>
      </c>
      <c r="O1926" s="13" t="str">
        <f>O31</f>
        <v>g</v>
      </c>
      <c r="P1926" s="13">
        <v>40</v>
      </c>
      <c r="Q1926" s="13">
        <f t="shared" si="494"/>
        <v>104</v>
      </c>
      <c r="R1926" s="13">
        <f>AJ19</f>
        <v>0.37</v>
      </c>
      <c r="S1926" s="13">
        <f t="shared" si="498"/>
        <v>14.8</v>
      </c>
      <c r="T1926" s="13">
        <f t="shared" si="496"/>
        <v>25.2</v>
      </c>
      <c r="U1926" s="13">
        <f t="shared" si="497"/>
        <v>142.48000000000002</v>
      </c>
    </row>
    <row r="1927" spans="3:21" s="29" customFormat="1" x14ac:dyDescent="0.25">
      <c r="C1927" s="896" t="s">
        <v>4</v>
      </c>
      <c r="D1927" s="896"/>
      <c r="E1927" s="896"/>
      <c r="F1927" s="898" t="s">
        <v>15</v>
      </c>
      <c r="G1927" s="898"/>
      <c r="H1927" s="898"/>
      <c r="I1927" s="898"/>
      <c r="J1927" s="898"/>
      <c r="M1927" s="13" t="s">
        <v>345</v>
      </c>
      <c r="N1927" s="13">
        <f>P23</f>
        <v>1.6</v>
      </c>
      <c r="O1927" s="13" t="str">
        <f>O23</f>
        <v>g</v>
      </c>
      <c r="P1927" s="13">
        <v>10</v>
      </c>
      <c r="Q1927" s="13">
        <f t="shared" si="494"/>
        <v>16</v>
      </c>
      <c r="R1927" s="13">
        <v>0</v>
      </c>
      <c r="S1927" s="13">
        <f t="shared" si="498"/>
        <v>0</v>
      </c>
      <c r="T1927" s="13">
        <f t="shared" si="496"/>
        <v>10</v>
      </c>
      <c r="U1927" s="13">
        <f t="shared" si="497"/>
        <v>16</v>
      </c>
    </row>
    <row r="1928" spans="3:21" s="29" customFormat="1" x14ac:dyDescent="0.25">
      <c r="C1928" s="896"/>
      <c r="D1928" s="896"/>
      <c r="E1928" s="896"/>
      <c r="F1928" s="898"/>
      <c r="G1928" s="898"/>
      <c r="H1928" s="898"/>
      <c r="I1928" s="898"/>
      <c r="J1928" s="898"/>
      <c r="M1928" s="13"/>
      <c r="N1928" s="13"/>
      <c r="O1928" s="13"/>
      <c r="P1928" s="13"/>
      <c r="Q1928" s="13"/>
      <c r="R1928" s="13"/>
      <c r="S1928" s="13"/>
      <c r="T1928" s="13"/>
      <c r="U1928" s="13"/>
    </row>
    <row r="1929" spans="3:21" s="29" customFormat="1" x14ac:dyDescent="0.25">
      <c r="C1929" s="896"/>
      <c r="D1929" s="896"/>
      <c r="E1929" s="896"/>
      <c r="F1929" s="898"/>
      <c r="G1929" s="898"/>
      <c r="H1929" s="898"/>
      <c r="I1929" s="898"/>
      <c r="J1929" s="898"/>
      <c r="M1929" s="13" t="s">
        <v>337</v>
      </c>
      <c r="N1929" s="13">
        <f>SUM(N1921:N1928)</f>
        <v>2358.2923984875511</v>
      </c>
      <c r="O1929" s="13"/>
      <c r="P1929" s="13">
        <f>SUM(P1921:P1928)</f>
        <v>228</v>
      </c>
      <c r="Q1929" s="13">
        <f>SUM(Q1921:Q1928)</f>
        <v>6289.0723984875513</v>
      </c>
      <c r="R1929" s="13"/>
      <c r="S1929" s="13"/>
      <c r="T1929" s="13"/>
      <c r="U1929" s="13">
        <f>SUM(U1921:U1928)</f>
        <v>6338.7523984875515</v>
      </c>
    </row>
    <row r="1930" spans="3:21" s="29" customFormat="1" x14ac:dyDescent="0.25">
      <c r="C1930" s="896" t="s">
        <v>5</v>
      </c>
      <c r="D1930" s="896"/>
      <c r="E1930" s="896"/>
      <c r="F1930" s="898" t="s">
        <v>1003</v>
      </c>
      <c r="G1930" s="898"/>
      <c r="H1930" s="898"/>
      <c r="I1930" s="898"/>
      <c r="J1930" s="898"/>
    </row>
    <row r="1931" spans="3:21" s="29" customFormat="1" x14ac:dyDescent="0.25">
      <c r="C1931" s="896"/>
      <c r="D1931" s="896"/>
      <c r="E1931" s="896"/>
      <c r="F1931" s="898"/>
      <c r="G1931" s="898"/>
      <c r="H1931" s="898"/>
      <c r="I1931" s="898"/>
      <c r="J1931" s="898"/>
      <c r="Q1931" s="13" t="s">
        <v>1681</v>
      </c>
      <c r="R1931" s="13">
        <f>U1929</f>
        <v>6338.7523984875515</v>
      </c>
      <c r="S1931" s="608" t="s">
        <v>2142</v>
      </c>
      <c r="T1931" s="608">
        <f>(R1931*100)/R1938</f>
        <v>44.27264700715687</v>
      </c>
    </row>
    <row r="1932" spans="3:21" s="29" customFormat="1" x14ac:dyDescent="0.25">
      <c r="C1932" s="896"/>
      <c r="D1932" s="896"/>
      <c r="E1932" s="896"/>
      <c r="F1932" s="898"/>
      <c r="G1932" s="898"/>
      <c r="H1932" s="898"/>
      <c r="I1932" s="898"/>
      <c r="J1932" s="898"/>
      <c r="Q1932" s="13" t="s">
        <v>2326</v>
      </c>
      <c r="R1932" s="13">
        <f>$AL$26</f>
        <v>1801.715474357886</v>
      </c>
    </row>
    <row r="1933" spans="3:21" s="29" customFormat="1" x14ac:dyDescent="0.25">
      <c r="C1933" s="896" t="s">
        <v>6</v>
      </c>
      <c r="D1933" s="896"/>
      <c r="E1933" s="896"/>
      <c r="F1933" s="898" t="s">
        <v>9</v>
      </c>
      <c r="G1933" s="898"/>
      <c r="H1933" s="898"/>
      <c r="I1933" s="898"/>
      <c r="J1933" s="898"/>
      <c r="Q1933" s="13" t="s">
        <v>2325</v>
      </c>
      <c r="R1933" s="13">
        <f>$AL$27</f>
        <v>75.599999999999994</v>
      </c>
    </row>
    <row r="1934" spans="3:21" s="29" customFormat="1" x14ac:dyDescent="0.25">
      <c r="C1934" s="896"/>
      <c r="D1934" s="896"/>
      <c r="E1934" s="896"/>
      <c r="F1934" s="898"/>
      <c r="G1934" s="898"/>
      <c r="H1934" s="898"/>
      <c r="I1934" s="898"/>
      <c r="J1934" s="898"/>
      <c r="Q1934" s="13" t="s">
        <v>1684</v>
      </c>
      <c r="R1934" s="13">
        <f>$AL$29</f>
        <v>69.543532482306858</v>
      </c>
    </row>
    <row r="1935" spans="3:21" s="29" customFormat="1" x14ac:dyDescent="0.25">
      <c r="C1935" s="896"/>
      <c r="D1935" s="896"/>
      <c r="E1935" s="896"/>
      <c r="F1935" s="898"/>
      <c r="G1935" s="898"/>
      <c r="H1935" s="898"/>
      <c r="I1935" s="898"/>
      <c r="J1935" s="898"/>
      <c r="Q1935" s="13" t="s">
        <v>1685</v>
      </c>
      <c r="R1935" s="13">
        <v>0.6</v>
      </c>
    </row>
    <row r="1936" spans="3:21" s="29" customFormat="1" x14ac:dyDescent="0.25">
      <c r="C1936" s="896" t="s">
        <v>7</v>
      </c>
      <c r="D1936" s="896"/>
      <c r="E1936" s="896"/>
      <c r="F1936" s="898" t="s">
        <v>1004</v>
      </c>
      <c r="G1936" s="898"/>
      <c r="H1936" s="898"/>
      <c r="I1936" s="898"/>
      <c r="J1936" s="898"/>
      <c r="Q1936" s="13" t="s">
        <v>1708</v>
      </c>
      <c r="R1936" s="13">
        <f>(SUM(R1931:R1934)*R1935)+SUM(R1931:R1934)</f>
        <v>13256.978248524389</v>
      </c>
    </row>
    <row r="1937" spans="3:31" s="29" customFormat="1" x14ac:dyDescent="0.25">
      <c r="C1937" s="896"/>
      <c r="D1937" s="896"/>
      <c r="E1937" s="896"/>
      <c r="F1937" s="898"/>
      <c r="G1937" s="898"/>
      <c r="H1937" s="898"/>
      <c r="I1937" s="898"/>
      <c r="J1937" s="898"/>
      <c r="Q1937" s="13" t="s">
        <v>2130</v>
      </c>
      <c r="R1937" s="13">
        <f>R1936*0.08</f>
        <v>1060.558259881951</v>
      </c>
    </row>
    <row r="1938" spans="3:31" s="29" customFormat="1" x14ac:dyDescent="0.25">
      <c r="C1938" s="896"/>
      <c r="D1938" s="896"/>
      <c r="E1938" s="896"/>
      <c r="F1938" s="898"/>
      <c r="G1938" s="898"/>
      <c r="H1938" s="898"/>
      <c r="I1938" s="898"/>
      <c r="J1938" s="898"/>
      <c r="Q1938" s="13" t="s">
        <v>1686</v>
      </c>
      <c r="R1938" s="13">
        <f>SUM(R1936+R1937)</f>
        <v>14317.53650840634</v>
      </c>
    </row>
    <row r="1939" spans="3:31" s="29" customFormat="1" x14ac:dyDescent="0.25">
      <c r="C1939" s="106"/>
      <c r="D1939" s="106"/>
      <c r="E1939" s="106"/>
      <c r="F1939" s="107"/>
      <c r="G1939" s="107"/>
      <c r="H1939" s="107"/>
      <c r="I1939" s="107"/>
      <c r="J1939" s="107"/>
    </row>
    <row r="1940" spans="3:31" s="29" customFormat="1" x14ac:dyDescent="0.25"/>
    <row r="1941" spans="3:31" s="29" customFormat="1" x14ac:dyDescent="0.25">
      <c r="C1941" s="910" t="s">
        <v>8</v>
      </c>
      <c r="D1941" s="910"/>
      <c r="E1941" s="910"/>
      <c r="F1941" s="910"/>
      <c r="G1941" s="910"/>
      <c r="H1941" s="910"/>
      <c r="I1941" s="910"/>
      <c r="J1941" s="910"/>
    </row>
    <row r="1942" spans="3:31" s="29" customFormat="1" x14ac:dyDescent="0.25">
      <c r="C1942" s="895" t="s">
        <v>0</v>
      </c>
      <c r="D1942" s="895"/>
      <c r="E1942" s="895"/>
      <c r="F1942" s="895" t="s">
        <v>1</v>
      </c>
      <c r="G1942" s="895"/>
      <c r="H1942" s="895"/>
      <c r="I1942" s="895"/>
      <c r="J1942" s="895"/>
    </row>
    <row r="1943" spans="3:31" s="29" customFormat="1" x14ac:dyDescent="0.25">
      <c r="C1943" s="896" t="s">
        <v>2</v>
      </c>
      <c r="D1943" s="896"/>
      <c r="E1943" s="896"/>
      <c r="F1943" s="898" t="s">
        <v>191</v>
      </c>
      <c r="G1943" s="898"/>
      <c r="H1943" s="898"/>
      <c r="I1943" s="898"/>
      <c r="J1943" s="898"/>
      <c r="M1943" s="12" t="s">
        <v>336</v>
      </c>
      <c r="N1943" s="12" t="s">
        <v>174</v>
      </c>
      <c r="O1943" s="12" t="s">
        <v>248</v>
      </c>
      <c r="P1943" s="12" t="s">
        <v>176</v>
      </c>
      <c r="Q1943" s="12" t="s">
        <v>337</v>
      </c>
      <c r="R1943" s="298" t="s">
        <v>1641</v>
      </c>
      <c r="S1943" s="298" t="s">
        <v>1642</v>
      </c>
      <c r="T1943" s="298" t="s">
        <v>1643</v>
      </c>
      <c r="U1943" s="298" t="s">
        <v>1644</v>
      </c>
      <c r="W1943" s="1048" t="s">
        <v>1478</v>
      </c>
      <c r="X1943" s="1048"/>
      <c r="Y1943" s="1048"/>
      <c r="Z1943" s="1048"/>
      <c r="AA1943" s="1048"/>
      <c r="AB1943" s="1048"/>
      <c r="AC1943" s="1048"/>
      <c r="AD1943" s="1048"/>
      <c r="AE1943" s="1048"/>
    </row>
    <row r="1944" spans="3:31" s="29" customFormat="1" x14ac:dyDescent="0.25">
      <c r="C1944" s="896"/>
      <c r="D1944" s="896"/>
      <c r="E1944" s="896"/>
      <c r="F1944" s="898"/>
      <c r="G1944" s="898"/>
      <c r="H1944" s="898"/>
      <c r="I1944" s="898"/>
      <c r="J1944" s="898"/>
      <c r="M1944" s="13" t="s">
        <v>344</v>
      </c>
      <c r="N1944" s="13">
        <f>F16</f>
        <v>2073.8723984875514</v>
      </c>
      <c r="O1944" s="13" t="str">
        <f>D16</f>
        <v>g</v>
      </c>
      <c r="P1944" s="13">
        <v>110</v>
      </c>
      <c r="Q1944" s="13">
        <f>N1944</f>
        <v>2073.8723984875514</v>
      </c>
      <c r="R1944" s="13">
        <v>0</v>
      </c>
      <c r="S1944" s="13">
        <f>P1944*R1944</f>
        <v>0</v>
      </c>
      <c r="T1944" s="13">
        <f>P1944-S1944</f>
        <v>110</v>
      </c>
      <c r="U1944" s="13">
        <f>Q1944+((S1944*Q1944)/P1944)</f>
        <v>2073.8723984875514</v>
      </c>
      <c r="W1944" s="12" t="s">
        <v>336</v>
      </c>
      <c r="X1944" s="12" t="s">
        <v>174</v>
      </c>
      <c r="Y1944" s="12" t="s">
        <v>248</v>
      </c>
      <c r="Z1944" s="12" t="s">
        <v>176</v>
      </c>
      <c r="AA1944" s="12" t="s">
        <v>337</v>
      </c>
      <c r="AB1944" s="298" t="s">
        <v>1641</v>
      </c>
      <c r="AC1944" s="298" t="s">
        <v>1642</v>
      </c>
      <c r="AD1944" s="298" t="s">
        <v>1643</v>
      </c>
      <c r="AE1944" s="298" t="s">
        <v>1644</v>
      </c>
    </row>
    <row r="1945" spans="3:31" s="29" customFormat="1" x14ac:dyDescent="0.25">
      <c r="C1945" s="896"/>
      <c r="D1945" s="896"/>
      <c r="E1945" s="896"/>
      <c r="F1945" s="898"/>
      <c r="G1945" s="898"/>
      <c r="H1945" s="898"/>
      <c r="I1945" s="898"/>
      <c r="J1945" s="898"/>
      <c r="M1945" s="13" t="s">
        <v>541</v>
      </c>
      <c r="N1945" s="13">
        <f>V16</f>
        <v>54.41</v>
      </c>
      <c r="O1945" s="13" t="str">
        <f>U16</f>
        <v>g</v>
      </c>
      <c r="P1945" s="13">
        <v>40</v>
      </c>
      <c r="Q1945" s="13">
        <f t="shared" ref="Q1945:Q1952" si="499">N1945*P1945</f>
        <v>2176.3999999999996</v>
      </c>
      <c r="R1945" s="13">
        <v>0</v>
      </c>
      <c r="S1945" s="13">
        <f t="shared" ref="S1945:S1946" si="500">P1945*R1945</f>
        <v>0</v>
      </c>
      <c r="T1945" s="13">
        <f t="shared" ref="T1945:T1952" si="501">P1945-S1945</f>
        <v>40</v>
      </c>
      <c r="U1945" s="13">
        <f t="shared" ref="U1945:U1952" si="502">Q1945+((S1945*Q1945)/P1945)</f>
        <v>2176.3999999999996</v>
      </c>
      <c r="W1945" s="13" t="s">
        <v>435</v>
      </c>
      <c r="X1945" s="13">
        <f>P5</f>
        <v>2.5</v>
      </c>
      <c r="Y1945" s="13" t="str">
        <f>O5</f>
        <v>g</v>
      </c>
      <c r="Z1945" s="13">
        <v>20</v>
      </c>
      <c r="AA1945" s="13">
        <f t="shared" ref="AA1945:AA1950" si="503">X1945*Z1945</f>
        <v>50</v>
      </c>
      <c r="AB1945" s="13">
        <f>AJ3</f>
        <v>0.37</v>
      </c>
      <c r="AC1945" s="13">
        <f>Z1945*AB1945</f>
        <v>7.4</v>
      </c>
      <c r="AD1945" s="13">
        <f>Z1945-AC1945</f>
        <v>12.6</v>
      </c>
      <c r="AE1945" s="13">
        <f>AA1945+((AC1945*AA1945)/Z1945)</f>
        <v>68.5</v>
      </c>
    </row>
    <row r="1946" spans="3:31" s="29" customFormat="1" x14ac:dyDescent="0.25">
      <c r="C1946" s="895" t="s">
        <v>0</v>
      </c>
      <c r="D1946" s="895"/>
      <c r="E1946" s="895"/>
      <c r="F1946" s="895" t="s">
        <v>1</v>
      </c>
      <c r="G1946" s="895"/>
      <c r="H1946" s="895"/>
      <c r="I1946" s="895"/>
      <c r="J1946" s="895"/>
      <c r="M1946" s="13" t="s">
        <v>340</v>
      </c>
      <c r="N1946" s="13">
        <f>Y20</f>
        <v>0.64</v>
      </c>
      <c r="O1946" s="13" t="str">
        <f>X20</f>
        <v>g</v>
      </c>
      <c r="P1946" s="13">
        <v>2</v>
      </c>
      <c r="Q1946" s="13">
        <f t="shared" si="499"/>
        <v>1.28</v>
      </c>
      <c r="R1946" s="13">
        <v>0</v>
      </c>
      <c r="S1946" s="13">
        <f t="shared" si="500"/>
        <v>0</v>
      </c>
      <c r="T1946" s="13">
        <f t="shared" si="501"/>
        <v>2</v>
      </c>
      <c r="U1946" s="13">
        <f t="shared" si="502"/>
        <v>1.28</v>
      </c>
      <c r="W1946" s="13" t="s">
        <v>436</v>
      </c>
      <c r="X1946" s="13">
        <f>P31</f>
        <v>2.6</v>
      </c>
      <c r="Y1946" s="13" t="str">
        <f>O31</f>
        <v>g</v>
      </c>
      <c r="Z1946" s="13">
        <v>30</v>
      </c>
      <c r="AA1946" s="13">
        <f t="shared" si="503"/>
        <v>78</v>
      </c>
      <c r="AB1946" s="13">
        <f>AJ19</f>
        <v>0.37</v>
      </c>
      <c r="AC1946" s="13">
        <f t="shared" ref="AC1946:AC1947" si="504">Z1946*AB1946</f>
        <v>11.1</v>
      </c>
      <c r="AD1946" s="13">
        <f t="shared" ref="AD1946:AD1950" si="505">Z1946-AC1946</f>
        <v>18.899999999999999</v>
      </c>
      <c r="AE1946" s="13">
        <f t="shared" ref="AE1946:AE1950" si="506">AA1946+((AC1946*AA1946)/Z1946)</f>
        <v>106.86</v>
      </c>
    </row>
    <row r="1947" spans="3:31" s="29" customFormat="1" x14ac:dyDescent="0.25">
      <c r="C1947" s="896" t="s">
        <v>3</v>
      </c>
      <c r="D1947" s="896"/>
      <c r="E1947" s="896"/>
      <c r="F1947" s="898" t="s">
        <v>190</v>
      </c>
      <c r="G1947" s="898"/>
      <c r="H1947" s="898"/>
      <c r="I1947" s="898"/>
      <c r="J1947" s="898"/>
      <c r="M1947" s="13" t="s">
        <v>461</v>
      </c>
      <c r="N1947" s="13">
        <f>P8</f>
        <v>3.3330000000000002</v>
      </c>
      <c r="O1947" s="13" t="str">
        <f>O8</f>
        <v>g</v>
      </c>
      <c r="P1947" s="13">
        <v>80</v>
      </c>
      <c r="Q1947" s="13">
        <f t="shared" si="499"/>
        <v>266.64</v>
      </c>
      <c r="R1947" s="13">
        <f>AJ6</f>
        <v>0.5</v>
      </c>
      <c r="S1947" s="13">
        <f>P1947*R1947</f>
        <v>40</v>
      </c>
      <c r="T1947" s="13">
        <f t="shared" si="501"/>
        <v>40</v>
      </c>
      <c r="U1947" s="13">
        <f t="shared" si="502"/>
        <v>399.96</v>
      </c>
      <c r="W1947" s="13" t="s">
        <v>429</v>
      </c>
      <c r="X1947" s="13">
        <f>P29</f>
        <v>1.8</v>
      </c>
      <c r="Y1947" s="13" t="str">
        <f>O29</f>
        <v>g</v>
      </c>
      <c r="Z1947" s="13">
        <v>10</v>
      </c>
      <c r="AA1947" s="13">
        <f t="shared" si="503"/>
        <v>18</v>
      </c>
      <c r="AB1947" s="13">
        <f>AJ18</f>
        <v>0.05</v>
      </c>
      <c r="AC1947" s="13">
        <f t="shared" si="504"/>
        <v>0.5</v>
      </c>
      <c r="AD1947" s="13">
        <f t="shared" si="505"/>
        <v>9.5</v>
      </c>
      <c r="AE1947" s="13">
        <f t="shared" si="506"/>
        <v>18.899999999999999</v>
      </c>
    </row>
    <row r="1948" spans="3:31" s="29" customFormat="1" x14ac:dyDescent="0.25">
      <c r="C1948" s="896"/>
      <c r="D1948" s="896"/>
      <c r="E1948" s="896"/>
      <c r="F1948" s="898"/>
      <c r="G1948" s="898"/>
      <c r="H1948" s="898"/>
      <c r="I1948" s="898"/>
      <c r="J1948" s="898"/>
      <c r="M1948" s="13" t="s">
        <v>436</v>
      </c>
      <c r="N1948" s="13">
        <f>P31</f>
        <v>2.6</v>
      </c>
      <c r="O1948" s="13" t="str">
        <f>O31</f>
        <v>g</v>
      </c>
      <c r="P1948" s="13">
        <v>40</v>
      </c>
      <c r="Q1948" s="13">
        <f t="shared" si="499"/>
        <v>104</v>
      </c>
      <c r="R1948" s="13">
        <f>AJ19</f>
        <v>0.37</v>
      </c>
      <c r="S1948" s="13">
        <f t="shared" ref="S1948:S1952" si="507">P1948*R1948</f>
        <v>14.8</v>
      </c>
      <c r="T1948" s="13">
        <f t="shared" si="501"/>
        <v>25.2</v>
      </c>
      <c r="U1948" s="13">
        <f t="shared" si="502"/>
        <v>142.48000000000002</v>
      </c>
      <c r="W1948" s="13" t="s">
        <v>721</v>
      </c>
      <c r="X1948" s="13">
        <f>Y13</f>
        <v>105.4</v>
      </c>
      <c r="Y1948" s="13" t="str">
        <f>X13</f>
        <v>g</v>
      </c>
      <c r="Z1948" s="13">
        <v>5</v>
      </c>
      <c r="AA1948" s="13">
        <f t="shared" si="503"/>
        <v>527</v>
      </c>
      <c r="AB1948" s="13">
        <v>0</v>
      </c>
      <c r="AC1948" s="13">
        <f>Z1948*AB1948</f>
        <v>0</v>
      </c>
      <c r="AD1948" s="13">
        <f t="shared" si="505"/>
        <v>5</v>
      </c>
      <c r="AE1948" s="13">
        <f t="shared" si="506"/>
        <v>527</v>
      </c>
    </row>
    <row r="1949" spans="3:31" s="29" customFormat="1" x14ac:dyDescent="0.25">
      <c r="C1949" s="896"/>
      <c r="D1949" s="896"/>
      <c r="E1949" s="896"/>
      <c r="F1949" s="898"/>
      <c r="G1949" s="898"/>
      <c r="H1949" s="898"/>
      <c r="I1949" s="898"/>
      <c r="J1949" s="898"/>
      <c r="M1949" s="13" t="s">
        <v>638</v>
      </c>
      <c r="N1949" s="13">
        <f>AE1951</f>
        <v>1016.98</v>
      </c>
      <c r="O1949" s="13" t="str">
        <f>AD17</f>
        <v>g</v>
      </c>
      <c r="P1949" s="13">
        <v>40</v>
      </c>
      <c r="Q1949" s="13">
        <f>N1949</f>
        <v>1016.98</v>
      </c>
      <c r="R1949" s="13">
        <v>0</v>
      </c>
      <c r="S1949" s="13">
        <f t="shared" si="507"/>
        <v>0</v>
      </c>
      <c r="T1949" s="13">
        <f t="shared" si="501"/>
        <v>40</v>
      </c>
      <c r="U1949" s="13">
        <f t="shared" si="502"/>
        <v>1016.98</v>
      </c>
      <c r="W1949" s="13" t="s">
        <v>340</v>
      </c>
      <c r="X1949" s="13">
        <f>Y20</f>
        <v>0.64</v>
      </c>
      <c r="Y1949" s="13" t="str">
        <f>X20</f>
        <v>g</v>
      </c>
      <c r="Z1949" s="13">
        <v>1</v>
      </c>
      <c r="AA1949" s="13">
        <f t="shared" si="503"/>
        <v>0.64</v>
      </c>
      <c r="AB1949" s="13">
        <v>0</v>
      </c>
      <c r="AC1949" s="13">
        <f t="shared" ref="AC1949:AC1950" si="508">Z1949*AB1949</f>
        <v>0</v>
      </c>
      <c r="AD1949" s="13">
        <f t="shared" si="505"/>
        <v>1</v>
      </c>
      <c r="AE1949" s="13">
        <f t="shared" si="506"/>
        <v>0.64</v>
      </c>
    </row>
    <row r="1950" spans="3:31" s="29" customFormat="1" x14ac:dyDescent="0.25">
      <c r="C1950" s="896" t="s">
        <v>4</v>
      </c>
      <c r="D1950" s="896"/>
      <c r="E1950" s="896"/>
      <c r="F1950" s="898" t="s">
        <v>15</v>
      </c>
      <c r="G1950" s="898"/>
      <c r="H1950" s="898"/>
      <c r="I1950" s="898"/>
      <c r="J1950" s="898"/>
      <c r="M1950" s="13" t="s">
        <v>542</v>
      </c>
      <c r="N1950" s="13">
        <f>P24</f>
        <v>3.5</v>
      </c>
      <c r="O1950" s="13" t="str">
        <f>O24</f>
        <v>g</v>
      </c>
      <c r="P1950" s="13">
        <v>30</v>
      </c>
      <c r="Q1950" s="13">
        <f t="shared" si="499"/>
        <v>105</v>
      </c>
      <c r="R1950" s="13">
        <f>AJ15</f>
        <v>0.26</v>
      </c>
      <c r="S1950" s="13">
        <f t="shared" si="507"/>
        <v>7.8000000000000007</v>
      </c>
      <c r="T1950" s="13">
        <f t="shared" si="501"/>
        <v>22.2</v>
      </c>
      <c r="U1950" s="13">
        <f t="shared" si="502"/>
        <v>132.30000000000001</v>
      </c>
      <c r="W1950" s="13" t="s">
        <v>546</v>
      </c>
      <c r="X1950" s="13">
        <f>AE3</f>
        <v>49.18</v>
      </c>
      <c r="Y1950" s="13" t="str">
        <f>AD3</f>
        <v>mL</v>
      </c>
      <c r="Z1950" s="13">
        <v>6</v>
      </c>
      <c r="AA1950" s="13">
        <f t="shared" si="503"/>
        <v>295.08</v>
      </c>
      <c r="AB1950" s="13">
        <v>0</v>
      </c>
      <c r="AC1950" s="13">
        <f t="shared" si="508"/>
        <v>0</v>
      </c>
      <c r="AD1950" s="13">
        <f t="shared" si="505"/>
        <v>6</v>
      </c>
      <c r="AE1950" s="13">
        <f t="shared" si="506"/>
        <v>295.08</v>
      </c>
    </row>
    <row r="1951" spans="3:31" s="29" customFormat="1" x14ac:dyDescent="0.25">
      <c r="C1951" s="896"/>
      <c r="D1951" s="896"/>
      <c r="E1951" s="896"/>
      <c r="F1951" s="898"/>
      <c r="G1951" s="898"/>
      <c r="H1951" s="898"/>
      <c r="I1951" s="898"/>
      <c r="J1951" s="898"/>
      <c r="M1951" s="13" t="s">
        <v>543</v>
      </c>
      <c r="N1951" s="13">
        <f>AE15</f>
        <v>51.96</v>
      </c>
      <c r="O1951" s="13" t="str">
        <f>AD15</f>
        <v>mL</v>
      </c>
      <c r="P1951" s="13">
        <v>20</v>
      </c>
      <c r="Q1951" s="13">
        <f t="shared" si="499"/>
        <v>1039.2</v>
      </c>
      <c r="R1951" s="13">
        <v>0</v>
      </c>
      <c r="S1951" s="13">
        <f t="shared" si="507"/>
        <v>0</v>
      </c>
      <c r="T1951" s="13">
        <f t="shared" si="501"/>
        <v>20</v>
      </c>
      <c r="U1951" s="13">
        <f t="shared" si="502"/>
        <v>1039.2</v>
      </c>
      <c r="W1951" s="13" t="s">
        <v>337</v>
      </c>
      <c r="X1951" s="13">
        <f>SUM(X1945:X1950)</f>
        <v>162.12</v>
      </c>
      <c r="Y1951" s="13"/>
      <c r="Z1951" s="13">
        <f>SUM(Z1945:Z1950)</f>
        <v>72</v>
      </c>
      <c r="AA1951" s="13">
        <f>SUM(AA1945:AA1950)</f>
        <v>968.72</v>
      </c>
      <c r="AB1951" s="13"/>
      <c r="AC1951" s="13"/>
      <c r="AD1951" s="13"/>
      <c r="AE1951" s="13">
        <f>SUM(AE1945:AE1950)</f>
        <v>1016.98</v>
      </c>
    </row>
    <row r="1952" spans="3:31" s="29" customFormat="1" x14ac:dyDescent="0.25">
      <c r="C1952" s="896"/>
      <c r="D1952" s="896"/>
      <c r="E1952" s="896"/>
      <c r="F1952" s="898"/>
      <c r="G1952" s="898"/>
      <c r="H1952" s="898"/>
      <c r="I1952" s="898"/>
      <c r="J1952" s="898"/>
      <c r="M1952" s="13" t="s">
        <v>433</v>
      </c>
      <c r="N1952" s="13">
        <f>Y18</f>
        <v>223.57</v>
      </c>
      <c r="O1952" s="13" t="str">
        <f>X18</f>
        <v>g</v>
      </c>
      <c r="P1952" s="13">
        <v>10</v>
      </c>
      <c r="Q1952" s="13">
        <f t="shared" si="499"/>
        <v>2235.6999999999998</v>
      </c>
      <c r="R1952" s="13">
        <v>0</v>
      </c>
      <c r="S1952" s="13">
        <f t="shared" si="507"/>
        <v>0</v>
      </c>
      <c r="T1952" s="13">
        <f t="shared" si="501"/>
        <v>10</v>
      </c>
      <c r="U1952" s="13">
        <f t="shared" si="502"/>
        <v>2235.6999999999998</v>
      </c>
    </row>
    <row r="1953" spans="3:31" s="29" customFormat="1" x14ac:dyDescent="0.25">
      <c r="C1953" s="896" t="s">
        <v>5</v>
      </c>
      <c r="D1953" s="896"/>
      <c r="E1953" s="896"/>
      <c r="F1953" s="898" t="s">
        <v>192</v>
      </c>
      <c r="G1953" s="898"/>
      <c r="H1953" s="898"/>
      <c r="I1953" s="898"/>
      <c r="J1953" s="898"/>
      <c r="M1953" s="13"/>
      <c r="N1953" s="13"/>
      <c r="O1953" s="13"/>
      <c r="P1953" s="13"/>
      <c r="Q1953" s="13"/>
      <c r="R1953" s="13"/>
      <c r="S1953" s="13"/>
      <c r="T1953" s="13"/>
      <c r="U1953" s="13"/>
      <c r="AA1953" s="13" t="s">
        <v>1681</v>
      </c>
      <c r="AB1953" s="13">
        <f>AE1951</f>
        <v>1016.98</v>
      </c>
      <c r="AC1953" s="608" t="s">
        <v>2142</v>
      </c>
      <c r="AD1953" s="608">
        <f>(AB1953*100)/AB1960</f>
        <v>19.232395211254982</v>
      </c>
    </row>
    <row r="1954" spans="3:31" s="29" customFormat="1" x14ac:dyDescent="0.25">
      <c r="C1954" s="896"/>
      <c r="D1954" s="896"/>
      <c r="E1954" s="896"/>
      <c r="F1954" s="898"/>
      <c r="G1954" s="898"/>
      <c r="H1954" s="898"/>
      <c r="I1954" s="898"/>
      <c r="J1954" s="898"/>
      <c r="M1954" s="13" t="s">
        <v>337</v>
      </c>
      <c r="N1954" s="13">
        <f>SUM(N1944:N1953)</f>
        <v>3430.8653984875514</v>
      </c>
      <c r="O1954" s="13"/>
      <c r="P1954" s="13">
        <f>SUM(P1944:P1953)</f>
        <v>372</v>
      </c>
      <c r="Q1954" s="13">
        <f>SUM(Q1944:Q1953)</f>
        <v>9019.0723984875513</v>
      </c>
      <c r="R1954" s="13"/>
      <c r="S1954" s="13"/>
      <c r="T1954" s="13"/>
      <c r="U1954" s="13">
        <f>SUM(U1944:U1953)</f>
        <v>9218.1723984875498</v>
      </c>
      <c r="AA1954" s="13" t="s">
        <v>2326</v>
      </c>
      <c r="AB1954" s="13">
        <f>$AO$26/2</f>
        <v>476.87414947063905</v>
      </c>
    </row>
    <row r="1955" spans="3:31" s="29" customFormat="1" x14ac:dyDescent="0.25">
      <c r="C1955" s="896"/>
      <c r="D1955" s="896"/>
      <c r="E1955" s="896"/>
      <c r="F1955" s="898"/>
      <c r="G1955" s="898"/>
      <c r="H1955" s="898"/>
      <c r="I1955" s="898"/>
      <c r="J1955" s="898"/>
      <c r="AA1955" s="13" t="s">
        <v>2325</v>
      </c>
      <c r="AB1955" s="13">
        <f>$AO$27/4</f>
        <v>18.899999999999999</v>
      </c>
    </row>
    <row r="1956" spans="3:31" s="29" customFormat="1" x14ac:dyDescent="0.25">
      <c r="C1956" s="896" t="s">
        <v>6</v>
      </c>
      <c r="D1956" s="896"/>
      <c r="E1956" s="896"/>
      <c r="F1956" s="898" t="s">
        <v>9</v>
      </c>
      <c r="G1956" s="898"/>
      <c r="H1956" s="898"/>
      <c r="I1956" s="898"/>
      <c r="J1956" s="898"/>
      <c r="Q1956" s="13" t="s">
        <v>1681</v>
      </c>
      <c r="R1956" s="13">
        <f>U1954</f>
        <v>9218.1723984875498</v>
      </c>
      <c r="S1956" s="608" t="s">
        <v>2142</v>
      </c>
      <c r="T1956" s="608">
        <f>(R1956*100)/R1963</f>
        <v>47.779449199206304</v>
      </c>
      <c r="AA1956" s="13" t="s">
        <v>1684</v>
      </c>
      <c r="AB1956" s="13">
        <f>$AO$29</f>
        <v>1547.3435977313275</v>
      </c>
    </row>
    <row r="1957" spans="3:31" s="29" customFormat="1" x14ac:dyDescent="0.25">
      <c r="C1957" s="896"/>
      <c r="D1957" s="896"/>
      <c r="E1957" s="896"/>
      <c r="F1957" s="898"/>
      <c r="G1957" s="898"/>
      <c r="H1957" s="898"/>
      <c r="I1957" s="898"/>
      <c r="J1957" s="898"/>
      <c r="Q1957" s="13" t="s">
        <v>2326</v>
      </c>
      <c r="R1957" s="13">
        <f>$AL$26</f>
        <v>1801.715474357886</v>
      </c>
      <c r="AA1957" s="13" t="s">
        <v>1685</v>
      </c>
      <c r="AB1957" s="13">
        <v>0.6</v>
      </c>
    </row>
    <row r="1958" spans="3:31" s="29" customFormat="1" x14ac:dyDescent="0.25">
      <c r="C1958" s="896"/>
      <c r="D1958" s="896"/>
      <c r="E1958" s="896"/>
      <c r="F1958" s="898"/>
      <c r="G1958" s="898"/>
      <c r="H1958" s="898"/>
      <c r="I1958" s="898"/>
      <c r="J1958" s="898"/>
      <c r="Q1958" s="13" t="s">
        <v>2325</v>
      </c>
      <c r="R1958" s="13">
        <f>$AL$27</f>
        <v>75.599999999999994</v>
      </c>
      <c r="AA1958" s="13" t="s">
        <v>1708</v>
      </c>
      <c r="AB1958" s="13">
        <f>(SUM(AB1953:AB1956)*AB1957)+SUM(AB1953:AB1956)</f>
        <v>4896.1563955231468</v>
      </c>
    </row>
    <row r="1959" spans="3:31" s="29" customFormat="1" x14ac:dyDescent="0.25">
      <c r="C1959" s="896" t="s">
        <v>7</v>
      </c>
      <c r="D1959" s="896"/>
      <c r="E1959" s="896"/>
      <c r="F1959" s="898" t="s">
        <v>637</v>
      </c>
      <c r="G1959" s="898"/>
      <c r="H1959" s="898"/>
      <c r="I1959" s="898"/>
      <c r="J1959" s="898"/>
      <c r="Q1959" s="13" t="s">
        <v>1684</v>
      </c>
      <c r="R1959" s="13">
        <f>$AL$29</f>
        <v>69.543532482306858</v>
      </c>
      <c r="AA1959" s="13" t="s">
        <v>2130</v>
      </c>
      <c r="AB1959" s="13">
        <f>AB1958*0.08</f>
        <v>391.69251164185175</v>
      </c>
    </row>
    <row r="1960" spans="3:31" s="29" customFormat="1" x14ac:dyDescent="0.25">
      <c r="C1960" s="896"/>
      <c r="D1960" s="896"/>
      <c r="E1960" s="896"/>
      <c r="F1960" s="898"/>
      <c r="G1960" s="898"/>
      <c r="H1960" s="898"/>
      <c r="I1960" s="898"/>
      <c r="J1960" s="898"/>
      <c r="Q1960" s="13" t="s">
        <v>1685</v>
      </c>
      <c r="R1960" s="13">
        <v>0.6</v>
      </c>
      <c r="AA1960" s="13" t="s">
        <v>1686</v>
      </c>
      <c r="AB1960" s="13">
        <f>SUM(AB1958+AB1959)</f>
        <v>5287.8489071649983</v>
      </c>
    </row>
    <row r="1961" spans="3:31" s="29" customFormat="1" x14ac:dyDescent="0.25">
      <c r="C1961" s="896"/>
      <c r="D1961" s="896"/>
      <c r="E1961" s="896"/>
      <c r="F1961" s="898"/>
      <c r="G1961" s="898"/>
      <c r="H1961" s="898"/>
      <c r="I1961" s="898"/>
      <c r="J1961" s="898"/>
      <c r="Q1961" s="13" t="s">
        <v>1708</v>
      </c>
      <c r="R1961" s="13">
        <f>(SUM(R1956:R1959)*R1960)+SUM(R1956:R1959)</f>
        <v>17864.050248524389</v>
      </c>
    </row>
    <row r="1962" spans="3:31" s="29" customFormat="1" x14ac:dyDescent="0.25">
      <c r="Q1962" s="13" t="s">
        <v>2130</v>
      </c>
      <c r="R1962" s="13">
        <f>R1961*0.08</f>
        <v>1429.1240198819512</v>
      </c>
    </row>
    <row r="1963" spans="3:31" s="29" customFormat="1" x14ac:dyDescent="0.25">
      <c r="Q1963" s="13" t="s">
        <v>1686</v>
      </c>
      <c r="R1963" s="13">
        <f>SUM(R1961+R1962)</f>
        <v>19293.174268406339</v>
      </c>
    </row>
    <row r="1964" spans="3:31" s="29" customFormat="1" x14ac:dyDescent="0.25"/>
    <row r="1965" spans="3:31" s="29" customFormat="1" x14ac:dyDescent="0.25"/>
    <row r="1966" spans="3:31" s="29" customFormat="1" x14ac:dyDescent="0.25">
      <c r="C1966" s="910" t="s">
        <v>8</v>
      </c>
      <c r="D1966" s="910"/>
      <c r="E1966" s="910"/>
      <c r="F1966" s="910"/>
      <c r="G1966" s="910"/>
      <c r="H1966" s="910"/>
      <c r="I1966" s="910"/>
      <c r="J1966" s="910"/>
    </row>
    <row r="1967" spans="3:31" s="29" customFormat="1" x14ac:dyDescent="0.25">
      <c r="C1967" s="895" t="s">
        <v>0</v>
      </c>
      <c r="D1967" s="895"/>
      <c r="E1967" s="895"/>
      <c r="F1967" s="895" t="s">
        <v>1</v>
      </c>
      <c r="G1967" s="895"/>
      <c r="H1967" s="895"/>
      <c r="I1967" s="895"/>
      <c r="J1967" s="895"/>
    </row>
    <row r="1968" spans="3:31" s="29" customFormat="1" x14ac:dyDescent="0.25">
      <c r="C1968" s="896" t="s">
        <v>2</v>
      </c>
      <c r="D1968" s="896"/>
      <c r="E1968" s="896"/>
      <c r="F1968" s="898" t="s">
        <v>209</v>
      </c>
      <c r="G1968" s="898"/>
      <c r="H1968" s="898"/>
      <c r="I1968" s="898"/>
      <c r="J1968" s="898"/>
      <c r="M1968" s="12" t="s">
        <v>336</v>
      </c>
      <c r="N1968" s="12" t="s">
        <v>174</v>
      </c>
      <c r="O1968" s="12" t="s">
        <v>248</v>
      </c>
      <c r="P1968" s="12" t="s">
        <v>176</v>
      </c>
      <c r="Q1968" s="12" t="s">
        <v>337</v>
      </c>
      <c r="R1968" s="298" t="s">
        <v>1641</v>
      </c>
      <c r="S1968" s="298" t="s">
        <v>1642</v>
      </c>
      <c r="T1968" s="298" t="s">
        <v>1643</v>
      </c>
      <c r="U1968" s="298" t="s">
        <v>1644</v>
      </c>
      <c r="W1968" s="1048" t="s">
        <v>1467</v>
      </c>
      <c r="X1968" s="1048"/>
      <c r="Y1968" s="1048"/>
      <c r="Z1968" s="1048"/>
      <c r="AA1968" s="1048"/>
      <c r="AB1968" s="1048"/>
      <c r="AC1968" s="1048"/>
      <c r="AD1968" s="1048"/>
      <c r="AE1968" s="1048"/>
    </row>
    <row r="1969" spans="3:31" s="29" customFormat="1" x14ac:dyDescent="0.25">
      <c r="C1969" s="896"/>
      <c r="D1969" s="896"/>
      <c r="E1969" s="896"/>
      <c r="F1969" s="898"/>
      <c r="G1969" s="898"/>
      <c r="H1969" s="898"/>
      <c r="I1969" s="898"/>
      <c r="J1969" s="898"/>
      <c r="M1969" s="13" t="s">
        <v>708</v>
      </c>
      <c r="N1969" s="13">
        <f>E14</f>
        <v>2099.0723984875517</v>
      </c>
      <c r="O1969" s="13" t="str">
        <f>D14</f>
        <v>g</v>
      </c>
      <c r="P1969" s="13">
        <v>90</v>
      </c>
      <c r="Q1969" s="13">
        <f>N1969</f>
        <v>2099.0723984875517</v>
      </c>
      <c r="R1969" s="13">
        <v>0</v>
      </c>
      <c r="S1969" s="13">
        <f>P1969*R1969</f>
        <v>0</v>
      </c>
      <c r="T1969" s="13">
        <f>P1969-S1969</f>
        <v>90</v>
      </c>
      <c r="U1969" s="13">
        <f>Q1969+((S1969*Q1969)/P1969)</f>
        <v>2099.0723984875517</v>
      </c>
      <c r="W1969" s="12" t="s">
        <v>336</v>
      </c>
      <c r="X1969" s="12" t="s">
        <v>174</v>
      </c>
      <c r="Y1969" s="12" t="s">
        <v>248</v>
      </c>
      <c r="Z1969" s="12" t="s">
        <v>176</v>
      </c>
      <c r="AA1969" s="12" t="s">
        <v>337</v>
      </c>
      <c r="AB1969" s="298" t="s">
        <v>1641</v>
      </c>
      <c r="AC1969" s="298" t="s">
        <v>1642</v>
      </c>
      <c r="AD1969" s="298" t="s">
        <v>1643</v>
      </c>
      <c r="AE1969" s="298" t="s">
        <v>1644</v>
      </c>
    </row>
    <row r="1970" spans="3:31" s="29" customFormat="1" x14ac:dyDescent="0.25">
      <c r="C1970" s="896"/>
      <c r="D1970" s="896"/>
      <c r="E1970" s="896"/>
      <c r="F1970" s="898"/>
      <c r="G1970" s="898"/>
      <c r="H1970" s="898"/>
      <c r="I1970" s="898"/>
      <c r="J1970" s="898"/>
      <c r="M1970" s="13" t="s">
        <v>340</v>
      </c>
      <c r="N1970" s="13">
        <f>Y20</f>
        <v>0.64</v>
      </c>
      <c r="O1970" s="13" t="str">
        <f>X20</f>
        <v>g</v>
      </c>
      <c r="P1970" s="13">
        <v>2</v>
      </c>
      <c r="Q1970" s="13">
        <f>N1970*P1970</f>
        <v>1.28</v>
      </c>
      <c r="R1970" s="13">
        <v>0</v>
      </c>
      <c r="S1970" s="13">
        <f t="shared" ref="S1970:S1971" si="509">P1970*R1970</f>
        <v>0</v>
      </c>
      <c r="T1970" s="13">
        <f t="shared" ref="T1970:T1973" si="510">P1970-S1970</f>
        <v>2</v>
      </c>
      <c r="U1970" s="13">
        <f t="shared" ref="U1970:U1973" si="511">Q1970+((S1970*Q1970)/P1970)</f>
        <v>1.28</v>
      </c>
      <c r="W1970" s="13" t="s">
        <v>442</v>
      </c>
      <c r="X1970" s="13">
        <f>Y3</f>
        <v>30</v>
      </c>
      <c r="Y1970" s="13" t="str">
        <f>X3</f>
        <v>g</v>
      </c>
      <c r="Z1970" s="13">
        <v>15</v>
      </c>
      <c r="AA1970" s="13">
        <f>X1970*Z1970</f>
        <v>450</v>
      </c>
      <c r="AB1970" s="13">
        <v>0</v>
      </c>
      <c r="AC1970" s="13">
        <f>Z1970*AB1970</f>
        <v>0</v>
      </c>
      <c r="AD1970" s="13">
        <f>Z1970-AC1970</f>
        <v>15</v>
      </c>
      <c r="AE1970" s="13">
        <f>AA1970+((AC1970*AA1970)/Z1970)</f>
        <v>450</v>
      </c>
    </row>
    <row r="1971" spans="3:31" s="29" customFormat="1" x14ac:dyDescent="0.25">
      <c r="C1971" s="895" t="s">
        <v>0</v>
      </c>
      <c r="D1971" s="895"/>
      <c r="E1971" s="895"/>
      <c r="F1971" s="895" t="s">
        <v>1</v>
      </c>
      <c r="G1971" s="895"/>
      <c r="H1971" s="895"/>
      <c r="I1971" s="895"/>
      <c r="J1971" s="895"/>
      <c r="M1971" s="13" t="s">
        <v>483</v>
      </c>
      <c r="N1971" s="13">
        <f>AE1977</f>
        <v>5620.16</v>
      </c>
      <c r="O1971" s="13" t="s">
        <v>1388</v>
      </c>
      <c r="P1971" s="13">
        <v>120</v>
      </c>
      <c r="Q1971" s="13">
        <f>N1971</f>
        <v>5620.16</v>
      </c>
      <c r="R1971" s="13">
        <v>0</v>
      </c>
      <c r="S1971" s="13">
        <f t="shared" si="509"/>
        <v>0</v>
      </c>
      <c r="T1971" s="13">
        <f t="shared" si="510"/>
        <v>120</v>
      </c>
      <c r="U1971" s="13">
        <f t="shared" si="511"/>
        <v>5620.16</v>
      </c>
      <c r="W1971" s="13" t="s">
        <v>482</v>
      </c>
      <c r="X1971" s="13">
        <f>P18</f>
        <v>5</v>
      </c>
      <c r="Y1971" s="13" t="str">
        <f>O18</f>
        <v>g</v>
      </c>
      <c r="Z1971" s="13">
        <v>10</v>
      </c>
      <c r="AA1971" s="13">
        <f t="shared" ref="AA1971:AA1976" si="512">X1971*Z1971</f>
        <v>50</v>
      </c>
      <c r="AB1971" s="13">
        <f>AJ11</f>
        <v>0.23</v>
      </c>
      <c r="AC1971" s="13">
        <f t="shared" ref="AC1971:AC1972" si="513">Z1971*AB1971</f>
        <v>2.3000000000000003</v>
      </c>
      <c r="AD1971" s="13">
        <f t="shared" ref="AD1971:AD1976" si="514">Z1971-AC1971</f>
        <v>7.6999999999999993</v>
      </c>
      <c r="AE1971" s="13">
        <f t="shared" ref="AE1971:AE1976" si="515">AA1971+((AC1971*AA1971)/Z1971)</f>
        <v>61.5</v>
      </c>
    </row>
    <row r="1972" spans="3:31" s="29" customFormat="1" x14ac:dyDescent="0.25">
      <c r="C1972" s="896" t="s">
        <v>3</v>
      </c>
      <c r="D1972" s="896"/>
      <c r="E1972" s="896"/>
      <c r="F1972" s="897" t="s">
        <v>210</v>
      </c>
      <c r="G1972" s="898"/>
      <c r="H1972" s="898"/>
      <c r="I1972" s="898"/>
      <c r="J1972" s="898"/>
      <c r="M1972" s="13" t="s">
        <v>436</v>
      </c>
      <c r="N1972" s="13">
        <f>P31</f>
        <v>2.6</v>
      </c>
      <c r="O1972" s="13" t="str">
        <f>O31</f>
        <v>g</v>
      </c>
      <c r="P1972" s="13">
        <v>40</v>
      </c>
      <c r="Q1972" s="13">
        <f>N1972*P1972</f>
        <v>104</v>
      </c>
      <c r="R1972" s="13">
        <f>AJ19</f>
        <v>0.37</v>
      </c>
      <c r="S1972" s="13">
        <f>P1972*R1972</f>
        <v>14.8</v>
      </c>
      <c r="T1972" s="13">
        <f t="shared" si="510"/>
        <v>25.2</v>
      </c>
      <c r="U1972" s="13">
        <f t="shared" si="511"/>
        <v>142.48000000000002</v>
      </c>
      <c r="W1972" s="13" t="s">
        <v>547</v>
      </c>
      <c r="X1972" s="13">
        <f>V13</f>
        <v>81.900000000000006</v>
      </c>
      <c r="Y1972" s="13" t="str">
        <f>U13</f>
        <v>g</v>
      </c>
      <c r="Z1972" s="13">
        <v>15</v>
      </c>
      <c r="AA1972" s="13">
        <f t="shared" si="512"/>
        <v>1228.5</v>
      </c>
      <c r="AB1972" s="13">
        <v>0</v>
      </c>
      <c r="AC1972" s="13">
        <f t="shared" si="513"/>
        <v>0</v>
      </c>
      <c r="AD1972" s="13">
        <f t="shared" si="514"/>
        <v>15</v>
      </c>
      <c r="AE1972" s="13">
        <f t="shared" si="515"/>
        <v>1228.5</v>
      </c>
    </row>
    <row r="1973" spans="3:31" s="29" customFormat="1" x14ac:dyDescent="0.25">
      <c r="C1973" s="896"/>
      <c r="D1973" s="896"/>
      <c r="E1973" s="896"/>
      <c r="F1973" s="898"/>
      <c r="G1973" s="898"/>
      <c r="H1973" s="898"/>
      <c r="I1973" s="898"/>
      <c r="J1973" s="898"/>
      <c r="M1973" s="13" t="s">
        <v>461</v>
      </c>
      <c r="N1973" s="13">
        <f>P8</f>
        <v>3.3330000000000002</v>
      </c>
      <c r="O1973" s="13" t="str">
        <f>O8</f>
        <v>g</v>
      </c>
      <c r="P1973" s="13">
        <v>80</v>
      </c>
      <c r="Q1973" s="13">
        <f>N1973*P1973</f>
        <v>266.64</v>
      </c>
      <c r="R1973" s="13">
        <f>AJ6</f>
        <v>0.5</v>
      </c>
      <c r="S1973" s="13">
        <f t="shared" ref="S1973" si="516">P1973*R1973</f>
        <v>40</v>
      </c>
      <c r="T1973" s="13">
        <f t="shared" si="510"/>
        <v>40</v>
      </c>
      <c r="U1973" s="13">
        <f t="shared" si="511"/>
        <v>399.96</v>
      </c>
      <c r="W1973" s="13" t="s">
        <v>340</v>
      </c>
      <c r="X1973" s="13">
        <f>Y20</f>
        <v>0.64</v>
      </c>
      <c r="Y1973" s="13" t="str">
        <f>X20</f>
        <v>g</v>
      </c>
      <c r="Z1973" s="13">
        <v>1</v>
      </c>
      <c r="AA1973" s="13">
        <f t="shared" si="512"/>
        <v>0.64</v>
      </c>
      <c r="AB1973" s="13">
        <v>0</v>
      </c>
      <c r="AC1973" s="13">
        <f>Z1973*AB1973</f>
        <v>0</v>
      </c>
      <c r="AD1973" s="13">
        <f t="shared" si="514"/>
        <v>1</v>
      </c>
      <c r="AE1973" s="13">
        <f t="shared" si="515"/>
        <v>0.64</v>
      </c>
    </row>
    <row r="1974" spans="3:31" s="29" customFormat="1" x14ac:dyDescent="0.25">
      <c r="C1974" s="896"/>
      <c r="D1974" s="896"/>
      <c r="E1974" s="896"/>
      <c r="F1974" s="898"/>
      <c r="G1974" s="898"/>
      <c r="H1974" s="898"/>
      <c r="I1974" s="898"/>
      <c r="J1974" s="898"/>
      <c r="M1974" s="13"/>
      <c r="N1974" s="13"/>
      <c r="O1974" s="13"/>
      <c r="P1974" s="13"/>
      <c r="Q1974" s="13"/>
      <c r="R1974" s="13"/>
      <c r="S1974" s="13"/>
      <c r="T1974" s="13"/>
      <c r="U1974" s="13"/>
      <c r="W1974" s="13" t="s">
        <v>346</v>
      </c>
      <c r="X1974" s="13">
        <f>P3</f>
        <v>7</v>
      </c>
      <c r="Y1974" s="13" t="str">
        <f>O3</f>
        <v>g</v>
      </c>
      <c r="Z1974" s="13">
        <v>4</v>
      </c>
      <c r="AA1974" s="13">
        <f t="shared" si="512"/>
        <v>28</v>
      </c>
      <c r="AB1974" s="13">
        <f>AJ2</f>
        <v>0.23</v>
      </c>
      <c r="AC1974" s="13">
        <f t="shared" ref="AC1974:AC1976" si="517">Z1974*AB1974</f>
        <v>0.92</v>
      </c>
      <c r="AD1974" s="13">
        <f t="shared" si="514"/>
        <v>3.08</v>
      </c>
      <c r="AE1974" s="13">
        <f t="shared" si="515"/>
        <v>34.44</v>
      </c>
    </row>
    <row r="1975" spans="3:31" s="29" customFormat="1" x14ac:dyDescent="0.25">
      <c r="C1975" s="896" t="s">
        <v>4</v>
      </c>
      <c r="D1975" s="896"/>
      <c r="E1975" s="896"/>
      <c r="F1975" s="898" t="s">
        <v>15</v>
      </c>
      <c r="G1975" s="898"/>
      <c r="H1975" s="898"/>
      <c r="I1975" s="898"/>
      <c r="J1975" s="898"/>
      <c r="M1975" s="13"/>
      <c r="N1975" s="13"/>
      <c r="O1975" s="13"/>
      <c r="P1975" s="13"/>
      <c r="Q1975" s="13"/>
      <c r="R1975" s="13"/>
      <c r="S1975" s="13"/>
      <c r="T1975" s="13"/>
      <c r="U1975" s="13"/>
      <c r="W1975" s="13" t="s">
        <v>433</v>
      </c>
      <c r="X1975" s="13">
        <f>Y18</f>
        <v>223.57</v>
      </c>
      <c r="Y1975" s="13" t="str">
        <f>X18</f>
        <v>g</v>
      </c>
      <c r="Z1975" s="13">
        <v>4</v>
      </c>
      <c r="AA1975" s="13">
        <f t="shared" si="512"/>
        <v>894.28</v>
      </c>
      <c r="AB1975" s="13">
        <v>0</v>
      </c>
      <c r="AC1975" s="13">
        <f t="shared" si="517"/>
        <v>0</v>
      </c>
      <c r="AD1975" s="13">
        <f t="shared" si="514"/>
        <v>4</v>
      </c>
      <c r="AE1975" s="13">
        <f t="shared" si="515"/>
        <v>894.28</v>
      </c>
    </row>
    <row r="1976" spans="3:31" s="29" customFormat="1" x14ac:dyDescent="0.25">
      <c r="C1976" s="896"/>
      <c r="D1976" s="896"/>
      <c r="E1976" s="896"/>
      <c r="F1976" s="898"/>
      <c r="G1976" s="898"/>
      <c r="H1976" s="898"/>
      <c r="I1976" s="898"/>
      <c r="J1976" s="898"/>
      <c r="M1976" s="13"/>
      <c r="N1976" s="13"/>
      <c r="O1976" s="13"/>
      <c r="P1976" s="13"/>
      <c r="Q1976" s="13"/>
      <c r="R1976" s="13"/>
      <c r="S1976" s="13"/>
      <c r="T1976" s="13"/>
      <c r="U1976" s="13"/>
      <c r="W1976" s="13" t="s">
        <v>546</v>
      </c>
      <c r="X1976" s="13">
        <f>AE3</f>
        <v>49.18</v>
      </c>
      <c r="Y1976" s="13" t="str">
        <f>AD3</f>
        <v>mL</v>
      </c>
      <c r="Z1976" s="13">
        <v>60</v>
      </c>
      <c r="AA1976" s="13">
        <f t="shared" si="512"/>
        <v>2950.8</v>
      </c>
      <c r="AB1976" s="13">
        <v>0</v>
      </c>
      <c r="AC1976" s="13">
        <f t="shared" si="517"/>
        <v>0</v>
      </c>
      <c r="AD1976" s="13">
        <f t="shared" si="514"/>
        <v>60</v>
      </c>
      <c r="AE1976" s="13">
        <f t="shared" si="515"/>
        <v>2950.8</v>
      </c>
    </row>
    <row r="1977" spans="3:31" s="29" customFormat="1" x14ac:dyDescent="0.25">
      <c r="C1977" s="896"/>
      <c r="D1977" s="896"/>
      <c r="E1977" s="896"/>
      <c r="F1977" s="898"/>
      <c r="G1977" s="898"/>
      <c r="H1977" s="898"/>
      <c r="I1977" s="898"/>
      <c r="J1977" s="898"/>
      <c r="M1977" s="13" t="s">
        <v>337</v>
      </c>
      <c r="N1977" s="13">
        <f>SUM(N1969:N1976)</f>
        <v>7725.8053984875514</v>
      </c>
      <c r="O1977" s="13"/>
      <c r="P1977" s="13">
        <f>SUM(P1969:P1976)</f>
        <v>332</v>
      </c>
      <c r="Q1977" s="13">
        <f>SUM(Q1969:Q1976)</f>
        <v>8091.1523984875521</v>
      </c>
      <c r="R1977" s="13"/>
      <c r="S1977" s="13"/>
      <c r="T1977" s="13"/>
      <c r="U1977" s="13">
        <f>SUM(U1969:U1976)</f>
        <v>8262.9523984875505</v>
      </c>
      <c r="W1977" s="13" t="s">
        <v>337</v>
      </c>
      <c r="X1977" s="13">
        <f>SUM(X1970:X1976)</f>
        <v>397.29</v>
      </c>
      <c r="Y1977" s="13"/>
      <c r="Z1977" s="13">
        <f>SUM(Z1970:Z1976)</f>
        <v>109</v>
      </c>
      <c r="AA1977" s="13">
        <f>SUM(AA1970:AA1976)</f>
        <v>5602.22</v>
      </c>
      <c r="AB1977" s="13"/>
      <c r="AC1977" s="13"/>
      <c r="AD1977" s="13"/>
      <c r="AE1977" s="13">
        <f>SUM(AE1970:AE1976)</f>
        <v>5620.16</v>
      </c>
    </row>
    <row r="1978" spans="3:31" s="29" customFormat="1" x14ac:dyDescent="0.25">
      <c r="C1978" s="896" t="s">
        <v>5</v>
      </c>
      <c r="D1978" s="896"/>
      <c r="E1978" s="896"/>
      <c r="F1978" s="898" t="s">
        <v>211</v>
      </c>
      <c r="G1978" s="898"/>
      <c r="H1978" s="898"/>
      <c r="I1978" s="898"/>
      <c r="J1978" s="898"/>
    </row>
    <row r="1979" spans="3:31" s="29" customFormat="1" x14ac:dyDescent="0.25">
      <c r="C1979" s="896"/>
      <c r="D1979" s="896"/>
      <c r="E1979" s="896"/>
      <c r="F1979" s="898"/>
      <c r="G1979" s="898"/>
      <c r="H1979" s="898"/>
      <c r="I1979" s="898"/>
      <c r="J1979" s="898"/>
      <c r="Q1979" s="13" t="s">
        <v>1681</v>
      </c>
      <c r="R1979" s="13">
        <f>U1977</f>
        <v>8262.9523984875505</v>
      </c>
      <c r="S1979" s="608" t="s">
        <v>2142</v>
      </c>
      <c r="T1979" s="608">
        <f>(R1979*100)/R1986</f>
        <v>46.835352453590673</v>
      </c>
      <c r="AA1979" s="13" t="s">
        <v>1681</v>
      </c>
      <c r="AB1979" s="13">
        <f>AE1977</f>
        <v>5620.16</v>
      </c>
      <c r="AC1979" s="608" t="s">
        <v>2142</v>
      </c>
      <c r="AD1979" s="608">
        <f>(AB1979*100)/AB1986</f>
        <v>42.441465841361861</v>
      </c>
    </row>
    <row r="1980" spans="3:31" s="29" customFormat="1" x14ac:dyDescent="0.25">
      <c r="C1980" s="896"/>
      <c r="D1980" s="896"/>
      <c r="E1980" s="896"/>
      <c r="F1980" s="898"/>
      <c r="G1980" s="898"/>
      <c r="H1980" s="898"/>
      <c r="I1980" s="898"/>
      <c r="J1980" s="898"/>
      <c r="Q1980" s="13" t="s">
        <v>2326</v>
      </c>
      <c r="R1980" s="13">
        <f>$AL$26</f>
        <v>1801.715474357886</v>
      </c>
      <c r="AA1980" s="13" t="s">
        <v>2326</v>
      </c>
      <c r="AB1980" s="13">
        <f>$AO$26/2</f>
        <v>476.87414947063905</v>
      </c>
    </row>
    <row r="1981" spans="3:31" s="29" customFormat="1" x14ac:dyDescent="0.25">
      <c r="C1981" s="896" t="s">
        <v>6</v>
      </c>
      <c r="D1981" s="896"/>
      <c r="E1981" s="896"/>
      <c r="F1981" s="898" t="s">
        <v>9</v>
      </c>
      <c r="G1981" s="898"/>
      <c r="H1981" s="898"/>
      <c r="I1981" s="898"/>
      <c r="J1981" s="898"/>
      <c r="Q1981" s="13" t="s">
        <v>2325</v>
      </c>
      <c r="R1981" s="13">
        <f>$AL$27</f>
        <v>75.599999999999994</v>
      </c>
      <c r="AA1981" s="13" t="s">
        <v>2325</v>
      </c>
      <c r="AB1981" s="13">
        <f>$AO$27/4</f>
        <v>18.899999999999999</v>
      </c>
    </row>
    <row r="1982" spans="3:31" s="29" customFormat="1" x14ac:dyDescent="0.25">
      <c r="C1982" s="896"/>
      <c r="D1982" s="896"/>
      <c r="E1982" s="896"/>
      <c r="F1982" s="898"/>
      <c r="G1982" s="898"/>
      <c r="H1982" s="898"/>
      <c r="I1982" s="898"/>
      <c r="J1982" s="898"/>
      <c r="Q1982" s="13" t="s">
        <v>1684</v>
      </c>
      <c r="R1982" s="13">
        <f>$AL$29</f>
        <v>69.543532482306858</v>
      </c>
      <c r="AA1982" s="13" t="s">
        <v>1684</v>
      </c>
      <c r="AB1982" s="13">
        <f>$AO$29</f>
        <v>1547.3435977313275</v>
      </c>
    </row>
    <row r="1983" spans="3:31" s="29" customFormat="1" x14ac:dyDescent="0.25">
      <c r="C1983" s="896"/>
      <c r="D1983" s="896"/>
      <c r="E1983" s="896"/>
      <c r="F1983" s="898"/>
      <c r="G1983" s="898"/>
      <c r="H1983" s="898"/>
      <c r="I1983" s="898"/>
      <c r="J1983" s="898"/>
      <c r="Q1983" s="13" t="s">
        <v>1685</v>
      </c>
      <c r="R1983" s="13">
        <v>0.6</v>
      </c>
      <c r="AA1983" s="13" t="s">
        <v>1685</v>
      </c>
      <c r="AB1983" s="13">
        <v>0.6</v>
      </c>
    </row>
    <row r="1984" spans="3:31" s="29" customFormat="1" x14ac:dyDescent="0.25">
      <c r="C1984" s="896" t="s">
        <v>7</v>
      </c>
      <c r="D1984" s="896"/>
      <c r="E1984" s="896"/>
      <c r="F1984" s="898" t="s">
        <v>639</v>
      </c>
      <c r="G1984" s="898"/>
      <c r="H1984" s="898"/>
      <c r="I1984" s="898"/>
      <c r="J1984" s="898"/>
      <c r="Q1984" s="13" t="s">
        <v>1708</v>
      </c>
      <c r="R1984" s="13">
        <f>(SUM(R1979:R1982)*R1983)+SUM(R1979:R1982)</f>
        <v>16335.69824852439</v>
      </c>
      <c r="AA1984" s="13" t="s">
        <v>1708</v>
      </c>
      <c r="AB1984" s="13">
        <f>(SUM(AB1979:AB1982)*AB1983)+SUM(AB1979:AB1982)</f>
        <v>12261.244395523147</v>
      </c>
    </row>
    <row r="1985" spans="3:28" s="29" customFormat="1" x14ac:dyDescent="0.25">
      <c r="C1985" s="896"/>
      <c r="D1985" s="896"/>
      <c r="E1985" s="896"/>
      <c r="F1985" s="898"/>
      <c r="G1985" s="898"/>
      <c r="H1985" s="898"/>
      <c r="I1985" s="898"/>
      <c r="J1985" s="898"/>
      <c r="Q1985" s="13" t="s">
        <v>2130</v>
      </c>
      <c r="R1985" s="13">
        <f>R1984*0.08</f>
        <v>1306.8558598819511</v>
      </c>
      <c r="AA1985" s="13" t="s">
        <v>2130</v>
      </c>
      <c r="AB1985" s="13">
        <f>AB1984*0.08</f>
        <v>980.89955164185176</v>
      </c>
    </row>
    <row r="1986" spans="3:28" s="29" customFormat="1" x14ac:dyDescent="0.25">
      <c r="C1986" s="896"/>
      <c r="D1986" s="896"/>
      <c r="E1986" s="896"/>
      <c r="F1986" s="898"/>
      <c r="G1986" s="898"/>
      <c r="H1986" s="898"/>
      <c r="I1986" s="898"/>
      <c r="J1986" s="898"/>
      <c r="Q1986" s="13" t="s">
        <v>1686</v>
      </c>
      <c r="R1986" s="13">
        <f>SUM(R1984+R1985)</f>
        <v>17642.554108406341</v>
      </c>
      <c r="T1986" s="30"/>
      <c r="U1986" s="30"/>
      <c r="V1986" s="30"/>
      <c r="W1986" s="30"/>
      <c r="X1986" s="30"/>
      <c r="AA1986" s="13" t="s">
        <v>1686</v>
      </c>
      <c r="AB1986" s="13">
        <f>SUM(AB1984+AB1985)</f>
        <v>13242.143947164997</v>
      </c>
    </row>
    <row r="1987" spans="3:28" s="29" customFormat="1" x14ac:dyDescent="0.25">
      <c r="T1987" s="30"/>
      <c r="U1987" s="30"/>
      <c r="V1987" s="30"/>
      <c r="W1987" s="30"/>
      <c r="X1987" s="30"/>
    </row>
    <row r="1988" spans="3:28" s="29" customFormat="1" x14ac:dyDescent="0.25">
      <c r="T1988" s="30"/>
      <c r="U1988" s="30"/>
      <c r="V1988" s="30"/>
      <c r="W1988" s="30"/>
      <c r="X1988" s="30"/>
    </row>
    <row r="1989" spans="3:28" s="29" customFormat="1" x14ac:dyDescent="0.25">
      <c r="C1989" s="910" t="s">
        <v>8</v>
      </c>
      <c r="D1989" s="910"/>
      <c r="E1989" s="910"/>
      <c r="F1989" s="910"/>
      <c r="G1989" s="910"/>
      <c r="H1989" s="910"/>
      <c r="I1989" s="910"/>
      <c r="J1989" s="910"/>
      <c r="T1989" s="30"/>
      <c r="U1989" s="30"/>
      <c r="V1989" s="30"/>
      <c r="W1989" s="30"/>
      <c r="X1989" s="30"/>
    </row>
    <row r="1990" spans="3:28" s="29" customFormat="1" x14ac:dyDescent="0.25">
      <c r="C1990" s="895" t="s">
        <v>0</v>
      </c>
      <c r="D1990" s="895"/>
      <c r="E1990" s="895"/>
      <c r="F1990" s="895" t="s">
        <v>1</v>
      </c>
      <c r="G1990" s="895"/>
      <c r="H1990" s="895"/>
      <c r="I1990" s="895"/>
      <c r="J1990" s="895"/>
      <c r="T1990" s="30"/>
      <c r="U1990" s="30"/>
      <c r="V1990" s="30"/>
      <c r="W1990" s="30"/>
      <c r="X1990" s="30"/>
    </row>
    <row r="1991" spans="3:28" s="29" customFormat="1" x14ac:dyDescent="0.25">
      <c r="C1991" s="896" t="s">
        <v>2</v>
      </c>
      <c r="D1991" s="896"/>
      <c r="E1991" s="896"/>
      <c r="F1991" s="898" t="s">
        <v>333</v>
      </c>
      <c r="G1991" s="898"/>
      <c r="H1991" s="898"/>
      <c r="I1991" s="898"/>
      <c r="J1991" s="898"/>
      <c r="M1991" s="12" t="s">
        <v>336</v>
      </c>
      <c r="N1991" s="12" t="s">
        <v>174</v>
      </c>
      <c r="O1991" s="12" t="s">
        <v>248</v>
      </c>
      <c r="P1991" s="12" t="s">
        <v>176</v>
      </c>
      <c r="Q1991" s="12" t="s">
        <v>337</v>
      </c>
      <c r="R1991" s="298" t="s">
        <v>1641</v>
      </c>
      <c r="S1991" s="298" t="s">
        <v>1642</v>
      </c>
      <c r="T1991" s="298" t="s">
        <v>1643</v>
      </c>
      <c r="U1991" s="298" t="s">
        <v>1644</v>
      </c>
      <c r="V1991" s="103"/>
      <c r="W1991" s="103"/>
      <c r="X1991" s="103"/>
    </row>
    <row r="1992" spans="3:28" s="29" customFormat="1" x14ac:dyDescent="0.25">
      <c r="C1992" s="896"/>
      <c r="D1992" s="896"/>
      <c r="E1992" s="896"/>
      <c r="F1992" s="898"/>
      <c r="G1992" s="898"/>
      <c r="H1992" s="898"/>
      <c r="I1992" s="898"/>
      <c r="J1992" s="898"/>
      <c r="M1992" s="13" t="s">
        <v>344</v>
      </c>
      <c r="N1992" s="13">
        <f>F5</f>
        <v>2073.8723984875514</v>
      </c>
      <c r="O1992" s="13" t="str">
        <f>D5</f>
        <v>g</v>
      </c>
      <c r="P1992" s="13">
        <v>100</v>
      </c>
      <c r="Q1992" s="13">
        <f>N1992</f>
        <v>2073.8723984875514</v>
      </c>
      <c r="R1992" s="13">
        <v>0</v>
      </c>
      <c r="S1992" s="13">
        <f>P1992*R1992</f>
        <v>0</v>
      </c>
      <c r="T1992" s="13">
        <f>P1992-S1992</f>
        <v>100</v>
      </c>
      <c r="U1992" s="13">
        <f>Q1992+((S1992*Q1992)/P1992)</f>
        <v>2073.8723984875514</v>
      </c>
      <c r="V1992" s="104"/>
      <c r="W1992" s="104"/>
      <c r="X1992" s="104"/>
    </row>
    <row r="1993" spans="3:28" s="29" customFormat="1" x14ac:dyDescent="0.25">
      <c r="C1993" s="896"/>
      <c r="D1993" s="896"/>
      <c r="E1993" s="896"/>
      <c r="F1993" s="898"/>
      <c r="G1993" s="898"/>
      <c r="H1993" s="898"/>
      <c r="I1993" s="898"/>
      <c r="J1993" s="898"/>
      <c r="M1993" s="13" t="s">
        <v>340</v>
      </c>
      <c r="N1993" s="13">
        <f>Y20</f>
        <v>0.64</v>
      </c>
      <c r="O1993" s="13" t="str">
        <f>X20</f>
        <v>g</v>
      </c>
      <c r="P1993" s="13">
        <v>2</v>
      </c>
      <c r="Q1993" s="13">
        <f t="shared" ref="Q1993:Q1999" si="518">N1993*P1993</f>
        <v>1.28</v>
      </c>
      <c r="R1993" s="13">
        <v>0</v>
      </c>
      <c r="S1993" s="13">
        <f t="shared" ref="S1993:S1994" si="519">P1993*R1993</f>
        <v>0</v>
      </c>
      <c r="T1993" s="13">
        <f t="shared" ref="T1993:T1999" si="520">P1993-S1993</f>
        <v>2</v>
      </c>
      <c r="U1993" s="13">
        <f t="shared" ref="U1993:U1999" si="521">Q1993+((S1993*Q1993)/P1993)</f>
        <v>1.28</v>
      </c>
      <c r="V1993" s="30"/>
      <c r="W1993" s="30"/>
      <c r="X1993" s="30"/>
    </row>
    <row r="1994" spans="3:28" s="29" customFormat="1" x14ac:dyDescent="0.25">
      <c r="C1994" s="895" t="s">
        <v>0</v>
      </c>
      <c r="D1994" s="895"/>
      <c r="E1994" s="895"/>
      <c r="F1994" s="895" t="s">
        <v>1</v>
      </c>
      <c r="G1994" s="895"/>
      <c r="H1994" s="895"/>
      <c r="I1994" s="895"/>
      <c r="J1994" s="895"/>
      <c r="M1994" s="13" t="s">
        <v>436</v>
      </c>
      <c r="N1994" s="13">
        <f>P31</f>
        <v>2.6</v>
      </c>
      <c r="O1994" s="13" t="str">
        <f>O31</f>
        <v>g</v>
      </c>
      <c r="P1994" s="13">
        <v>70</v>
      </c>
      <c r="Q1994" s="13">
        <f t="shared" si="518"/>
        <v>182</v>
      </c>
      <c r="R1994" s="13">
        <f>AJ19</f>
        <v>0.37</v>
      </c>
      <c r="S1994" s="13">
        <f t="shared" si="519"/>
        <v>25.9</v>
      </c>
      <c r="T1994" s="13">
        <f t="shared" si="520"/>
        <v>44.1</v>
      </c>
      <c r="U1994" s="13">
        <f t="shared" si="521"/>
        <v>249.34</v>
      </c>
      <c r="V1994" s="30"/>
      <c r="W1994" s="30"/>
      <c r="X1994" s="30"/>
    </row>
    <row r="1995" spans="3:28" s="29" customFormat="1" x14ac:dyDescent="0.25">
      <c r="C1995" s="896" t="s">
        <v>3</v>
      </c>
      <c r="D1995" s="896"/>
      <c r="E1995" s="896"/>
      <c r="F1995" s="897" t="s">
        <v>333</v>
      </c>
      <c r="G1995" s="898"/>
      <c r="H1995" s="898"/>
      <c r="I1995" s="898"/>
      <c r="J1995" s="898"/>
      <c r="M1995" s="13" t="s">
        <v>435</v>
      </c>
      <c r="N1995" s="13">
        <f>P5</f>
        <v>2.5</v>
      </c>
      <c r="O1995" s="13" t="str">
        <f>O5</f>
        <v>g</v>
      </c>
      <c r="P1995" s="13">
        <v>60</v>
      </c>
      <c r="Q1995" s="13">
        <f t="shared" si="518"/>
        <v>150</v>
      </c>
      <c r="R1995" s="13">
        <f>AJ3</f>
        <v>0.37</v>
      </c>
      <c r="S1995" s="13">
        <f>P1995*R1995</f>
        <v>22.2</v>
      </c>
      <c r="T1995" s="13">
        <f t="shared" si="520"/>
        <v>37.799999999999997</v>
      </c>
      <c r="U1995" s="13">
        <f t="shared" si="521"/>
        <v>205.5</v>
      </c>
      <c r="V1995" s="30"/>
      <c r="W1995" s="30"/>
      <c r="X1995" s="30"/>
    </row>
    <row r="1996" spans="3:28" s="29" customFormat="1" x14ac:dyDescent="0.25">
      <c r="C1996" s="896"/>
      <c r="D1996" s="896"/>
      <c r="E1996" s="896"/>
      <c r="F1996" s="898"/>
      <c r="G1996" s="898"/>
      <c r="H1996" s="898"/>
      <c r="I1996" s="898"/>
      <c r="J1996" s="898"/>
      <c r="M1996" s="13" t="s">
        <v>490</v>
      </c>
      <c r="N1996" s="13">
        <f>P6</f>
        <v>7.8</v>
      </c>
      <c r="O1996" s="13" t="str">
        <f>O6</f>
        <v>g</v>
      </c>
      <c r="P1996" s="13">
        <v>70</v>
      </c>
      <c r="Q1996" s="13">
        <f t="shared" si="518"/>
        <v>546</v>
      </c>
      <c r="R1996" s="13">
        <f>AJ4</f>
        <v>0.55000000000000004</v>
      </c>
      <c r="S1996" s="13">
        <f t="shared" ref="S1996:S1999" si="522">P1996*R1996</f>
        <v>38.5</v>
      </c>
      <c r="T1996" s="13">
        <f t="shared" si="520"/>
        <v>31.5</v>
      </c>
      <c r="U1996" s="13">
        <f t="shared" si="521"/>
        <v>846.3</v>
      </c>
      <c r="V1996" s="30"/>
      <c r="W1996" s="30"/>
      <c r="X1996" s="30"/>
    </row>
    <row r="1997" spans="3:28" s="29" customFormat="1" x14ac:dyDescent="0.25">
      <c r="C1997" s="896"/>
      <c r="D1997" s="896"/>
      <c r="E1997" s="896"/>
      <c r="F1997" s="898"/>
      <c r="G1997" s="898"/>
      <c r="H1997" s="898"/>
      <c r="I1997" s="898"/>
      <c r="J1997" s="898"/>
      <c r="M1997" s="13" t="s">
        <v>510</v>
      </c>
      <c r="N1997" s="13">
        <f>P21</f>
        <v>1.6</v>
      </c>
      <c r="O1997" s="13" t="str">
        <f>O21</f>
        <v>g</v>
      </c>
      <c r="P1997" s="13">
        <v>55</v>
      </c>
      <c r="Q1997" s="13">
        <f t="shared" si="518"/>
        <v>88</v>
      </c>
      <c r="R1997" s="13">
        <f>AJ12</f>
        <v>0</v>
      </c>
      <c r="S1997" s="13">
        <f t="shared" si="522"/>
        <v>0</v>
      </c>
      <c r="T1997" s="13">
        <f t="shared" si="520"/>
        <v>55</v>
      </c>
      <c r="U1997" s="13">
        <f t="shared" si="521"/>
        <v>88</v>
      </c>
      <c r="V1997" s="30"/>
      <c r="W1997" s="30"/>
      <c r="X1997" s="30"/>
    </row>
    <row r="1998" spans="3:28" s="29" customFormat="1" x14ac:dyDescent="0.25">
      <c r="C1998" s="896" t="s">
        <v>4</v>
      </c>
      <c r="D1998" s="896"/>
      <c r="E1998" s="896"/>
      <c r="F1998" s="898" t="s">
        <v>15</v>
      </c>
      <c r="G1998" s="898"/>
      <c r="H1998" s="898"/>
      <c r="I1998" s="898"/>
      <c r="J1998" s="898"/>
      <c r="M1998" s="13" t="s">
        <v>430</v>
      </c>
      <c r="N1998" s="13">
        <f>P10</f>
        <v>0.7</v>
      </c>
      <c r="O1998" s="13" t="str">
        <f>O10</f>
        <v>g</v>
      </c>
      <c r="P1998" s="13">
        <v>30</v>
      </c>
      <c r="Q1998" s="13">
        <f t="shared" si="518"/>
        <v>21</v>
      </c>
      <c r="R1998" s="13">
        <f>AJ8</f>
        <v>0.59</v>
      </c>
      <c r="S1998" s="13">
        <f t="shared" si="522"/>
        <v>17.7</v>
      </c>
      <c r="T1998" s="13">
        <f t="shared" si="520"/>
        <v>12.3</v>
      </c>
      <c r="U1998" s="13">
        <f t="shared" si="521"/>
        <v>33.39</v>
      </c>
      <c r="V1998" s="30"/>
      <c r="W1998" s="30"/>
      <c r="X1998" s="30"/>
    </row>
    <row r="1999" spans="3:28" s="29" customFormat="1" x14ac:dyDescent="0.25">
      <c r="C1999" s="896"/>
      <c r="D1999" s="896"/>
      <c r="E1999" s="896"/>
      <c r="F1999" s="898"/>
      <c r="G1999" s="898"/>
      <c r="H1999" s="898"/>
      <c r="I1999" s="898"/>
      <c r="J1999" s="898"/>
      <c r="M1999" s="13" t="s">
        <v>511</v>
      </c>
      <c r="N1999" s="13">
        <f>P15</f>
        <v>8</v>
      </c>
      <c r="O1999" s="13" t="str">
        <f>O15</f>
        <v>g</v>
      </c>
      <c r="P1999" s="13">
        <v>20</v>
      </c>
      <c r="Q1999" s="13">
        <f t="shared" si="518"/>
        <v>160</v>
      </c>
      <c r="R1999" s="13">
        <v>0</v>
      </c>
      <c r="S1999" s="13">
        <f t="shared" si="522"/>
        <v>0</v>
      </c>
      <c r="T1999" s="13">
        <f t="shared" si="520"/>
        <v>20</v>
      </c>
      <c r="U1999" s="13">
        <f t="shared" si="521"/>
        <v>160</v>
      </c>
      <c r="V1999" s="30"/>
      <c r="W1999" s="30"/>
      <c r="X1999" s="30"/>
    </row>
    <row r="2000" spans="3:28" s="29" customFormat="1" x14ac:dyDescent="0.25">
      <c r="C2000" s="896"/>
      <c r="D2000" s="896"/>
      <c r="E2000" s="896"/>
      <c r="F2000" s="898"/>
      <c r="G2000" s="898"/>
      <c r="H2000" s="898"/>
      <c r="I2000" s="898"/>
      <c r="J2000" s="898"/>
      <c r="M2000" s="13"/>
      <c r="N2000" s="13"/>
      <c r="O2000" s="13"/>
      <c r="P2000" s="13"/>
      <c r="Q2000" s="13"/>
      <c r="R2000" s="13"/>
      <c r="S2000" s="13"/>
      <c r="T2000" s="13"/>
      <c r="U2000" s="13"/>
      <c r="V2000" s="30"/>
      <c r="W2000" s="30"/>
      <c r="X2000" s="30"/>
    </row>
    <row r="2001" spans="3:24" s="29" customFormat="1" x14ac:dyDescent="0.25">
      <c r="C2001" s="896" t="s">
        <v>5</v>
      </c>
      <c r="D2001" s="896"/>
      <c r="E2001" s="896"/>
      <c r="F2001" s="898" t="s">
        <v>129</v>
      </c>
      <c r="G2001" s="898"/>
      <c r="H2001" s="898"/>
      <c r="I2001" s="898"/>
      <c r="J2001" s="898"/>
      <c r="M2001" s="13" t="s">
        <v>337</v>
      </c>
      <c r="N2001" s="13">
        <f>SUM(N1992:N2000)</f>
        <v>2097.7123984875511</v>
      </c>
      <c r="O2001" s="13"/>
      <c r="P2001" s="13">
        <f>SUM(P1992:P2000)</f>
        <v>407</v>
      </c>
      <c r="Q2001" s="13">
        <f>SUM(Q1992:Q2000)</f>
        <v>3222.1523984875516</v>
      </c>
      <c r="R2001" s="13"/>
      <c r="S2001" s="13"/>
      <c r="T2001" s="13"/>
      <c r="U2001" s="13">
        <f>SUM(U1992:U2000)</f>
        <v>3657.6823984875514</v>
      </c>
      <c r="V2001" s="30"/>
      <c r="W2001" s="30"/>
      <c r="X2001" s="30"/>
    </row>
    <row r="2002" spans="3:24" s="29" customFormat="1" x14ac:dyDescent="0.25">
      <c r="C2002" s="896"/>
      <c r="D2002" s="896"/>
      <c r="E2002" s="896"/>
      <c r="F2002" s="898"/>
      <c r="G2002" s="898"/>
      <c r="H2002" s="898"/>
      <c r="I2002" s="898"/>
      <c r="J2002" s="898"/>
    </row>
    <row r="2003" spans="3:24" s="29" customFormat="1" x14ac:dyDescent="0.25">
      <c r="C2003" s="896"/>
      <c r="D2003" s="896"/>
      <c r="E2003" s="896"/>
      <c r="F2003" s="898"/>
      <c r="G2003" s="898"/>
      <c r="H2003" s="898"/>
      <c r="I2003" s="898"/>
      <c r="J2003" s="898"/>
      <c r="Q2003" s="13" t="s">
        <v>1681</v>
      </c>
      <c r="R2003" s="13">
        <f>U2001</f>
        <v>3657.6823984875514</v>
      </c>
      <c r="S2003" s="608" t="s">
        <v>2142</v>
      </c>
      <c r="T2003" s="608">
        <f>(R2003*100)/R2010</f>
        <v>37.767842146092782</v>
      </c>
    </row>
    <row r="2004" spans="3:24" s="29" customFormat="1" x14ac:dyDescent="0.25">
      <c r="C2004" s="896" t="s">
        <v>6</v>
      </c>
      <c r="D2004" s="896"/>
      <c r="E2004" s="896"/>
      <c r="F2004" s="898" t="s">
        <v>9</v>
      </c>
      <c r="G2004" s="898"/>
      <c r="H2004" s="898"/>
      <c r="I2004" s="898"/>
      <c r="J2004" s="898"/>
      <c r="Q2004" s="13" t="s">
        <v>2326</v>
      </c>
      <c r="R2004" s="13">
        <f>$AL$26</f>
        <v>1801.715474357886</v>
      </c>
    </row>
    <row r="2005" spans="3:24" s="29" customFormat="1" x14ac:dyDescent="0.25">
      <c r="C2005" s="896"/>
      <c r="D2005" s="896"/>
      <c r="E2005" s="896"/>
      <c r="F2005" s="898"/>
      <c r="G2005" s="898"/>
      <c r="H2005" s="898"/>
      <c r="I2005" s="898"/>
      <c r="J2005" s="898"/>
      <c r="Q2005" s="13" t="s">
        <v>2325</v>
      </c>
      <c r="R2005" s="13">
        <f>$AL$27</f>
        <v>75.599999999999994</v>
      </c>
    </row>
    <row r="2006" spans="3:24" s="29" customFormat="1" x14ac:dyDescent="0.25">
      <c r="C2006" s="896"/>
      <c r="D2006" s="896"/>
      <c r="E2006" s="896"/>
      <c r="F2006" s="898"/>
      <c r="G2006" s="898"/>
      <c r="H2006" s="898"/>
      <c r="I2006" s="898"/>
      <c r="J2006" s="898"/>
      <c r="Q2006" s="13" t="s">
        <v>1684</v>
      </c>
      <c r="R2006" s="13">
        <f>$AL$29</f>
        <v>69.543532482306858</v>
      </c>
    </row>
    <row r="2007" spans="3:24" s="29" customFormat="1" x14ac:dyDescent="0.25">
      <c r="C2007" s="896" t="s">
        <v>7</v>
      </c>
      <c r="D2007" s="896"/>
      <c r="E2007" s="896"/>
      <c r="F2007" s="898" t="s">
        <v>212</v>
      </c>
      <c r="G2007" s="898"/>
      <c r="H2007" s="898"/>
      <c r="I2007" s="898"/>
      <c r="J2007" s="898"/>
      <c r="Q2007" s="13" t="s">
        <v>1685</v>
      </c>
      <c r="R2007" s="13">
        <v>0.6</v>
      </c>
    </row>
    <row r="2008" spans="3:24" s="29" customFormat="1" x14ac:dyDescent="0.25">
      <c r="C2008" s="896"/>
      <c r="D2008" s="896"/>
      <c r="E2008" s="896"/>
      <c r="F2008" s="898"/>
      <c r="G2008" s="898"/>
      <c r="H2008" s="898"/>
      <c r="I2008" s="898"/>
      <c r="J2008" s="898"/>
      <c r="Q2008" s="13" t="s">
        <v>1708</v>
      </c>
      <c r="R2008" s="13">
        <f>(SUM(R2003:R2006)*R2007)+SUM(R2003:R2006)</f>
        <v>8967.2662485243909</v>
      </c>
    </row>
    <row r="2009" spans="3:24" s="29" customFormat="1" x14ac:dyDescent="0.25">
      <c r="C2009" s="896"/>
      <c r="D2009" s="896"/>
      <c r="E2009" s="896"/>
      <c r="F2009" s="898"/>
      <c r="G2009" s="898"/>
      <c r="H2009" s="898"/>
      <c r="I2009" s="898"/>
      <c r="J2009" s="898"/>
      <c r="Q2009" s="13" t="s">
        <v>2130</v>
      </c>
      <c r="R2009" s="13">
        <f>R2008*0.08</f>
        <v>717.38129988195124</v>
      </c>
    </row>
    <row r="2010" spans="3:24" s="29" customFormat="1" x14ac:dyDescent="0.25">
      <c r="C2010" s="106"/>
      <c r="D2010" s="106"/>
      <c r="E2010" s="106"/>
      <c r="F2010" s="107"/>
      <c r="G2010" s="107"/>
      <c r="H2010" s="107"/>
      <c r="I2010" s="107"/>
      <c r="J2010" s="107"/>
      <c r="Q2010" s="13" t="s">
        <v>1686</v>
      </c>
      <c r="R2010" s="13">
        <f>SUM(R2008+R2009)</f>
        <v>9684.6475484063412</v>
      </c>
    </row>
    <row r="2011" spans="3:24" s="29" customFormat="1" x14ac:dyDescent="0.25"/>
    <row r="2012" spans="3:24" s="29" customFormat="1" x14ac:dyDescent="0.25">
      <c r="C2012" s="910" t="s">
        <v>8</v>
      </c>
      <c r="D2012" s="910"/>
      <c r="E2012" s="910"/>
      <c r="F2012" s="910"/>
      <c r="G2012" s="910"/>
      <c r="H2012" s="910"/>
      <c r="I2012" s="910"/>
      <c r="J2012" s="910"/>
      <c r="T2012" s="30"/>
      <c r="U2012" s="30"/>
      <c r="V2012" s="30"/>
      <c r="W2012" s="30"/>
      <c r="X2012" s="30"/>
    </row>
    <row r="2013" spans="3:24" s="29" customFormat="1" x14ac:dyDescent="0.25">
      <c r="C2013" s="895" t="s">
        <v>0</v>
      </c>
      <c r="D2013" s="895"/>
      <c r="E2013" s="895"/>
      <c r="F2013" s="895" t="s">
        <v>1</v>
      </c>
      <c r="G2013" s="895"/>
      <c r="H2013" s="895"/>
      <c r="I2013" s="895"/>
      <c r="J2013" s="895"/>
      <c r="T2013" s="30"/>
      <c r="U2013" s="30"/>
      <c r="V2013" s="30"/>
      <c r="W2013" s="30"/>
      <c r="X2013" s="30"/>
    </row>
    <row r="2014" spans="3:24" s="29" customFormat="1" x14ac:dyDescent="0.25">
      <c r="C2014" s="896" t="s">
        <v>2</v>
      </c>
      <c r="D2014" s="896"/>
      <c r="E2014" s="896"/>
      <c r="F2014" s="898" t="s">
        <v>662</v>
      </c>
      <c r="G2014" s="898"/>
      <c r="H2014" s="898"/>
      <c r="I2014" s="898"/>
      <c r="J2014" s="898"/>
      <c r="M2014" s="12" t="s">
        <v>336</v>
      </c>
      <c r="N2014" s="12" t="s">
        <v>174</v>
      </c>
      <c r="O2014" s="12" t="s">
        <v>248</v>
      </c>
      <c r="P2014" s="12" t="s">
        <v>176</v>
      </c>
      <c r="Q2014" s="12" t="s">
        <v>337</v>
      </c>
      <c r="R2014" s="298" t="s">
        <v>1641</v>
      </c>
      <c r="S2014" s="298" t="s">
        <v>1642</v>
      </c>
      <c r="T2014" s="298" t="s">
        <v>1643</v>
      </c>
      <c r="U2014" s="298" t="s">
        <v>1644</v>
      </c>
      <c r="V2014" s="103"/>
      <c r="W2014" s="103"/>
      <c r="X2014" s="103"/>
    </row>
    <row r="2015" spans="3:24" s="29" customFormat="1" x14ac:dyDescent="0.25">
      <c r="C2015" s="896"/>
      <c r="D2015" s="896"/>
      <c r="E2015" s="896"/>
      <c r="F2015" s="898"/>
      <c r="G2015" s="898"/>
      <c r="H2015" s="898"/>
      <c r="I2015" s="898"/>
      <c r="J2015" s="898"/>
      <c r="M2015" s="13" t="s">
        <v>344</v>
      </c>
      <c r="N2015" s="13">
        <f>F11</f>
        <v>2073.8723984875514</v>
      </c>
      <c r="O2015" s="13" t="str">
        <f>D11</f>
        <v>g</v>
      </c>
      <c r="P2015" s="13">
        <v>100</v>
      </c>
      <c r="Q2015" s="13">
        <f>N2015</f>
        <v>2073.8723984875514</v>
      </c>
      <c r="R2015" s="13">
        <v>0</v>
      </c>
      <c r="S2015" s="13">
        <f>P2015*R2015</f>
        <v>0</v>
      </c>
      <c r="T2015" s="13">
        <f>P2015-S2015</f>
        <v>100</v>
      </c>
      <c r="U2015" s="13">
        <f>Q2015+((S2015*Q2015)/P2015)</f>
        <v>2073.8723984875514</v>
      </c>
      <c r="V2015" s="104"/>
      <c r="W2015" s="104"/>
      <c r="X2015" s="104"/>
    </row>
    <row r="2016" spans="3:24" s="29" customFormat="1" x14ac:dyDescent="0.25">
      <c r="C2016" s="896"/>
      <c r="D2016" s="896"/>
      <c r="E2016" s="896"/>
      <c r="F2016" s="898"/>
      <c r="G2016" s="898"/>
      <c r="H2016" s="898"/>
      <c r="I2016" s="898"/>
      <c r="J2016" s="898"/>
      <c r="M2016" s="13" t="s">
        <v>340</v>
      </c>
      <c r="N2016" s="13">
        <f>Y20</f>
        <v>0.64</v>
      </c>
      <c r="O2016" s="13" t="str">
        <f>X20</f>
        <v>g</v>
      </c>
      <c r="P2016" s="13">
        <v>2</v>
      </c>
      <c r="Q2016" s="13">
        <f t="shared" ref="Q2016:Q2022" si="523">N2016*P2016</f>
        <v>1.28</v>
      </c>
      <c r="R2016" s="13">
        <v>0</v>
      </c>
      <c r="S2016" s="13">
        <f t="shared" ref="S2016:S2017" si="524">P2016*R2016</f>
        <v>0</v>
      </c>
      <c r="T2016" s="13">
        <f t="shared" ref="T2016:T2022" si="525">P2016-S2016</f>
        <v>2</v>
      </c>
      <c r="U2016" s="13">
        <f t="shared" ref="U2016:U2022" si="526">Q2016+((S2016*Q2016)/P2016)</f>
        <v>1.28</v>
      </c>
      <c r="V2016" s="30"/>
      <c r="W2016" s="30"/>
      <c r="X2016" s="30"/>
    </row>
    <row r="2017" spans="3:24" s="29" customFormat="1" x14ac:dyDescent="0.25">
      <c r="C2017" s="895" t="s">
        <v>0</v>
      </c>
      <c r="D2017" s="895"/>
      <c r="E2017" s="895"/>
      <c r="F2017" s="895" t="s">
        <v>1</v>
      </c>
      <c r="G2017" s="895"/>
      <c r="H2017" s="895"/>
      <c r="I2017" s="895"/>
      <c r="J2017" s="895"/>
      <c r="M2017" s="13" t="s">
        <v>665</v>
      </c>
      <c r="N2017" s="13">
        <f>P20</f>
        <v>4</v>
      </c>
      <c r="O2017" s="13" t="str">
        <f>O20</f>
        <v>g</v>
      </c>
      <c r="P2017" s="13">
        <v>70</v>
      </c>
      <c r="Q2017" s="13">
        <f t="shared" si="523"/>
        <v>280</v>
      </c>
      <c r="R2017" s="13">
        <v>0</v>
      </c>
      <c r="S2017" s="13">
        <f t="shared" si="524"/>
        <v>0</v>
      </c>
      <c r="T2017" s="13">
        <f t="shared" si="525"/>
        <v>70</v>
      </c>
      <c r="U2017" s="13">
        <f t="shared" si="526"/>
        <v>280</v>
      </c>
      <c r="V2017" s="30"/>
      <c r="W2017" s="30"/>
      <c r="X2017" s="30"/>
    </row>
    <row r="2018" spans="3:24" s="29" customFormat="1" x14ac:dyDescent="0.25">
      <c r="C2018" s="896" t="s">
        <v>3</v>
      </c>
      <c r="D2018" s="896"/>
      <c r="E2018" s="896"/>
      <c r="F2018" s="897" t="s">
        <v>663</v>
      </c>
      <c r="G2018" s="898"/>
      <c r="H2018" s="898"/>
      <c r="I2018" s="898"/>
      <c r="J2018" s="898"/>
      <c r="M2018" s="13" t="s">
        <v>508</v>
      </c>
      <c r="N2018" s="13">
        <f>P22</f>
        <v>3.4</v>
      </c>
      <c r="O2018" s="13" t="str">
        <f>O22</f>
        <v>g</v>
      </c>
      <c r="P2018" s="13">
        <v>70</v>
      </c>
      <c r="Q2018" s="13">
        <f t="shared" si="523"/>
        <v>238</v>
      </c>
      <c r="R2018" s="13">
        <f>AJ13</f>
        <v>0.15</v>
      </c>
      <c r="S2018" s="13">
        <f>P2018*R2018</f>
        <v>10.5</v>
      </c>
      <c r="T2018" s="13">
        <f t="shared" si="525"/>
        <v>59.5</v>
      </c>
      <c r="U2018" s="13">
        <f t="shared" si="526"/>
        <v>273.7</v>
      </c>
      <c r="V2018" s="30"/>
      <c r="W2018" s="30"/>
      <c r="X2018" s="30"/>
    </row>
    <row r="2019" spans="3:24" s="29" customFormat="1" x14ac:dyDescent="0.25">
      <c r="C2019" s="896"/>
      <c r="D2019" s="896"/>
      <c r="E2019" s="896"/>
      <c r="F2019" s="898"/>
      <c r="G2019" s="898"/>
      <c r="H2019" s="898"/>
      <c r="I2019" s="898"/>
      <c r="J2019" s="898"/>
      <c r="M2019" s="13" t="s">
        <v>436</v>
      </c>
      <c r="N2019" s="13">
        <f>P31</f>
        <v>2.6</v>
      </c>
      <c r="O2019" s="13" t="str">
        <f>O31</f>
        <v>g</v>
      </c>
      <c r="P2019" s="13">
        <v>80</v>
      </c>
      <c r="Q2019" s="13">
        <f t="shared" si="523"/>
        <v>208</v>
      </c>
      <c r="R2019" s="13">
        <f>AJ19</f>
        <v>0.37</v>
      </c>
      <c r="S2019" s="13">
        <f t="shared" ref="S2019:S2022" si="527">P2019*R2019</f>
        <v>29.6</v>
      </c>
      <c r="T2019" s="13">
        <f t="shared" si="525"/>
        <v>50.4</v>
      </c>
      <c r="U2019" s="13">
        <f t="shared" si="526"/>
        <v>284.96000000000004</v>
      </c>
      <c r="V2019" s="30"/>
      <c r="W2019" s="30"/>
      <c r="X2019" s="30"/>
    </row>
    <row r="2020" spans="3:24" s="29" customFormat="1" x14ac:dyDescent="0.25">
      <c r="C2020" s="896"/>
      <c r="D2020" s="896"/>
      <c r="E2020" s="896"/>
      <c r="F2020" s="898"/>
      <c r="G2020" s="898"/>
      <c r="H2020" s="898"/>
      <c r="I2020" s="898"/>
      <c r="J2020" s="898"/>
      <c r="M2020" s="13" t="s">
        <v>510</v>
      </c>
      <c r="N2020" s="13">
        <f>P21</f>
        <v>1.6</v>
      </c>
      <c r="O2020" s="13" t="str">
        <f>O21</f>
        <v>g</v>
      </c>
      <c r="P2020" s="13">
        <v>70</v>
      </c>
      <c r="Q2020" s="13">
        <f t="shared" si="523"/>
        <v>112</v>
      </c>
      <c r="R2020" s="13">
        <f>AJ12</f>
        <v>0</v>
      </c>
      <c r="S2020" s="13">
        <f t="shared" si="527"/>
        <v>0</v>
      </c>
      <c r="T2020" s="13">
        <f t="shared" si="525"/>
        <v>70</v>
      </c>
      <c r="U2020" s="13">
        <f t="shared" si="526"/>
        <v>112</v>
      </c>
      <c r="V2020" s="30"/>
      <c r="W2020" s="30"/>
      <c r="X2020" s="30"/>
    </row>
    <row r="2021" spans="3:24" s="29" customFormat="1" x14ac:dyDescent="0.25">
      <c r="C2021" s="896" t="s">
        <v>4</v>
      </c>
      <c r="D2021" s="896"/>
      <c r="E2021" s="896"/>
      <c r="F2021" s="898" t="s">
        <v>15</v>
      </c>
      <c r="G2021" s="898"/>
      <c r="H2021" s="898"/>
      <c r="I2021" s="898"/>
      <c r="J2021" s="898"/>
      <c r="M2021" s="13" t="s">
        <v>430</v>
      </c>
      <c r="N2021" s="13">
        <f>P11</f>
        <v>1.4</v>
      </c>
      <c r="O2021" s="13" t="str">
        <f>O11</f>
        <v>g</v>
      </c>
      <c r="P2021" s="13">
        <v>30</v>
      </c>
      <c r="Q2021" s="13">
        <f t="shared" si="523"/>
        <v>42</v>
      </c>
      <c r="R2021" s="13">
        <f>AJ7</f>
        <v>0.15</v>
      </c>
      <c r="S2021" s="13">
        <f t="shared" si="527"/>
        <v>4.5</v>
      </c>
      <c r="T2021" s="13">
        <f t="shared" si="525"/>
        <v>25.5</v>
      </c>
      <c r="U2021" s="13">
        <f t="shared" si="526"/>
        <v>48.3</v>
      </c>
      <c r="V2021" s="30"/>
      <c r="W2021" s="30"/>
      <c r="X2021" s="30"/>
    </row>
    <row r="2022" spans="3:24" s="29" customFormat="1" ht="15.75" customHeight="1" x14ac:dyDescent="0.25">
      <c r="C2022" s="896"/>
      <c r="D2022" s="896"/>
      <c r="E2022" s="896"/>
      <c r="F2022" s="898"/>
      <c r="G2022" s="898"/>
      <c r="H2022" s="898"/>
      <c r="I2022" s="898"/>
      <c r="J2022" s="898"/>
      <c r="M2022" s="13" t="s">
        <v>482</v>
      </c>
      <c r="N2022" s="13">
        <f>P18</f>
        <v>5</v>
      </c>
      <c r="O2022" s="13" t="str">
        <f>O18</f>
        <v>g</v>
      </c>
      <c r="P2022" s="13">
        <v>80</v>
      </c>
      <c r="Q2022" s="13">
        <f t="shared" si="523"/>
        <v>400</v>
      </c>
      <c r="R2022" s="13">
        <f>AJ11</f>
        <v>0.23</v>
      </c>
      <c r="S2022" s="13">
        <f t="shared" si="527"/>
        <v>18.400000000000002</v>
      </c>
      <c r="T2022" s="13">
        <f t="shared" si="525"/>
        <v>61.599999999999994</v>
      </c>
      <c r="U2022" s="13">
        <f t="shared" si="526"/>
        <v>492</v>
      </c>
      <c r="V2022" s="30"/>
      <c r="W2022" s="30"/>
      <c r="X2022" s="30"/>
    </row>
    <row r="2023" spans="3:24" s="29" customFormat="1" x14ac:dyDescent="0.25">
      <c r="C2023" s="896"/>
      <c r="D2023" s="896"/>
      <c r="E2023" s="896"/>
      <c r="F2023" s="898"/>
      <c r="G2023" s="898"/>
      <c r="H2023" s="898"/>
      <c r="I2023" s="898"/>
      <c r="J2023" s="898"/>
      <c r="M2023" s="13"/>
      <c r="N2023" s="13"/>
      <c r="O2023" s="13"/>
      <c r="P2023" s="13"/>
      <c r="Q2023" s="13"/>
      <c r="R2023" s="13"/>
      <c r="S2023" s="13"/>
      <c r="T2023" s="13"/>
      <c r="U2023" s="13"/>
      <c r="V2023" s="30"/>
      <c r="W2023" s="30"/>
      <c r="X2023" s="30"/>
    </row>
    <row r="2024" spans="3:24" s="29" customFormat="1" x14ac:dyDescent="0.25">
      <c r="C2024" s="896" t="s">
        <v>5</v>
      </c>
      <c r="D2024" s="896"/>
      <c r="E2024" s="896"/>
      <c r="F2024" s="898" t="s">
        <v>129</v>
      </c>
      <c r="G2024" s="898"/>
      <c r="H2024" s="898"/>
      <c r="I2024" s="898"/>
      <c r="J2024" s="898"/>
      <c r="M2024" s="13" t="s">
        <v>337</v>
      </c>
      <c r="N2024" s="13">
        <f>SUM(N2015:N2023)</f>
        <v>2092.5123984875513</v>
      </c>
      <c r="O2024" s="13"/>
      <c r="P2024" s="13">
        <f>SUM(P2015:P2023)</f>
        <v>502</v>
      </c>
      <c r="Q2024" s="13">
        <f>SUM(Q2015:Q2023)</f>
        <v>3355.1523984875516</v>
      </c>
      <c r="R2024" s="13"/>
      <c r="S2024" s="13"/>
      <c r="T2024" s="13"/>
      <c r="U2024" s="13">
        <f>SUM(U2015:U2023)</f>
        <v>3566.1123984875517</v>
      </c>
      <c r="V2024" s="30"/>
      <c r="W2024" s="30"/>
      <c r="X2024" s="30"/>
    </row>
    <row r="2025" spans="3:24" s="29" customFormat="1" x14ac:dyDescent="0.25">
      <c r="C2025" s="896"/>
      <c r="D2025" s="896"/>
      <c r="E2025" s="896"/>
      <c r="F2025" s="898"/>
      <c r="G2025" s="898"/>
      <c r="H2025" s="898"/>
      <c r="I2025" s="898"/>
      <c r="J2025" s="898"/>
    </row>
    <row r="2026" spans="3:24" s="29" customFormat="1" x14ac:dyDescent="0.25">
      <c r="C2026" s="896"/>
      <c r="D2026" s="896"/>
      <c r="E2026" s="896"/>
      <c r="F2026" s="898"/>
      <c r="G2026" s="898"/>
      <c r="H2026" s="898"/>
      <c r="I2026" s="898"/>
      <c r="J2026" s="898"/>
      <c r="Q2026" s="13" t="s">
        <v>1681</v>
      </c>
      <c r="R2026" s="13">
        <f>U2024</f>
        <v>3566.1123984875517</v>
      </c>
      <c r="S2026" s="608" t="s">
        <v>2142</v>
      </c>
      <c r="T2026" s="608">
        <f>(R2026*100)/R2033</f>
        <v>37.433940811556894</v>
      </c>
    </row>
    <row r="2027" spans="3:24" s="29" customFormat="1" x14ac:dyDescent="0.25">
      <c r="C2027" s="896" t="s">
        <v>6</v>
      </c>
      <c r="D2027" s="896"/>
      <c r="E2027" s="896"/>
      <c r="F2027" s="898" t="s">
        <v>9</v>
      </c>
      <c r="G2027" s="898"/>
      <c r="H2027" s="898"/>
      <c r="I2027" s="898"/>
      <c r="J2027" s="898"/>
      <c r="Q2027" s="13" t="s">
        <v>2326</v>
      </c>
      <c r="R2027" s="13">
        <f>$AL$26</f>
        <v>1801.715474357886</v>
      </c>
    </row>
    <row r="2028" spans="3:24" s="29" customFormat="1" x14ac:dyDescent="0.25">
      <c r="C2028" s="896"/>
      <c r="D2028" s="896"/>
      <c r="E2028" s="896"/>
      <c r="F2028" s="898"/>
      <c r="G2028" s="898"/>
      <c r="H2028" s="898"/>
      <c r="I2028" s="898"/>
      <c r="J2028" s="898"/>
      <c r="Q2028" s="13" t="s">
        <v>2325</v>
      </c>
      <c r="R2028" s="13">
        <f>$AL$27</f>
        <v>75.599999999999994</v>
      </c>
    </row>
    <row r="2029" spans="3:24" s="29" customFormat="1" x14ac:dyDescent="0.25">
      <c r="C2029" s="896"/>
      <c r="D2029" s="896"/>
      <c r="E2029" s="896"/>
      <c r="F2029" s="898"/>
      <c r="G2029" s="898"/>
      <c r="H2029" s="898"/>
      <c r="I2029" s="898"/>
      <c r="J2029" s="898"/>
      <c r="Q2029" s="13" t="s">
        <v>1684</v>
      </c>
      <c r="R2029" s="13">
        <f>$AL$29</f>
        <v>69.543532482306858</v>
      </c>
    </row>
    <row r="2030" spans="3:24" s="29" customFormat="1" x14ac:dyDescent="0.25">
      <c r="C2030" s="896" t="s">
        <v>7</v>
      </c>
      <c r="D2030" s="896"/>
      <c r="E2030" s="896"/>
      <c r="F2030" s="898" t="s">
        <v>664</v>
      </c>
      <c r="G2030" s="898"/>
      <c r="H2030" s="898"/>
      <c r="I2030" s="898"/>
      <c r="J2030" s="898"/>
      <c r="Q2030" s="13" t="s">
        <v>1685</v>
      </c>
      <c r="R2030" s="13">
        <v>0.6</v>
      </c>
    </row>
    <row r="2031" spans="3:24" s="29" customFormat="1" x14ac:dyDescent="0.25">
      <c r="C2031" s="896"/>
      <c r="D2031" s="896"/>
      <c r="E2031" s="896"/>
      <c r="F2031" s="898"/>
      <c r="G2031" s="898"/>
      <c r="H2031" s="898"/>
      <c r="I2031" s="898"/>
      <c r="J2031" s="898"/>
      <c r="Q2031" s="13" t="s">
        <v>1708</v>
      </c>
      <c r="R2031" s="13">
        <f>(SUM(R2026:R2029)*R2030)+SUM(R2026:R2029)</f>
        <v>8820.7542485243921</v>
      </c>
    </row>
    <row r="2032" spans="3:24" s="29" customFormat="1" x14ac:dyDescent="0.25">
      <c r="C2032" s="896"/>
      <c r="D2032" s="896"/>
      <c r="E2032" s="896"/>
      <c r="F2032" s="898"/>
      <c r="G2032" s="898"/>
      <c r="H2032" s="898"/>
      <c r="I2032" s="898"/>
      <c r="J2032" s="898"/>
      <c r="Q2032" s="13" t="s">
        <v>2130</v>
      </c>
      <c r="R2032" s="13">
        <f>R2031*0.08</f>
        <v>705.66033988195136</v>
      </c>
    </row>
    <row r="2033" spans="3:25" s="29" customFormat="1" x14ac:dyDescent="0.25">
      <c r="Q2033" s="13" t="s">
        <v>1686</v>
      </c>
      <c r="R2033" s="13">
        <f>SUM(R2031+R2032)</f>
        <v>9526.4145884063437</v>
      </c>
    </row>
    <row r="2034" spans="3:25" s="29" customFormat="1" x14ac:dyDescent="0.25"/>
    <row r="2035" spans="3:25" s="29" customFormat="1" x14ac:dyDescent="0.25">
      <c r="C2035" s="899" t="s">
        <v>8</v>
      </c>
      <c r="D2035" s="900"/>
      <c r="E2035" s="900"/>
      <c r="F2035" s="900"/>
      <c r="G2035" s="900"/>
      <c r="H2035" s="900"/>
      <c r="I2035" s="900"/>
      <c r="J2035" s="901"/>
      <c r="T2035" s="30"/>
      <c r="U2035" s="30"/>
      <c r="V2035" s="30"/>
      <c r="W2035" s="30"/>
      <c r="X2035" s="30"/>
      <c r="Y2035" s="30"/>
    </row>
    <row r="2036" spans="3:25" s="29" customFormat="1" x14ac:dyDescent="0.25">
      <c r="C2036" s="950" t="s">
        <v>0</v>
      </c>
      <c r="D2036" s="951"/>
      <c r="E2036" s="952"/>
      <c r="F2036" s="950" t="s">
        <v>1</v>
      </c>
      <c r="G2036" s="951"/>
      <c r="H2036" s="951"/>
      <c r="I2036" s="951"/>
      <c r="J2036" s="952"/>
      <c r="T2036" s="30"/>
      <c r="U2036" s="30"/>
      <c r="V2036" s="30"/>
      <c r="W2036" s="30"/>
      <c r="X2036" s="30"/>
      <c r="Y2036" s="30"/>
    </row>
    <row r="2037" spans="3:25" s="29" customFormat="1" x14ac:dyDescent="0.25">
      <c r="C2037" s="896" t="s">
        <v>2</v>
      </c>
      <c r="D2037" s="896"/>
      <c r="E2037" s="896"/>
      <c r="F2037" s="898" t="s">
        <v>223</v>
      </c>
      <c r="G2037" s="898"/>
      <c r="H2037" s="898"/>
      <c r="I2037" s="898"/>
      <c r="J2037" s="898"/>
      <c r="M2037" s="12" t="s">
        <v>336</v>
      </c>
      <c r="N2037" s="12" t="s">
        <v>174</v>
      </c>
      <c r="O2037" s="12" t="s">
        <v>248</v>
      </c>
      <c r="P2037" s="12" t="s">
        <v>176</v>
      </c>
      <c r="Q2037" s="12" t="s">
        <v>337</v>
      </c>
      <c r="R2037" s="298" t="s">
        <v>1641</v>
      </c>
      <c r="S2037" s="298" t="s">
        <v>1642</v>
      </c>
      <c r="T2037" s="298" t="s">
        <v>1643</v>
      </c>
      <c r="U2037" s="298" t="s">
        <v>1644</v>
      </c>
      <c r="V2037" s="103"/>
      <c r="W2037" s="103"/>
      <c r="X2037" s="103"/>
      <c r="Y2037" s="30"/>
    </row>
    <row r="2038" spans="3:25" s="29" customFormat="1" x14ac:dyDescent="0.25">
      <c r="C2038" s="896"/>
      <c r="D2038" s="896"/>
      <c r="E2038" s="896"/>
      <c r="F2038" s="898"/>
      <c r="G2038" s="898"/>
      <c r="H2038" s="898"/>
      <c r="I2038" s="898"/>
      <c r="J2038" s="898"/>
      <c r="M2038" s="13" t="s">
        <v>344</v>
      </c>
      <c r="N2038" s="13">
        <f>F11</f>
        <v>2073.8723984875514</v>
      </c>
      <c r="O2038" s="13" t="str">
        <f>D11</f>
        <v>g</v>
      </c>
      <c r="P2038" s="13">
        <v>100</v>
      </c>
      <c r="Q2038" s="13">
        <f>N2038</f>
        <v>2073.8723984875514</v>
      </c>
      <c r="R2038" s="13">
        <v>0</v>
      </c>
      <c r="S2038" s="13">
        <f>P2038*R2038</f>
        <v>0</v>
      </c>
      <c r="T2038" s="13">
        <f>P2038-S2038</f>
        <v>100</v>
      </c>
      <c r="U2038" s="13">
        <f>Q2038+((S2038*Q2038)/P2038)</f>
        <v>2073.8723984875514</v>
      </c>
      <c r="V2038" s="104"/>
      <c r="W2038" s="104"/>
      <c r="X2038" s="104"/>
      <c r="Y2038" s="30"/>
    </row>
    <row r="2039" spans="3:25" s="29" customFormat="1" x14ac:dyDescent="0.25">
      <c r="C2039" s="896"/>
      <c r="D2039" s="896"/>
      <c r="E2039" s="896"/>
      <c r="F2039" s="898"/>
      <c r="G2039" s="898"/>
      <c r="H2039" s="898"/>
      <c r="I2039" s="898"/>
      <c r="J2039" s="898"/>
      <c r="M2039" s="13" t="s">
        <v>340</v>
      </c>
      <c r="N2039" s="13">
        <f>Y20</f>
        <v>0.64</v>
      </c>
      <c r="O2039" s="13" t="str">
        <f>X20</f>
        <v>g</v>
      </c>
      <c r="P2039" s="13">
        <v>2</v>
      </c>
      <c r="Q2039" s="13">
        <f t="shared" ref="Q2039:Q2045" si="528">N2039*P2039</f>
        <v>1.28</v>
      </c>
      <c r="R2039" s="13">
        <v>0</v>
      </c>
      <c r="S2039" s="13">
        <f t="shared" ref="S2039:S2040" si="529">P2039*R2039</f>
        <v>0</v>
      </c>
      <c r="T2039" s="13">
        <f t="shared" ref="T2039:T2045" si="530">P2039-S2039</f>
        <v>2</v>
      </c>
      <c r="U2039" s="13">
        <f t="shared" ref="U2039:U2045" si="531">Q2039+((S2039*Q2039)/P2039)</f>
        <v>1.28</v>
      </c>
      <c r="V2039" s="30"/>
      <c r="W2039" s="30"/>
      <c r="X2039" s="30"/>
      <c r="Y2039" s="30"/>
    </row>
    <row r="2040" spans="3:25" s="29" customFormat="1" x14ac:dyDescent="0.25">
      <c r="C2040" s="895" t="s">
        <v>0</v>
      </c>
      <c r="D2040" s="895"/>
      <c r="E2040" s="895"/>
      <c r="F2040" s="895" t="s">
        <v>1</v>
      </c>
      <c r="G2040" s="895"/>
      <c r="H2040" s="895"/>
      <c r="I2040" s="895"/>
      <c r="J2040" s="895"/>
      <c r="M2040" s="13" t="s">
        <v>346</v>
      </c>
      <c r="N2040" s="13">
        <f>P3</f>
        <v>7</v>
      </c>
      <c r="O2040" s="13" t="str">
        <f>O3</f>
        <v>g</v>
      </c>
      <c r="P2040" s="13">
        <v>6</v>
      </c>
      <c r="Q2040" s="13">
        <f t="shared" si="528"/>
        <v>42</v>
      </c>
      <c r="R2040" s="13">
        <f>AJ2</f>
        <v>0.23</v>
      </c>
      <c r="S2040" s="13">
        <f t="shared" si="529"/>
        <v>1.3800000000000001</v>
      </c>
      <c r="T2040" s="13">
        <f t="shared" si="530"/>
        <v>4.62</v>
      </c>
      <c r="U2040" s="13">
        <f t="shared" si="531"/>
        <v>51.660000000000004</v>
      </c>
      <c r="V2040" s="30"/>
      <c r="W2040" s="30"/>
      <c r="X2040" s="30"/>
      <c r="Y2040" s="30"/>
    </row>
    <row r="2041" spans="3:25" s="29" customFormat="1" x14ac:dyDescent="0.25">
      <c r="C2041" s="896" t="s">
        <v>3</v>
      </c>
      <c r="D2041" s="896"/>
      <c r="E2041" s="896"/>
      <c r="F2041" s="897" t="s">
        <v>213</v>
      </c>
      <c r="G2041" s="898"/>
      <c r="H2041" s="898"/>
      <c r="I2041" s="898"/>
      <c r="J2041" s="898"/>
      <c r="M2041" s="13" t="s">
        <v>514</v>
      </c>
      <c r="N2041" s="13">
        <f>AB3</f>
        <v>4.3</v>
      </c>
      <c r="O2041" s="13" t="str">
        <f>AA3</f>
        <v>g</v>
      </c>
      <c r="P2041" s="13">
        <v>200</v>
      </c>
      <c r="Q2041" s="13">
        <f t="shared" si="528"/>
        <v>860</v>
      </c>
      <c r="R2041" s="13">
        <v>0</v>
      </c>
      <c r="S2041" s="13">
        <f>P2041*R2041</f>
        <v>0</v>
      </c>
      <c r="T2041" s="13">
        <f t="shared" si="530"/>
        <v>200</v>
      </c>
      <c r="U2041" s="13">
        <f t="shared" si="531"/>
        <v>860</v>
      </c>
      <c r="V2041" s="30"/>
      <c r="W2041" s="30"/>
      <c r="X2041" s="30"/>
      <c r="Y2041" s="30"/>
    </row>
    <row r="2042" spans="3:25" s="29" customFormat="1" x14ac:dyDescent="0.25">
      <c r="C2042" s="896"/>
      <c r="D2042" s="896"/>
      <c r="E2042" s="896"/>
      <c r="F2042" s="898"/>
      <c r="G2042" s="898"/>
      <c r="H2042" s="898"/>
      <c r="I2042" s="898"/>
      <c r="J2042" s="898"/>
      <c r="M2042" s="13" t="s">
        <v>515</v>
      </c>
      <c r="N2042" s="13">
        <f>P6</f>
        <v>7.8</v>
      </c>
      <c r="O2042" s="13" t="str">
        <f>O6</f>
        <v>g</v>
      </c>
      <c r="P2042" s="13">
        <v>70</v>
      </c>
      <c r="Q2042" s="13">
        <f t="shared" si="528"/>
        <v>546</v>
      </c>
      <c r="R2042" s="13">
        <f>AJ4</f>
        <v>0.55000000000000004</v>
      </c>
      <c r="S2042" s="13">
        <f t="shared" ref="S2042:S2045" si="532">P2042*R2042</f>
        <v>38.5</v>
      </c>
      <c r="T2042" s="13">
        <f t="shared" si="530"/>
        <v>31.5</v>
      </c>
      <c r="U2042" s="13">
        <f t="shared" si="531"/>
        <v>846.3</v>
      </c>
      <c r="V2042" s="30"/>
      <c r="W2042" s="30"/>
      <c r="X2042" s="30"/>
      <c r="Y2042" s="30"/>
    </row>
    <row r="2043" spans="3:25" s="29" customFormat="1" x14ac:dyDescent="0.25">
      <c r="C2043" s="896"/>
      <c r="D2043" s="896"/>
      <c r="E2043" s="896"/>
      <c r="F2043" s="898"/>
      <c r="G2043" s="898"/>
      <c r="H2043" s="898"/>
      <c r="I2043" s="898"/>
      <c r="J2043" s="898"/>
      <c r="M2043" s="13" t="s">
        <v>430</v>
      </c>
      <c r="N2043" s="152">
        <f>P11</f>
        <v>1.4</v>
      </c>
      <c r="O2043" s="13" t="str">
        <f>O11</f>
        <v>g</v>
      </c>
      <c r="P2043" s="13">
        <v>25</v>
      </c>
      <c r="Q2043" s="13">
        <f t="shared" si="528"/>
        <v>35</v>
      </c>
      <c r="R2043" s="13">
        <f>AJ7</f>
        <v>0.15</v>
      </c>
      <c r="S2043" s="13">
        <f t="shared" si="532"/>
        <v>3.75</v>
      </c>
      <c r="T2043" s="13">
        <f t="shared" si="530"/>
        <v>21.25</v>
      </c>
      <c r="U2043" s="13">
        <f t="shared" si="531"/>
        <v>40.25</v>
      </c>
      <c r="V2043" s="30"/>
      <c r="W2043" s="30"/>
      <c r="X2043" s="30"/>
      <c r="Y2043" s="30"/>
    </row>
    <row r="2044" spans="3:25" s="29" customFormat="1" x14ac:dyDescent="0.25">
      <c r="C2044" s="896" t="s">
        <v>4</v>
      </c>
      <c r="D2044" s="896"/>
      <c r="E2044" s="896"/>
      <c r="F2044" s="898" t="s">
        <v>15</v>
      </c>
      <c r="G2044" s="898"/>
      <c r="H2044" s="898"/>
      <c r="I2044" s="898"/>
      <c r="J2044" s="898"/>
      <c r="M2044" s="13" t="s">
        <v>461</v>
      </c>
      <c r="N2044" s="13">
        <f>P8</f>
        <v>3.3330000000000002</v>
      </c>
      <c r="O2044" s="13" t="str">
        <f>O8</f>
        <v>g</v>
      </c>
      <c r="P2044" s="13">
        <v>60</v>
      </c>
      <c r="Q2044" s="13">
        <f t="shared" si="528"/>
        <v>199.98000000000002</v>
      </c>
      <c r="R2044" s="13">
        <f>AJ6</f>
        <v>0.5</v>
      </c>
      <c r="S2044" s="13">
        <f t="shared" si="532"/>
        <v>30</v>
      </c>
      <c r="T2044" s="13">
        <f t="shared" si="530"/>
        <v>30</v>
      </c>
      <c r="U2044" s="13">
        <f t="shared" si="531"/>
        <v>299.97000000000003</v>
      </c>
      <c r="V2044" s="30"/>
      <c r="W2044" s="30"/>
      <c r="X2044" s="30"/>
      <c r="Y2044" s="30"/>
    </row>
    <row r="2045" spans="3:25" s="29" customFormat="1" x14ac:dyDescent="0.25">
      <c r="C2045" s="896"/>
      <c r="D2045" s="896"/>
      <c r="E2045" s="896"/>
      <c r="F2045" s="898"/>
      <c r="G2045" s="898"/>
      <c r="H2045" s="898"/>
      <c r="I2045" s="898"/>
      <c r="J2045" s="898"/>
      <c r="M2045" s="13" t="s">
        <v>436</v>
      </c>
      <c r="N2045" s="13">
        <f>P31</f>
        <v>2.6</v>
      </c>
      <c r="O2045" s="13" t="str">
        <f>O31</f>
        <v>g</v>
      </c>
      <c r="P2045" s="13">
        <v>70</v>
      </c>
      <c r="Q2045" s="13">
        <f t="shared" si="528"/>
        <v>182</v>
      </c>
      <c r="R2045" s="13">
        <f>AJ19</f>
        <v>0.37</v>
      </c>
      <c r="S2045" s="13">
        <f t="shared" si="532"/>
        <v>25.9</v>
      </c>
      <c r="T2045" s="13">
        <f t="shared" si="530"/>
        <v>44.1</v>
      </c>
      <c r="U2045" s="13">
        <f t="shared" si="531"/>
        <v>249.34</v>
      </c>
      <c r="V2045" s="30"/>
      <c r="W2045" s="30"/>
      <c r="X2045" s="30"/>
      <c r="Y2045" s="30"/>
    </row>
    <row r="2046" spans="3:25" s="29" customFormat="1" x14ac:dyDescent="0.25">
      <c r="C2046" s="896"/>
      <c r="D2046" s="896"/>
      <c r="E2046" s="896"/>
      <c r="F2046" s="898"/>
      <c r="G2046" s="898"/>
      <c r="H2046" s="898"/>
      <c r="I2046" s="898"/>
      <c r="J2046" s="898"/>
      <c r="M2046" s="13"/>
      <c r="N2046" s="13"/>
      <c r="O2046" s="13"/>
      <c r="P2046" s="13"/>
      <c r="Q2046" s="13"/>
      <c r="R2046" s="13"/>
      <c r="S2046" s="13"/>
      <c r="T2046" s="13"/>
      <c r="U2046" s="13"/>
      <c r="V2046" s="30"/>
      <c r="W2046" s="30"/>
      <c r="X2046" s="30"/>
      <c r="Y2046" s="30"/>
    </row>
    <row r="2047" spans="3:25" s="29" customFormat="1" x14ac:dyDescent="0.25">
      <c r="C2047" s="896" t="s">
        <v>5</v>
      </c>
      <c r="D2047" s="896"/>
      <c r="E2047" s="896"/>
      <c r="F2047" s="898" t="s">
        <v>131</v>
      </c>
      <c r="G2047" s="898"/>
      <c r="H2047" s="898"/>
      <c r="I2047" s="898"/>
      <c r="J2047" s="898"/>
      <c r="M2047" s="13" t="s">
        <v>337</v>
      </c>
      <c r="N2047" s="13">
        <f>SUM(N2038:N2046)</f>
        <v>2100.9453984875518</v>
      </c>
      <c r="O2047" s="13"/>
      <c r="P2047" s="13">
        <f>SUM(P2038:P2046)</f>
        <v>533</v>
      </c>
      <c r="Q2047" s="13">
        <f>SUM(Q2038:Q2046)</f>
        <v>3940.1323984875517</v>
      </c>
      <c r="R2047" s="13"/>
      <c r="S2047" s="13"/>
      <c r="T2047" s="13"/>
      <c r="U2047" s="13">
        <f>SUM(U2038:U2046)</f>
        <v>4422.6723984875516</v>
      </c>
      <c r="V2047" s="30"/>
      <c r="W2047" s="30"/>
      <c r="X2047" s="30"/>
      <c r="Y2047" s="30"/>
    </row>
    <row r="2048" spans="3:25" s="29" customFormat="1" x14ac:dyDescent="0.25">
      <c r="C2048" s="896"/>
      <c r="D2048" s="896"/>
      <c r="E2048" s="896"/>
      <c r="F2048" s="898"/>
      <c r="G2048" s="898"/>
      <c r="H2048" s="898"/>
      <c r="I2048" s="898"/>
      <c r="J2048" s="898"/>
    </row>
    <row r="2049" spans="3:31" s="29" customFormat="1" x14ac:dyDescent="0.25">
      <c r="C2049" s="896"/>
      <c r="D2049" s="896"/>
      <c r="E2049" s="896"/>
      <c r="F2049" s="898"/>
      <c r="G2049" s="898"/>
      <c r="H2049" s="898"/>
      <c r="I2049" s="898"/>
      <c r="J2049" s="898"/>
      <c r="Q2049" s="13" t="s">
        <v>1681</v>
      </c>
      <c r="R2049" s="13">
        <f>U2047</f>
        <v>4422.6723984875516</v>
      </c>
      <c r="S2049" s="608" t="s">
        <v>2142</v>
      </c>
      <c r="T2049" s="608">
        <f>(R2049*100)/R2056</f>
        <v>40.182185068309494</v>
      </c>
    </row>
    <row r="2050" spans="3:31" s="29" customFormat="1" x14ac:dyDescent="0.25">
      <c r="C2050" s="896" t="s">
        <v>6</v>
      </c>
      <c r="D2050" s="896"/>
      <c r="E2050" s="896"/>
      <c r="F2050" s="898" t="s">
        <v>9</v>
      </c>
      <c r="G2050" s="898"/>
      <c r="H2050" s="898"/>
      <c r="I2050" s="898"/>
      <c r="J2050" s="898"/>
      <c r="Q2050" s="13" t="s">
        <v>2326</v>
      </c>
      <c r="R2050" s="13">
        <f>$AL$26</f>
        <v>1801.715474357886</v>
      </c>
    </row>
    <row r="2051" spans="3:31" s="29" customFormat="1" x14ac:dyDescent="0.25">
      <c r="C2051" s="896"/>
      <c r="D2051" s="896"/>
      <c r="E2051" s="896"/>
      <c r="F2051" s="898"/>
      <c r="G2051" s="898"/>
      <c r="H2051" s="898"/>
      <c r="I2051" s="898"/>
      <c r="J2051" s="898"/>
      <c r="Q2051" s="13" t="s">
        <v>2325</v>
      </c>
      <c r="R2051" s="13">
        <f>$AL$27</f>
        <v>75.599999999999994</v>
      </c>
    </row>
    <row r="2052" spans="3:31" s="29" customFormat="1" x14ac:dyDescent="0.25">
      <c r="C2052" s="896"/>
      <c r="D2052" s="896"/>
      <c r="E2052" s="896"/>
      <c r="F2052" s="898"/>
      <c r="G2052" s="898"/>
      <c r="H2052" s="898"/>
      <c r="I2052" s="898"/>
      <c r="J2052" s="898"/>
      <c r="Q2052" s="13" t="s">
        <v>1684</v>
      </c>
      <c r="R2052" s="13">
        <f>$AL$29</f>
        <v>69.543532482306858</v>
      </c>
    </row>
    <row r="2053" spans="3:31" s="29" customFormat="1" x14ac:dyDescent="0.25">
      <c r="C2053" s="896" t="s">
        <v>7</v>
      </c>
      <c r="D2053" s="896"/>
      <c r="E2053" s="896"/>
      <c r="F2053" s="898" t="s">
        <v>214</v>
      </c>
      <c r="G2053" s="898"/>
      <c r="H2053" s="898"/>
      <c r="I2053" s="898"/>
      <c r="J2053" s="898"/>
      <c r="Q2053" s="13" t="s">
        <v>1685</v>
      </c>
      <c r="R2053" s="13">
        <v>0.6</v>
      </c>
    </row>
    <row r="2054" spans="3:31" s="29" customFormat="1" x14ac:dyDescent="0.25">
      <c r="C2054" s="896"/>
      <c r="D2054" s="896"/>
      <c r="E2054" s="896"/>
      <c r="F2054" s="898"/>
      <c r="G2054" s="898"/>
      <c r="H2054" s="898"/>
      <c r="I2054" s="898"/>
      <c r="J2054" s="898"/>
      <c r="Q2054" s="13" t="s">
        <v>1708</v>
      </c>
      <c r="R2054" s="13">
        <f>(SUM(R2049:R2052)*R2053)+SUM(R2049:R2052)</f>
        <v>10191.250248524391</v>
      </c>
    </row>
    <row r="2055" spans="3:31" s="29" customFormat="1" x14ac:dyDescent="0.25">
      <c r="C2055" s="896"/>
      <c r="D2055" s="896"/>
      <c r="E2055" s="896"/>
      <c r="F2055" s="898"/>
      <c r="G2055" s="898"/>
      <c r="H2055" s="898"/>
      <c r="I2055" s="898"/>
      <c r="J2055" s="898"/>
      <c r="Q2055" s="13" t="s">
        <v>2130</v>
      </c>
      <c r="R2055" s="13">
        <f>R2054*0.08</f>
        <v>815.30001988195136</v>
      </c>
    </row>
    <row r="2056" spans="3:31" s="29" customFormat="1" x14ac:dyDescent="0.25">
      <c r="Q2056" s="13" t="s">
        <v>1686</v>
      </c>
      <c r="R2056" s="13">
        <f>SUM(R2054+R2055)</f>
        <v>11006.550268406343</v>
      </c>
    </row>
    <row r="2057" spans="3:31" s="29" customFormat="1" x14ac:dyDescent="0.25"/>
    <row r="2058" spans="3:31" s="29" customFormat="1" x14ac:dyDescent="0.25">
      <c r="C2058" s="910" t="s">
        <v>8</v>
      </c>
      <c r="D2058" s="910"/>
      <c r="E2058" s="910"/>
      <c r="F2058" s="910"/>
      <c r="G2058" s="910"/>
      <c r="H2058" s="910"/>
      <c r="I2058" s="910"/>
      <c r="J2058" s="910"/>
    </row>
    <row r="2059" spans="3:31" s="29" customFormat="1" x14ac:dyDescent="0.25">
      <c r="C2059" s="895" t="s">
        <v>0</v>
      </c>
      <c r="D2059" s="895"/>
      <c r="E2059" s="895"/>
      <c r="F2059" s="895" t="s">
        <v>1</v>
      </c>
      <c r="G2059" s="895"/>
      <c r="H2059" s="895"/>
      <c r="I2059" s="895"/>
      <c r="J2059" s="895"/>
    </row>
    <row r="2060" spans="3:31" s="29" customFormat="1" x14ac:dyDescent="0.25">
      <c r="C2060" s="896" t="s">
        <v>2</v>
      </c>
      <c r="D2060" s="896"/>
      <c r="E2060" s="896"/>
      <c r="F2060" s="898" t="s">
        <v>215</v>
      </c>
      <c r="G2060" s="898"/>
      <c r="H2060" s="898"/>
      <c r="I2060" s="898"/>
      <c r="J2060" s="898"/>
      <c r="M2060" s="12" t="s">
        <v>336</v>
      </c>
      <c r="N2060" s="12" t="s">
        <v>174</v>
      </c>
      <c r="O2060" s="12" t="s">
        <v>248</v>
      </c>
      <c r="P2060" s="12" t="s">
        <v>176</v>
      </c>
      <c r="Q2060" s="12" t="s">
        <v>337</v>
      </c>
      <c r="R2060" s="298" t="s">
        <v>1641</v>
      </c>
      <c r="S2060" s="298" t="s">
        <v>1642</v>
      </c>
      <c r="T2060" s="298" t="s">
        <v>1643</v>
      </c>
      <c r="U2060" s="298" t="s">
        <v>1644</v>
      </c>
      <c r="W2060" s="1048" t="s">
        <v>1467</v>
      </c>
      <c r="X2060" s="1048"/>
      <c r="Y2060" s="1048"/>
      <c r="Z2060" s="1048"/>
      <c r="AA2060" s="1048"/>
      <c r="AB2060" s="1048"/>
      <c r="AC2060" s="1048"/>
      <c r="AD2060" s="1048"/>
      <c r="AE2060" s="1048"/>
    </row>
    <row r="2061" spans="3:31" s="29" customFormat="1" x14ac:dyDescent="0.25">
      <c r="C2061" s="896"/>
      <c r="D2061" s="896"/>
      <c r="E2061" s="896"/>
      <c r="F2061" s="898"/>
      <c r="G2061" s="898"/>
      <c r="H2061" s="898"/>
      <c r="I2061" s="898"/>
      <c r="J2061" s="898"/>
      <c r="M2061" s="13" t="s">
        <v>344</v>
      </c>
      <c r="N2061" s="13">
        <f>F15</f>
        <v>2073.8723984875514</v>
      </c>
      <c r="O2061" s="13" t="str">
        <f>D15</f>
        <v>g</v>
      </c>
      <c r="P2061" s="13">
        <v>80</v>
      </c>
      <c r="Q2061" s="13">
        <f>N2061</f>
        <v>2073.8723984875514</v>
      </c>
      <c r="R2061" s="13">
        <v>0</v>
      </c>
      <c r="S2061" s="13">
        <f>P2061*R2061</f>
        <v>0</v>
      </c>
      <c r="T2061" s="13">
        <f>P2061-S2061</f>
        <v>80</v>
      </c>
      <c r="U2061" s="13">
        <f>Q2061+((S2061*Q2061)/P2061)</f>
        <v>2073.8723984875514</v>
      </c>
      <c r="W2061" s="12" t="s">
        <v>336</v>
      </c>
      <c r="X2061" s="12" t="s">
        <v>174</v>
      </c>
      <c r="Y2061" s="12" t="s">
        <v>248</v>
      </c>
      <c r="Z2061" s="12" t="s">
        <v>176</v>
      </c>
      <c r="AA2061" s="12" t="s">
        <v>337</v>
      </c>
      <c r="AB2061" s="298" t="s">
        <v>1641</v>
      </c>
      <c r="AC2061" s="298" t="s">
        <v>1642</v>
      </c>
      <c r="AD2061" s="298" t="s">
        <v>1643</v>
      </c>
      <c r="AE2061" s="298" t="s">
        <v>1644</v>
      </c>
    </row>
    <row r="2062" spans="3:31" s="29" customFormat="1" x14ac:dyDescent="0.25">
      <c r="C2062" s="896"/>
      <c r="D2062" s="896"/>
      <c r="E2062" s="896"/>
      <c r="F2062" s="898"/>
      <c r="G2062" s="898"/>
      <c r="H2062" s="898"/>
      <c r="I2062" s="898"/>
      <c r="J2062" s="898"/>
      <c r="M2062" s="13" t="s">
        <v>340</v>
      </c>
      <c r="N2062" s="13">
        <f>Y20</f>
        <v>0.64</v>
      </c>
      <c r="O2062" s="13" t="str">
        <f>X20</f>
        <v>g</v>
      </c>
      <c r="P2062" s="13">
        <v>2</v>
      </c>
      <c r="Q2062" s="13">
        <f t="shared" ref="Q2062:Q2067" si="533">N2062*P2062</f>
        <v>1.28</v>
      </c>
      <c r="R2062" s="13">
        <v>0</v>
      </c>
      <c r="S2062" s="13">
        <f t="shared" ref="S2062:S2063" si="534">P2062*R2062</f>
        <v>0</v>
      </c>
      <c r="T2062" s="13">
        <f t="shared" ref="T2062:T2069" si="535">P2062-S2062</f>
        <v>2</v>
      </c>
      <c r="U2062" s="13">
        <f t="shared" ref="U2062:U2069" si="536">Q2062+((S2062*Q2062)/P2062)</f>
        <v>1.28</v>
      </c>
      <c r="W2062" s="13" t="s">
        <v>442</v>
      </c>
      <c r="X2062" s="13">
        <f>Y3</f>
        <v>30</v>
      </c>
      <c r="Y2062" s="13" t="str">
        <f>X3</f>
        <v>g</v>
      </c>
      <c r="Z2062" s="13">
        <v>15</v>
      </c>
      <c r="AA2062" s="13">
        <f>X2062*Z2062</f>
        <v>450</v>
      </c>
      <c r="AB2062" s="13">
        <v>0</v>
      </c>
      <c r="AC2062" s="13">
        <f>Z2062*AB2062</f>
        <v>0</v>
      </c>
      <c r="AD2062" s="13">
        <f>Z2062-AC2062</f>
        <v>15</v>
      </c>
      <c r="AE2062" s="13">
        <f>AA2062+((AC2062*AA2062)/Z2062)</f>
        <v>450</v>
      </c>
    </row>
    <row r="2063" spans="3:31" s="29" customFormat="1" x14ac:dyDescent="0.25">
      <c r="C2063" s="895" t="s">
        <v>0</v>
      </c>
      <c r="D2063" s="895"/>
      <c r="E2063" s="895"/>
      <c r="F2063" s="895" t="s">
        <v>1</v>
      </c>
      <c r="G2063" s="895"/>
      <c r="H2063" s="895"/>
      <c r="I2063" s="895"/>
      <c r="J2063" s="895"/>
      <c r="M2063" s="13" t="s">
        <v>346</v>
      </c>
      <c r="N2063" s="13">
        <f>P3</f>
        <v>7</v>
      </c>
      <c r="O2063" s="13" t="str">
        <f>O3</f>
        <v>g</v>
      </c>
      <c r="P2063" s="13">
        <v>6</v>
      </c>
      <c r="Q2063" s="13">
        <f t="shared" si="533"/>
        <v>42</v>
      </c>
      <c r="R2063" s="13">
        <f>AJ2</f>
        <v>0.23</v>
      </c>
      <c r="S2063" s="13">
        <f t="shared" si="534"/>
        <v>1.3800000000000001</v>
      </c>
      <c r="T2063" s="13">
        <f t="shared" si="535"/>
        <v>4.62</v>
      </c>
      <c r="U2063" s="13">
        <f t="shared" si="536"/>
        <v>51.660000000000004</v>
      </c>
      <c r="W2063" s="13" t="s">
        <v>482</v>
      </c>
      <c r="X2063" s="13">
        <f>P18</f>
        <v>5</v>
      </c>
      <c r="Y2063" s="13" t="str">
        <f>O18</f>
        <v>g</v>
      </c>
      <c r="Z2063" s="13">
        <v>10</v>
      </c>
      <c r="AA2063" s="13">
        <f t="shared" ref="AA2063:AA2068" si="537">X2063*Z2063</f>
        <v>50</v>
      </c>
      <c r="AB2063" s="13">
        <f>AJ11</f>
        <v>0.23</v>
      </c>
      <c r="AC2063" s="13">
        <f t="shared" ref="AC2063:AC2064" si="538">Z2063*AB2063</f>
        <v>2.3000000000000003</v>
      </c>
      <c r="AD2063" s="13">
        <f t="shared" ref="AD2063:AD2068" si="539">Z2063-AC2063</f>
        <v>7.6999999999999993</v>
      </c>
      <c r="AE2063" s="13">
        <f t="shared" ref="AE2063:AE2068" si="540">AA2063+((AC2063*AA2063)/Z2063)</f>
        <v>61.5</v>
      </c>
    </row>
    <row r="2064" spans="3:31" s="29" customFormat="1" x14ac:dyDescent="0.25">
      <c r="C2064" s="896" t="s">
        <v>3</v>
      </c>
      <c r="D2064" s="896"/>
      <c r="E2064" s="896"/>
      <c r="F2064" s="898" t="s">
        <v>216</v>
      </c>
      <c r="G2064" s="898"/>
      <c r="H2064" s="898"/>
      <c r="I2064" s="898"/>
      <c r="J2064" s="898"/>
      <c r="M2064" s="13" t="s">
        <v>436</v>
      </c>
      <c r="N2064" s="13">
        <f>P31</f>
        <v>2.6</v>
      </c>
      <c r="O2064" s="13" t="str">
        <f>O31</f>
        <v>g</v>
      </c>
      <c r="P2064" s="13">
        <v>25</v>
      </c>
      <c r="Q2064" s="13">
        <f t="shared" si="533"/>
        <v>65</v>
      </c>
      <c r="R2064" s="13">
        <f>AJ19</f>
        <v>0.37</v>
      </c>
      <c r="S2064" s="13">
        <f>P2064*R2064</f>
        <v>9.25</v>
      </c>
      <c r="T2064" s="13">
        <f t="shared" si="535"/>
        <v>15.75</v>
      </c>
      <c r="U2064" s="13">
        <f t="shared" si="536"/>
        <v>89.05</v>
      </c>
      <c r="W2064" s="13" t="s">
        <v>547</v>
      </c>
      <c r="X2064" s="13">
        <f>V13</f>
        <v>81.900000000000006</v>
      </c>
      <c r="Y2064" s="13" t="str">
        <f>U13</f>
        <v>g</v>
      </c>
      <c r="Z2064" s="13">
        <v>15</v>
      </c>
      <c r="AA2064" s="13">
        <f t="shared" si="537"/>
        <v>1228.5</v>
      </c>
      <c r="AB2064" s="13">
        <v>0</v>
      </c>
      <c r="AC2064" s="13">
        <f t="shared" si="538"/>
        <v>0</v>
      </c>
      <c r="AD2064" s="13">
        <f t="shared" si="539"/>
        <v>15</v>
      </c>
      <c r="AE2064" s="13">
        <f t="shared" si="540"/>
        <v>1228.5</v>
      </c>
    </row>
    <row r="2065" spans="3:31" s="29" customFormat="1" x14ac:dyDescent="0.25">
      <c r="C2065" s="896"/>
      <c r="D2065" s="896"/>
      <c r="E2065" s="896"/>
      <c r="F2065" s="898"/>
      <c r="G2065" s="898"/>
      <c r="H2065" s="898"/>
      <c r="I2065" s="898"/>
      <c r="J2065" s="898"/>
      <c r="M2065" s="13" t="s">
        <v>539</v>
      </c>
      <c r="N2065" s="13">
        <f>P7</f>
        <v>2.5</v>
      </c>
      <c r="O2065" s="13" t="str">
        <f>O7</f>
        <v>g</v>
      </c>
      <c r="P2065" s="13">
        <v>30</v>
      </c>
      <c r="Q2065" s="13">
        <f t="shared" si="533"/>
        <v>75</v>
      </c>
      <c r="R2065" s="13">
        <f>AJ5</f>
        <v>0.13</v>
      </c>
      <c r="S2065" s="13">
        <f t="shared" ref="S2065:S2069" si="541">P2065*R2065</f>
        <v>3.9000000000000004</v>
      </c>
      <c r="T2065" s="13">
        <f t="shared" si="535"/>
        <v>26.1</v>
      </c>
      <c r="U2065" s="13">
        <f t="shared" si="536"/>
        <v>84.75</v>
      </c>
      <c r="W2065" s="13" t="s">
        <v>340</v>
      </c>
      <c r="X2065" s="13">
        <f>Y20</f>
        <v>0.64</v>
      </c>
      <c r="Y2065" s="13" t="str">
        <f>X20</f>
        <v>g</v>
      </c>
      <c r="Z2065" s="13">
        <v>1</v>
      </c>
      <c r="AA2065" s="13">
        <f t="shared" si="537"/>
        <v>0.64</v>
      </c>
      <c r="AB2065" s="13">
        <v>0</v>
      </c>
      <c r="AC2065" s="13">
        <f>Z2065*AB2065</f>
        <v>0</v>
      </c>
      <c r="AD2065" s="13">
        <f t="shared" si="539"/>
        <v>1</v>
      </c>
      <c r="AE2065" s="13">
        <f t="shared" si="540"/>
        <v>0.64</v>
      </c>
    </row>
    <row r="2066" spans="3:31" s="29" customFormat="1" x14ac:dyDescent="0.25">
      <c r="C2066" s="896"/>
      <c r="D2066" s="896"/>
      <c r="E2066" s="896"/>
      <c r="F2066" s="898"/>
      <c r="G2066" s="898"/>
      <c r="H2066" s="898"/>
      <c r="I2066" s="898"/>
      <c r="J2066" s="898"/>
      <c r="M2066" s="13" t="s">
        <v>529</v>
      </c>
      <c r="N2066" s="152">
        <f>P32</f>
        <v>17.72</v>
      </c>
      <c r="O2066" s="13" t="str">
        <f>O32</f>
        <v>g</v>
      </c>
      <c r="P2066" s="13">
        <v>30</v>
      </c>
      <c r="Q2066" s="13">
        <f t="shared" si="533"/>
        <v>531.59999999999991</v>
      </c>
      <c r="R2066" s="13">
        <f>AJ20</f>
        <v>0.31</v>
      </c>
      <c r="S2066" s="13">
        <f t="shared" si="541"/>
        <v>9.3000000000000007</v>
      </c>
      <c r="T2066" s="13">
        <f t="shared" si="535"/>
        <v>20.7</v>
      </c>
      <c r="U2066" s="13">
        <f t="shared" si="536"/>
        <v>696.39599999999984</v>
      </c>
      <c r="W2066" s="13" t="s">
        <v>346</v>
      </c>
      <c r="X2066" s="13">
        <f>P3</f>
        <v>7</v>
      </c>
      <c r="Y2066" s="13" t="str">
        <f>O3</f>
        <v>g</v>
      </c>
      <c r="Z2066" s="13">
        <v>4</v>
      </c>
      <c r="AA2066" s="13">
        <f t="shared" si="537"/>
        <v>28</v>
      </c>
      <c r="AB2066" s="13">
        <f>AJ2</f>
        <v>0.23</v>
      </c>
      <c r="AC2066" s="13">
        <f t="shared" ref="AC2066:AC2068" si="542">Z2066*AB2066</f>
        <v>0.92</v>
      </c>
      <c r="AD2066" s="13">
        <f t="shared" si="539"/>
        <v>3.08</v>
      </c>
      <c r="AE2066" s="13">
        <f t="shared" si="540"/>
        <v>34.44</v>
      </c>
    </row>
    <row r="2067" spans="3:31" s="29" customFormat="1" x14ac:dyDescent="0.25">
      <c r="C2067" s="896" t="s">
        <v>4</v>
      </c>
      <c r="D2067" s="896"/>
      <c r="E2067" s="896"/>
      <c r="F2067" s="898" t="s">
        <v>15</v>
      </c>
      <c r="G2067" s="898"/>
      <c r="H2067" s="898"/>
      <c r="I2067" s="898"/>
      <c r="J2067" s="898"/>
      <c r="M2067" s="13" t="s">
        <v>544</v>
      </c>
      <c r="N2067" s="13">
        <f>P9</f>
        <v>2</v>
      </c>
      <c r="O2067" s="13" t="str">
        <f>O9</f>
        <v>g</v>
      </c>
      <c r="P2067" s="13">
        <v>30</v>
      </c>
      <c r="Q2067" s="13">
        <f t="shared" si="533"/>
        <v>60</v>
      </c>
      <c r="R2067" s="13">
        <v>0</v>
      </c>
      <c r="S2067" s="13">
        <f t="shared" si="541"/>
        <v>0</v>
      </c>
      <c r="T2067" s="13">
        <f t="shared" si="535"/>
        <v>30</v>
      </c>
      <c r="U2067" s="13">
        <f t="shared" si="536"/>
        <v>60</v>
      </c>
      <c r="W2067" s="13" t="s">
        <v>433</v>
      </c>
      <c r="X2067" s="13">
        <f>Y18</f>
        <v>223.57</v>
      </c>
      <c r="Y2067" s="13" t="str">
        <f>X18</f>
        <v>g</v>
      </c>
      <c r="Z2067" s="13">
        <v>4</v>
      </c>
      <c r="AA2067" s="13">
        <f t="shared" si="537"/>
        <v>894.28</v>
      </c>
      <c r="AB2067" s="13">
        <v>0</v>
      </c>
      <c r="AC2067" s="13">
        <f t="shared" si="542"/>
        <v>0</v>
      </c>
      <c r="AD2067" s="13">
        <f t="shared" si="539"/>
        <v>4</v>
      </c>
      <c r="AE2067" s="13">
        <f t="shared" si="540"/>
        <v>894.28</v>
      </c>
    </row>
    <row r="2068" spans="3:31" s="29" customFormat="1" x14ac:dyDescent="0.25">
      <c r="C2068" s="896"/>
      <c r="D2068" s="896"/>
      <c r="E2068" s="896"/>
      <c r="F2068" s="898"/>
      <c r="G2068" s="898"/>
      <c r="H2068" s="898"/>
      <c r="I2068" s="898"/>
      <c r="J2068" s="898"/>
      <c r="M2068" s="13" t="s">
        <v>521</v>
      </c>
      <c r="N2068" s="13">
        <f>AE2069</f>
        <v>5620.16</v>
      </c>
      <c r="O2068" s="13" t="s">
        <v>1388</v>
      </c>
      <c r="P2068" s="13">
        <v>120</v>
      </c>
      <c r="Q2068" s="13">
        <f>N2068</f>
        <v>5620.16</v>
      </c>
      <c r="R2068" s="13">
        <v>0</v>
      </c>
      <c r="S2068" s="13">
        <f t="shared" si="541"/>
        <v>0</v>
      </c>
      <c r="T2068" s="13">
        <f t="shared" si="535"/>
        <v>120</v>
      </c>
      <c r="U2068" s="13">
        <f t="shared" si="536"/>
        <v>5620.16</v>
      </c>
      <c r="W2068" s="13" t="s">
        <v>546</v>
      </c>
      <c r="X2068" s="13">
        <f>AE3</f>
        <v>49.18</v>
      </c>
      <c r="Y2068" s="13" t="str">
        <f>AD3</f>
        <v>mL</v>
      </c>
      <c r="Z2068" s="13">
        <v>60</v>
      </c>
      <c r="AA2068" s="13">
        <f t="shared" si="537"/>
        <v>2950.8</v>
      </c>
      <c r="AB2068" s="13">
        <v>0</v>
      </c>
      <c r="AC2068" s="13">
        <f t="shared" si="542"/>
        <v>0</v>
      </c>
      <c r="AD2068" s="13">
        <f t="shared" si="539"/>
        <v>60</v>
      </c>
      <c r="AE2068" s="13">
        <f t="shared" si="540"/>
        <v>2950.8</v>
      </c>
    </row>
    <row r="2069" spans="3:31" s="29" customFormat="1" x14ac:dyDescent="0.25">
      <c r="C2069" s="896"/>
      <c r="D2069" s="896"/>
      <c r="E2069" s="896"/>
      <c r="F2069" s="898"/>
      <c r="G2069" s="898"/>
      <c r="H2069" s="898"/>
      <c r="I2069" s="898"/>
      <c r="J2069" s="898"/>
      <c r="M2069" s="13" t="s">
        <v>541</v>
      </c>
      <c r="N2069" s="152">
        <f>V16</f>
        <v>54.41</v>
      </c>
      <c r="O2069" s="13" t="str">
        <f>U16</f>
        <v>g</v>
      </c>
      <c r="P2069" s="13">
        <v>40</v>
      </c>
      <c r="Q2069" s="152">
        <f>N2069*P2069</f>
        <v>2176.3999999999996</v>
      </c>
      <c r="R2069" s="13">
        <v>0</v>
      </c>
      <c r="S2069" s="13">
        <f t="shared" si="541"/>
        <v>0</v>
      </c>
      <c r="T2069" s="13">
        <f t="shared" si="535"/>
        <v>40</v>
      </c>
      <c r="U2069" s="13">
        <f t="shared" si="536"/>
        <v>2176.3999999999996</v>
      </c>
      <c r="W2069" s="13" t="s">
        <v>337</v>
      </c>
      <c r="X2069" s="13">
        <f>SUM(X2062:X2068)</f>
        <v>397.29</v>
      </c>
      <c r="Y2069" s="13"/>
      <c r="Z2069" s="13">
        <f>SUM(Z2062:Z2068)</f>
        <v>109</v>
      </c>
      <c r="AA2069" s="13">
        <f>SUM(AA2062:AA2068)</f>
        <v>5602.22</v>
      </c>
      <c r="AB2069" s="13"/>
      <c r="AC2069" s="13"/>
      <c r="AD2069" s="13"/>
      <c r="AE2069" s="13">
        <f>SUM(AE2062:AE2068)</f>
        <v>5620.16</v>
      </c>
    </row>
    <row r="2070" spans="3:31" s="29" customFormat="1" x14ac:dyDescent="0.25">
      <c r="C2070" s="896" t="s">
        <v>5</v>
      </c>
      <c r="D2070" s="896"/>
      <c r="E2070" s="896"/>
      <c r="F2070" s="898" t="s">
        <v>640</v>
      </c>
      <c r="G2070" s="898"/>
      <c r="H2070" s="898"/>
      <c r="I2070" s="898"/>
      <c r="J2070" s="898"/>
      <c r="M2070" s="13"/>
      <c r="N2070" s="13"/>
      <c r="O2070" s="13"/>
      <c r="P2070" s="13"/>
      <c r="Q2070" s="13"/>
      <c r="R2070" s="13"/>
      <c r="S2070" s="13"/>
      <c r="T2070" s="13"/>
      <c r="U2070" s="13"/>
    </row>
    <row r="2071" spans="3:31" s="29" customFormat="1" x14ac:dyDescent="0.25">
      <c r="C2071" s="896"/>
      <c r="D2071" s="896"/>
      <c r="E2071" s="896"/>
      <c r="F2071" s="898"/>
      <c r="G2071" s="898"/>
      <c r="H2071" s="898"/>
      <c r="I2071" s="898"/>
      <c r="J2071" s="898"/>
      <c r="M2071" s="13" t="s">
        <v>337</v>
      </c>
      <c r="N2071" s="13">
        <f>SUM(N2061:N2070)</f>
        <v>7780.9023984875512</v>
      </c>
      <c r="O2071" s="13"/>
      <c r="P2071" s="13">
        <f>SUM(P2061:P2070)</f>
        <v>363</v>
      </c>
      <c r="Q2071" s="13">
        <f>SUM(Q2061:Q2070)</f>
        <v>10645.312398487551</v>
      </c>
      <c r="R2071" s="13"/>
      <c r="S2071" s="13"/>
      <c r="T2071" s="13"/>
      <c r="U2071" s="13">
        <f>SUM(U2061:U2070)</f>
        <v>10853.56839848755</v>
      </c>
      <c r="AA2071" s="13" t="s">
        <v>1681</v>
      </c>
      <c r="AB2071" s="13">
        <f>AE2069</f>
        <v>5620.16</v>
      </c>
      <c r="AC2071" s="608" t="s">
        <v>2142</v>
      </c>
      <c r="AD2071" s="608">
        <f>(AB2071*100)/AB2078</f>
        <v>42.441465841361861</v>
      </c>
    </row>
    <row r="2072" spans="3:31" s="29" customFormat="1" x14ac:dyDescent="0.25">
      <c r="C2072" s="896"/>
      <c r="D2072" s="896"/>
      <c r="E2072" s="896"/>
      <c r="F2072" s="898"/>
      <c r="G2072" s="898"/>
      <c r="H2072" s="898"/>
      <c r="I2072" s="898"/>
      <c r="J2072" s="898"/>
      <c r="AA2072" s="13" t="s">
        <v>2326</v>
      </c>
      <c r="AB2072" s="13">
        <f>$AO$26/2</f>
        <v>476.87414947063905</v>
      </c>
    </row>
    <row r="2073" spans="3:31" s="29" customFormat="1" x14ac:dyDescent="0.25">
      <c r="C2073" s="896" t="s">
        <v>6</v>
      </c>
      <c r="D2073" s="896"/>
      <c r="E2073" s="896"/>
      <c r="F2073" s="898" t="s">
        <v>9</v>
      </c>
      <c r="G2073" s="898"/>
      <c r="H2073" s="898"/>
      <c r="I2073" s="898"/>
      <c r="J2073" s="898"/>
      <c r="Q2073" s="13" t="s">
        <v>1681</v>
      </c>
      <c r="R2073" s="13">
        <f>U2071</f>
        <v>10853.56839848755</v>
      </c>
      <c r="S2073" s="608" t="s">
        <v>2142</v>
      </c>
      <c r="T2073" s="608">
        <f>(R2073*100)/R2080</f>
        <v>49.068675847432772</v>
      </c>
      <c r="AA2073" s="13" t="s">
        <v>2325</v>
      </c>
      <c r="AB2073" s="13">
        <f>$AO$27/4</f>
        <v>18.899999999999999</v>
      </c>
    </row>
    <row r="2074" spans="3:31" s="29" customFormat="1" x14ac:dyDescent="0.25">
      <c r="C2074" s="896"/>
      <c r="D2074" s="896"/>
      <c r="E2074" s="896"/>
      <c r="F2074" s="898"/>
      <c r="G2074" s="898"/>
      <c r="H2074" s="898"/>
      <c r="I2074" s="898"/>
      <c r="J2074" s="898"/>
      <c r="Q2074" s="13" t="s">
        <v>2326</v>
      </c>
      <c r="R2074" s="13">
        <f>$AL$26</f>
        <v>1801.715474357886</v>
      </c>
      <c r="AA2074" s="13" t="s">
        <v>1684</v>
      </c>
      <c r="AB2074" s="13">
        <f>$AO$29</f>
        <v>1547.3435977313275</v>
      </c>
    </row>
    <row r="2075" spans="3:31" s="29" customFormat="1" x14ac:dyDescent="0.25">
      <c r="C2075" s="896"/>
      <c r="D2075" s="896"/>
      <c r="E2075" s="896"/>
      <c r="F2075" s="898"/>
      <c r="G2075" s="898"/>
      <c r="H2075" s="898"/>
      <c r="I2075" s="898"/>
      <c r="J2075" s="898"/>
      <c r="Q2075" s="13" t="s">
        <v>2325</v>
      </c>
      <c r="R2075" s="13">
        <f>$AL$27</f>
        <v>75.599999999999994</v>
      </c>
      <c r="AA2075" s="13" t="s">
        <v>1685</v>
      </c>
      <c r="AB2075" s="13">
        <v>0.6</v>
      </c>
    </row>
    <row r="2076" spans="3:31" s="29" customFormat="1" x14ac:dyDescent="0.25">
      <c r="C2076" s="896" t="s">
        <v>7</v>
      </c>
      <c r="D2076" s="896"/>
      <c r="E2076" s="896"/>
      <c r="F2076" s="898" t="s">
        <v>641</v>
      </c>
      <c r="G2076" s="898"/>
      <c r="H2076" s="898"/>
      <c r="I2076" s="898"/>
      <c r="J2076" s="898"/>
      <c r="Q2076" s="13" t="s">
        <v>1684</v>
      </c>
      <c r="R2076" s="13">
        <f>$AL$29</f>
        <v>69.543532482306858</v>
      </c>
      <c r="AA2076" s="13" t="s">
        <v>1708</v>
      </c>
      <c r="AB2076" s="13">
        <f>(SUM(AB2071:AB2074)*AB2075)+SUM(AB2071:AB2074)</f>
        <v>12261.244395523147</v>
      </c>
    </row>
    <row r="2077" spans="3:31" s="29" customFormat="1" x14ac:dyDescent="0.25">
      <c r="C2077" s="896"/>
      <c r="D2077" s="896"/>
      <c r="E2077" s="896"/>
      <c r="F2077" s="898"/>
      <c r="G2077" s="898"/>
      <c r="H2077" s="898"/>
      <c r="I2077" s="898"/>
      <c r="J2077" s="898"/>
      <c r="Q2077" s="13" t="s">
        <v>1685</v>
      </c>
      <c r="R2077" s="13">
        <v>0.6</v>
      </c>
      <c r="AA2077" s="13" t="s">
        <v>2130</v>
      </c>
      <c r="AB2077" s="13">
        <f>AB2076*0.08</f>
        <v>980.89955164185176</v>
      </c>
    </row>
    <row r="2078" spans="3:31" s="29" customFormat="1" x14ac:dyDescent="0.25">
      <c r="C2078" s="896"/>
      <c r="D2078" s="896"/>
      <c r="E2078" s="896"/>
      <c r="F2078" s="898"/>
      <c r="G2078" s="898"/>
      <c r="H2078" s="898"/>
      <c r="I2078" s="898"/>
      <c r="J2078" s="898"/>
      <c r="Q2078" s="13" t="s">
        <v>1708</v>
      </c>
      <c r="R2078" s="13">
        <f>(SUM(R2073:R2076)*R2077)+SUM(R2073:R2076)</f>
        <v>20480.68384852439</v>
      </c>
      <c r="AA2078" s="13" t="s">
        <v>1686</v>
      </c>
      <c r="AB2078" s="13">
        <f>SUM(AB2076+AB2077)</f>
        <v>13242.143947164997</v>
      </c>
    </row>
    <row r="2079" spans="3:31" s="29" customFormat="1" x14ac:dyDescent="0.25">
      <c r="Q2079" s="13" t="s">
        <v>2130</v>
      </c>
      <c r="R2079" s="13">
        <f>R2078*0.08</f>
        <v>1638.4547078819512</v>
      </c>
      <c r="T2079" s="30"/>
      <c r="U2079" s="30"/>
      <c r="V2079" s="30"/>
      <c r="W2079" s="30"/>
      <c r="X2079" s="30"/>
    </row>
    <row r="2080" spans="3:31" s="29" customFormat="1" x14ac:dyDescent="0.25">
      <c r="Q2080" s="13" t="s">
        <v>1686</v>
      </c>
      <c r="R2080" s="13">
        <f>SUM(R2078+R2079)</f>
        <v>22119.138556406342</v>
      </c>
      <c r="T2080" s="30"/>
      <c r="U2080" s="30"/>
      <c r="V2080" s="30"/>
      <c r="W2080" s="30"/>
      <c r="X2080" s="30"/>
    </row>
    <row r="2081" spans="3:24" s="29" customFormat="1" x14ac:dyDescent="0.25">
      <c r="T2081" s="30"/>
      <c r="U2081" s="30"/>
      <c r="V2081" s="30"/>
      <c r="W2081" s="30"/>
      <c r="X2081" s="30"/>
    </row>
    <row r="2082" spans="3:24" s="29" customFormat="1" x14ac:dyDescent="0.25">
      <c r="C2082" s="910" t="s">
        <v>8</v>
      </c>
      <c r="D2082" s="910"/>
      <c r="E2082" s="910"/>
      <c r="F2082" s="910"/>
      <c r="G2082" s="910"/>
      <c r="H2082" s="910"/>
      <c r="I2082" s="910"/>
      <c r="J2082" s="910"/>
      <c r="T2082" s="30"/>
      <c r="U2082" s="30"/>
      <c r="V2082" s="30"/>
      <c r="W2082" s="30"/>
      <c r="X2082" s="30"/>
    </row>
    <row r="2083" spans="3:24" s="29" customFormat="1" x14ac:dyDescent="0.25">
      <c r="C2083" s="895" t="s">
        <v>0</v>
      </c>
      <c r="D2083" s="895"/>
      <c r="E2083" s="895"/>
      <c r="F2083" s="895" t="s">
        <v>1</v>
      </c>
      <c r="G2083" s="895"/>
      <c r="H2083" s="895"/>
      <c r="I2083" s="895"/>
      <c r="J2083" s="895"/>
      <c r="T2083" s="30"/>
      <c r="U2083" s="30"/>
      <c r="V2083" s="30"/>
      <c r="W2083" s="30"/>
      <c r="X2083" s="30"/>
    </row>
    <row r="2084" spans="3:24" s="29" customFormat="1" x14ac:dyDescent="0.25">
      <c r="C2084" s="896" t="s">
        <v>2</v>
      </c>
      <c r="D2084" s="896"/>
      <c r="E2084" s="896"/>
      <c r="F2084" s="898" t="s">
        <v>217</v>
      </c>
      <c r="G2084" s="898"/>
      <c r="H2084" s="898"/>
      <c r="I2084" s="898"/>
      <c r="J2084" s="898"/>
      <c r="M2084" s="12" t="s">
        <v>336</v>
      </c>
      <c r="N2084" s="12" t="s">
        <v>174</v>
      </c>
      <c r="O2084" s="12" t="s">
        <v>248</v>
      </c>
      <c r="P2084" s="12" t="s">
        <v>176</v>
      </c>
      <c r="Q2084" s="12" t="s">
        <v>337</v>
      </c>
      <c r="R2084" s="298" t="s">
        <v>1641</v>
      </c>
      <c r="S2084" s="298" t="s">
        <v>1642</v>
      </c>
      <c r="T2084" s="298" t="s">
        <v>1643</v>
      </c>
      <c r="U2084" s="298" t="s">
        <v>1644</v>
      </c>
      <c r="V2084" s="103"/>
      <c r="W2084" s="103"/>
      <c r="X2084" s="103"/>
    </row>
    <row r="2085" spans="3:24" s="29" customFormat="1" x14ac:dyDescent="0.25">
      <c r="C2085" s="896"/>
      <c r="D2085" s="896"/>
      <c r="E2085" s="896"/>
      <c r="F2085" s="898"/>
      <c r="G2085" s="898"/>
      <c r="H2085" s="898"/>
      <c r="I2085" s="898"/>
      <c r="J2085" s="898"/>
      <c r="M2085" s="13" t="s">
        <v>344</v>
      </c>
      <c r="N2085" s="13">
        <f>F15</f>
        <v>2073.8723984875514</v>
      </c>
      <c r="O2085" s="13" t="str">
        <f>D15</f>
        <v>g</v>
      </c>
      <c r="P2085" s="13">
        <v>80</v>
      </c>
      <c r="Q2085" s="13">
        <f>N2085</f>
        <v>2073.8723984875514</v>
      </c>
      <c r="R2085" s="13">
        <v>0</v>
      </c>
      <c r="S2085" s="13">
        <f>P2085*R2085</f>
        <v>0</v>
      </c>
      <c r="T2085" s="13">
        <f>P2085-S2085</f>
        <v>80</v>
      </c>
      <c r="U2085" s="13">
        <f>Q2085+((S2085*Q2085)/P2085)</f>
        <v>2073.8723984875514</v>
      </c>
      <c r="V2085" s="104"/>
      <c r="W2085" s="104"/>
      <c r="X2085" s="104"/>
    </row>
    <row r="2086" spans="3:24" s="29" customFormat="1" x14ac:dyDescent="0.25">
      <c r="C2086" s="896"/>
      <c r="D2086" s="896"/>
      <c r="E2086" s="896"/>
      <c r="F2086" s="898"/>
      <c r="G2086" s="898"/>
      <c r="H2086" s="898"/>
      <c r="I2086" s="898"/>
      <c r="J2086" s="898"/>
      <c r="M2086" s="13" t="s">
        <v>340</v>
      </c>
      <c r="N2086" s="13">
        <f>Y20</f>
        <v>0.64</v>
      </c>
      <c r="O2086" s="13" t="str">
        <f>X20</f>
        <v>g</v>
      </c>
      <c r="P2086" s="13">
        <v>2</v>
      </c>
      <c r="Q2086" s="13">
        <f t="shared" ref="Q2086:Q2092" si="543">N2086*P2086</f>
        <v>1.28</v>
      </c>
      <c r="R2086" s="13">
        <v>0</v>
      </c>
      <c r="S2086" s="13">
        <f t="shared" ref="S2086:S2087" si="544">P2086*R2086</f>
        <v>0</v>
      </c>
      <c r="T2086" s="13">
        <f t="shared" ref="T2086:T2092" si="545">P2086-S2086</f>
        <v>2</v>
      </c>
      <c r="U2086" s="13">
        <f t="shared" ref="U2086:U2092" si="546">Q2086+((S2086*Q2086)/P2086)</f>
        <v>1.28</v>
      </c>
      <c r="V2086" s="30"/>
      <c r="W2086" s="30"/>
      <c r="X2086" s="30"/>
    </row>
    <row r="2087" spans="3:24" s="29" customFormat="1" x14ac:dyDescent="0.25">
      <c r="C2087" s="895" t="s">
        <v>0</v>
      </c>
      <c r="D2087" s="895"/>
      <c r="E2087" s="895"/>
      <c r="F2087" s="895" t="s">
        <v>1</v>
      </c>
      <c r="G2087" s="895"/>
      <c r="H2087" s="895"/>
      <c r="I2087" s="895"/>
      <c r="J2087" s="895"/>
      <c r="M2087" s="13" t="s">
        <v>346</v>
      </c>
      <c r="N2087" s="13">
        <f>P3</f>
        <v>7</v>
      </c>
      <c r="O2087" s="13" t="str">
        <f>O3</f>
        <v>g</v>
      </c>
      <c r="P2087" s="13">
        <v>80</v>
      </c>
      <c r="Q2087" s="13">
        <f t="shared" si="543"/>
        <v>560</v>
      </c>
      <c r="R2087" s="13">
        <f>AJ2</f>
        <v>0.23</v>
      </c>
      <c r="S2087" s="13">
        <f t="shared" si="544"/>
        <v>18.400000000000002</v>
      </c>
      <c r="T2087" s="13">
        <f t="shared" si="545"/>
        <v>61.599999999999994</v>
      </c>
      <c r="U2087" s="13">
        <f t="shared" si="546"/>
        <v>688.8</v>
      </c>
      <c r="V2087" s="30"/>
      <c r="W2087" s="30"/>
      <c r="X2087" s="30"/>
    </row>
    <row r="2088" spans="3:24" s="29" customFormat="1" x14ac:dyDescent="0.25">
      <c r="C2088" s="896" t="s">
        <v>3</v>
      </c>
      <c r="D2088" s="896"/>
      <c r="E2088" s="896"/>
      <c r="F2088" s="897" t="s">
        <v>218</v>
      </c>
      <c r="G2088" s="898"/>
      <c r="H2088" s="898"/>
      <c r="I2088" s="898"/>
      <c r="J2088" s="898"/>
      <c r="M2088" s="13" t="s">
        <v>531</v>
      </c>
      <c r="N2088" s="13">
        <f>AB6</f>
        <v>5.18</v>
      </c>
      <c r="O2088" s="13" t="str">
        <f>AA6</f>
        <v>g</v>
      </c>
      <c r="P2088" s="13">
        <v>20</v>
      </c>
      <c r="Q2088" s="13">
        <f t="shared" si="543"/>
        <v>103.6</v>
      </c>
      <c r="R2088" s="13">
        <v>0</v>
      </c>
      <c r="S2088" s="13">
        <f>P2088*R2088</f>
        <v>0</v>
      </c>
      <c r="T2088" s="13">
        <f t="shared" si="545"/>
        <v>20</v>
      </c>
      <c r="U2088" s="13">
        <f t="shared" si="546"/>
        <v>103.6</v>
      </c>
      <c r="V2088" s="30"/>
      <c r="W2088" s="30"/>
      <c r="X2088" s="30"/>
    </row>
    <row r="2089" spans="3:24" s="29" customFormat="1" x14ac:dyDescent="0.25">
      <c r="C2089" s="896"/>
      <c r="D2089" s="896"/>
      <c r="E2089" s="896"/>
      <c r="F2089" s="898"/>
      <c r="G2089" s="898"/>
      <c r="H2089" s="898"/>
      <c r="I2089" s="898"/>
      <c r="J2089" s="898"/>
      <c r="M2089" s="13" t="s">
        <v>505</v>
      </c>
      <c r="N2089" s="13">
        <f>P24</f>
        <v>3.5</v>
      </c>
      <c r="O2089" s="13" t="str">
        <f>O24</f>
        <v>g</v>
      </c>
      <c r="P2089" s="13">
        <v>40</v>
      </c>
      <c r="Q2089" s="13">
        <f t="shared" si="543"/>
        <v>140</v>
      </c>
      <c r="R2089" s="13">
        <f>AJ15</f>
        <v>0.26</v>
      </c>
      <c r="S2089" s="13">
        <f t="shared" ref="S2089:S2092" si="547">P2089*R2089</f>
        <v>10.4</v>
      </c>
      <c r="T2089" s="13">
        <f t="shared" si="545"/>
        <v>29.6</v>
      </c>
      <c r="U2089" s="13">
        <f t="shared" si="546"/>
        <v>176.4</v>
      </c>
      <c r="V2089" s="30"/>
      <c r="W2089" s="30"/>
      <c r="X2089" s="30"/>
    </row>
    <row r="2090" spans="3:24" s="29" customFormat="1" x14ac:dyDescent="0.25">
      <c r="C2090" s="896"/>
      <c r="D2090" s="896"/>
      <c r="E2090" s="896"/>
      <c r="F2090" s="898"/>
      <c r="G2090" s="898"/>
      <c r="H2090" s="898"/>
      <c r="I2090" s="898"/>
      <c r="J2090" s="898"/>
      <c r="M2090" s="13" t="s">
        <v>541</v>
      </c>
      <c r="N2090" s="13">
        <f>V16</f>
        <v>54.41</v>
      </c>
      <c r="O2090" s="13" t="str">
        <f>U16</f>
        <v>g</v>
      </c>
      <c r="P2090" s="13">
        <v>40</v>
      </c>
      <c r="Q2090" s="13">
        <f t="shared" si="543"/>
        <v>2176.3999999999996</v>
      </c>
      <c r="R2090" s="13">
        <v>0</v>
      </c>
      <c r="S2090" s="13">
        <f t="shared" si="547"/>
        <v>0</v>
      </c>
      <c r="T2090" s="13">
        <f t="shared" si="545"/>
        <v>40</v>
      </c>
      <c r="U2090" s="13">
        <f t="shared" si="546"/>
        <v>2176.3999999999996</v>
      </c>
      <c r="V2090" s="30"/>
      <c r="W2090" s="30"/>
      <c r="X2090" s="30"/>
    </row>
    <row r="2091" spans="3:24" s="29" customFormat="1" x14ac:dyDescent="0.25">
      <c r="C2091" s="896" t="s">
        <v>4</v>
      </c>
      <c r="D2091" s="896"/>
      <c r="E2091" s="896"/>
      <c r="F2091" s="898" t="s">
        <v>15</v>
      </c>
      <c r="G2091" s="898"/>
      <c r="H2091" s="898"/>
      <c r="I2091" s="898"/>
      <c r="J2091" s="898"/>
      <c r="M2091" s="13" t="s">
        <v>539</v>
      </c>
      <c r="N2091" s="13">
        <f>P7</f>
        <v>2.5</v>
      </c>
      <c r="O2091" s="13" t="str">
        <f>O7</f>
        <v>g</v>
      </c>
      <c r="P2091" s="13">
        <v>30</v>
      </c>
      <c r="Q2091" s="13">
        <f t="shared" si="543"/>
        <v>75</v>
      </c>
      <c r="R2091" s="13">
        <f>AJ5</f>
        <v>0.13</v>
      </c>
      <c r="S2091" s="13">
        <f t="shared" si="547"/>
        <v>3.9000000000000004</v>
      </c>
      <c r="T2091" s="13">
        <f t="shared" si="545"/>
        <v>26.1</v>
      </c>
      <c r="U2091" s="13">
        <f t="shared" si="546"/>
        <v>84.75</v>
      </c>
      <c r="V2091" s="30"/>
      <c r="W2091" s="30"/>
      <c r="X2091" s="30"/>
    </row>
    <row r="2092" spans="3:24" s="29" customFormat="1" x14ac:dyDescent="0.25">
      <c r="C2092" s="896"/>
      <c r="D2092" s="896"/>
      <c r="E2092" s="896"/>
      <c r="F2092" s="898"/>
      <c r="G2092" s="898"/>
      <c r="H2092" s="898"/>
      <c r="I2092" s="898"/>
      <c r="J2092" s="898"/>
      <c r="M2092" s="13" t="s">
        <v>436</v>
      </c>
      <c r="N2092" s="13">
        <f>P31</f>
        <v>2.6</v>
      </c>
      <c r="O2092" s="13" t="str">
        <f>O31</f>
        <v>g</v>
      </c>
      <c r="P2092" s="13">
        <v>30</v>
      </c>
      <c r="Q2092" s="13">
        <f t="shared" si="543"/>
        <v>78</v>
      </c>
      <c r="R2092" s="13">
        <f>AJ19</f>
        <v>0.37</v>
      </c>
      <c r="S2092" s="13">
        <f t="shared" si="547"/>
        <v>11.1</v>
      </c>
      <c r="T2092" s="13">
        <f t="shared" si="545"/>
        <v>18.899999999999999</v>
      </c>
      <c r="U2092" s="13">
        <f t="shared" si="546"/>
        <v>106.86</v>
      </c>
      <c r="V2092" s="30"/>
      <c r="W2092" s="30"/>
      <c r="X2092" s="30"/>
    </row>
    <row r="2093" spans="3:24" s="29" customFormat="1" x14ac:dyDescent="0.25">
      <c r="C2093" s="896"/>
      <c r="D2093" s="896"/>
      <c r="E2093" s="896"/>
      <c r="F2093" s="898"/>
      <c r="G2093" s="898"/>
      <c r="H2093" s="898"/>
      <c r="I2093" s="898"/>
      <c r="J2093" s="898"/>
      <c r="M2093" s="13"/>
      <c r="N2093" s="13"/>
      <c r="O2093" s="13"/>
      <c r="P2093" s="13"/>
      <c r="Q2093" s="13"/>
      <c r="R2093" s="13"/>
      <c r="S2093" s="13"/>
      <c r="T2093" s="13"/>
      <c r="U2093" s="13"/>
      <c r="V2093" s="30"/>
      <c r="W2093" s="30"/>
      <c r="X2093" s="30"/>
    </row>
    <row r="2094" spans="3:24" s="29" customFormat="1" x14ac:dyDescent="0.25">
      <c r="C2094" s="896" t="s">
        <v>5</v>
      </c>
      <c r="D2094" s="896"/>
      <c r="E2094" s="896"/>
      <c r="F2094" s="898" t="s">
        <v>642</v>
      </c>
      <c r="G2094" s="898"/>
      <c r="H2094" s="898"/>
      <c r="I2094" s="898"/>
      <c r="J2094" s="898"/>
      <c r="M2094" s="13" t="s">
        <v>337</v>
      </c>
      <c r="N2094" s="13">
        <f>SUM(N2085:N2093)</f>
        <v>2149.7023984875509</v>
      </c>
      <c r="O2094" s="13"/>
      <c r="P2094" s="13">
        <f>SUM(P2085:P2093)</f>
        <v>322</v>
      </c>
      <c r="Q2094" s="13">
        <f>SUM(Q2085:Q2093)</f>
        <v>5208.1523984875512</v>
      </c>
      <c r="R2094" s="13"/>
      <c r="S2094" s="13"/>
      <c r="T2094" s="13"/>
      <c r="U2094" s="13">
        <f>SUM(U2085:U2093)</f>
        <v>5411.9623984875507</v>
      </c>
    </row>
    <row r="2095" spans="3:24" s="29" customFormat="1" x14ac:dyDescent="0.25">
      <c r="C2095" s="896"/>
      <c r="D2095" s="896"/>
      <c r="E2095" s="896"/>
      <c r="F2095" s="898"/>
      <c r="G2095" s="898"/>
      <c r="H2095" s="898"/>
      <c r="I2095" s="898"/>
      <c r="J2095" s="898"/>
    </row>
    <row r="2096" spans="3:24" s="29" customFormat="1" x14ac:dyDescent="0.25">
      <c r="C2096" s="896"/>
      <c r="D2096" s="896"/>
      <c r="E2096" s="896"/>
      <c r="F2096" s="898"/>
      <c r="G2096" s="898"/>
      <c r="H2096" s="898"/>
      <c r="I2096" s="898"/>
      <c r="J2096" s="898"/>
      <c r="Q2096" s="13" t="s">
        <v>1681</v>
      </c>
      <c r="R2096" s="13">
        <f>U2094</f>
        <v>5411.9623984875507</v>
      </c>
      <c r="S2096" s="608" t="s">
        <v>2142</v>
      </c>
      <c r="T2096" s="608">
        <f>(R2096*100)/R2103</f>
        <v>42.560112711016899</v>
      </c>
    </row>
    <row r="2097" spans="3:31" s="29" customFormat="1" x14ac:dyDescent="0.25">
      <c r="C2097" s="896" t="s">
        <v>6</v>
      </c>
      <c r="D2097" s="896"/>
      <c r="E2097" s="896"/>
      <c r="F2097" s="898" t="s">
        <v>9</v>
      </c>
      <c r="G2097" s="898"/>
      <c r="H2097" s="898"/>
      <c r="I2097" s="898"/>
      <c r="J2097" s="898"/>
      <c r="Q2097" s="13" t="s">
        <v>2326</v>
      </c>
      <c r="R2097" s="13">
        <f>$AL$26</f>
        <v>1801.715474357886</v>
      </c>
    </row>
    <row r="2098" spans="3:31" s="29" customFormat="1" x14ac:dyDescent="0.25">
      <c r="C2098" s="896"/>
      <c r="D2098" s="896"/>
      <c r="E2098" s="896"/>
      <c r="F2098" s="898"/>
      <c r="G2098" s="898"/>
      <c r="H2098" s="898"/>
      <c r="I2098" s="898"/>
      <c r="J2098" s="898"/>
      <c r="Q2098" s="13" t="s">
        <v>2325</v>
      </c>
      <c r="R2098" s="13">
        <f>$AL$27</f>
        <v>75.599999999999994</v>
      </c>
    </row>
    <row r="2099" spans="3:31" s="29" customFormat="1" x14ac:dyDescent="0.25">
      <c r="C2099" s="896"/>
      <c r="D2099" s="896"/>
      <c r="E2099" s="896"/>
      <c r="F2099" s="898"/>
      <c r="G2099" s="898"/>
      <c r="H2099" s="898"/>
      <c r="I2099" s="898"/>
      <c r="J2099" s="898"/>
      <c r="Q2099" s="13" t="s">
        <v>1684</v>
      </c>
      <c r="R2099" s="13">
        <f>$AL$29</f>
        <v>69.543532482306858</v>
      </c>
    </row>
    <row r="2100" spans="3:31" s="29" customFormat="1" x14ac:dyDescent="0.25">
      <c r="C2100" s="896" t="s">
        <v>7</v>
      </c>
      <c r="D2100" s="896"/>
      <c r="E2100" s="896"/>
      <c r="F2100" s="898" t="s">
        <v>219</v>
      </c>
      <c r="G2100" s="898"/>
      <c r="H2100" s="898"/>
      <c r="I2100" s="898"/>
      <c r="J2100" s="898"/>
      <c r="Q2100" s="13" t="s">
        <v>1685</v>
      </c>
      <c r="R2100" s="13">
        <v>0.6</v>
      </c>
    </row>
    <row r="2101" spans="3:31" s="29" customFormat="1" x14ac:dyDescent="0.25">
      <c r="C2101" s="896"/>
      <c r="D2101" s="896"/>
      <c r="E2101" s="896"/>
      <c r="F2101" s="898"/>
      <c r="G2101" s="898"/>
      <c r="H2101" s="898"/>
      <c r="I2101" s="898"/>
      <c r="J2101" s="898"/>
      <c r="Q2101" s="13" t="s">
        <v>1708</v>
      </c>
      <c r="R2101" s="13">
        <f>(SUM(R2096:R2099)*R2100)+SUM(R2096:R2099)</f>
        <v>11774.114248524389</v>
      </c>
    </row>
    <row r="2102" spans="3:31" s="29" customFormat="1" x14ac:dyDescent="0.25">
      <c r="C2102" s="896"/>
      <c r="D2102" s="896"/>
      <c r="E2102" s="896"/>
      <c r="F2102" s="898"/>
      <c r="G2102" s="898"/>
      <c r="H2102" s="898"/>
      <c r="I2102" s="898"/>
      <c r="J2102" s="898"/>
      <c r="Q2102" s="13" t="s">
        <v>2130</v>
      </c>
      <c r="R2102" s="13">
        <f>R2101*0.08</f>
        <v>941.92913988195119</v>
      </c>
    </row>
    <row r="2103" spans="3:31" s="29" customFormat="1" x14ac:dyDescent="0.25">
      <c r="Q2103" s="13" t="s">
        <v>1686</v>
      </c>
      <c r="R2103" s="13">
        <f>SUM(R2101+R2102)</f>
        <v>12716.04338840634</v>
      </c>
    </row>
    <row r="2104" spans="3:31" s="29" customFormat="1" x14ac:dyDescent="0.25"/>
    <row r="2105" spans="3:31" s="29" customFormat="1" x14ac:dyDescent="0.25">
      <c r="C2105" s="910" t="s">
        <v>8</v>
      </c>
      <c r="D2105" s="910"/>
      <c r="E2105" s="910"/>
      <c r="F2105" s="910"/>
      <c r="G2105" s="910"/>
      <c r="H2105" s="910"/>
      <c r="I2105" s="910"/>
      <c r="J2105" s="910"/>
    </row>
    <row r="2106" spans="3:31" s="29" customFormat="1" x14ac:dyDescent="0.25">
      <c r="C2106" s="895" t="s">
        <v>0</v>
      </c>
      <c r="D2106" s="895"/>
      <c r="E2106" s="895"/>
      <c r="F2106" s="895" t="s">
        <v>1</v>
      </c>
      <c r="G2106" s="895"/>
      <c r="H2106" s="895"/>
      <c r="I2106" s="895"/>
      <c r="J2106" s="895"/>
    </row>
    <row r="2107" spans="3:31" s="29" customFormat="1" x14ac:dyDescent="0.25">
      <c r="C2107" s="896" t="s">
        <v>2</v>
      </c>
      <c r="D2107" s="896"/>
      <c r="E2107" s="896"/>
      <c r="F2107" s="898" t="s">
        <v>220</v>
      </c>
      <c r="G2107" s="898"/>
      <c r="H2107" s="898"/>
      <c r="I2107" s="898"/>
      <c r="J2107" s="898"/>
      <c r="M2107" s="12" t="s">
        <v>336</v>
      </c>
      <c r="N2107" s="12" t="s">
        <v>174</v>
      </c>
      <c r="O2107" s="12" t="s">
        <v>248</v>
      </c>
      <c r="P2107" s="12" t="s">
        <v>176</v>
      </c>
      <c r="Q2107" s="12" t="s">
        <v>337</v>
      </c>
      <c r="R2107" s="298" t="s">
        <v>1641</v>
      </c>
      <c r="S2107" s="298" t="s">
        <v>1642</v>
      </c>
      <c r="T2107" s="298" t="s">
        <v>1643</v>
      </c>
      <c r="U2107" s="298" t="s">
        <v>1644</v>
      </c>
      <c r="W2107" s="1049" t="s">
        <v>593</v>
      </c>
      <c r="X2107" s="1050"/>
      <c r="Y2107" s="1050"/>
      <c r="Z2107" s="1050"/>
      <c r="AA2107" s="1050"/>
      <c r="AB2107" s="1050"/>
      <c r="AC2107" s="1050"/>
      <c r="AD2107" s="1050"/>
      <c r="AE2107" s="1051"/>
    </row>
    <row r="2108" spans="3:31" s="29" customFormat="1" x14ac:dyDescent="0.25">
      <c r="C2108" s="896"/>
      <c r="D2108" s="896"/>
      <c r="E2108" s="896"/>
      <c r="F2108" s="898"/>
      <c r="G2108" s="898"/>
      <c r="H2108" s="898"/>
      <c r="I2108" s="898"/>
      <c r="J2108" s="898"/>
      <c r="M2108" s="13" t="s">
        <v>344</v>
      </c>
      <c r="N2108" s="13">
        <f>F15</f>
        <v>2073.8723984875514</v>
      </c>
      <c r="O2108" s="13" t="str">
        <f>D15</f>
        <v>g</v>
      </c>
      <c r="P2108" s="13">
        <v>50</v>
      </c>
      <c r="Q2108" s="13">
        <f>N2108</f>
        <v>2073.8723984875514</v>
      </c>
      <c r="R2108" s="13">
        <v>0</v>
      </c>
      <c r="S2108" s="13">
        <f>P2108*R2108</f>
        <v>0</v>
      </c>
      <c r="T2108" s="13">
        <f>P2108-S2108</f>
        <v>50</v>
      </c>
      <c r="U2108" s="13">
        <f>Q2108+((S2108*Q2108)/P2108)</f>
        <v>2073.8723984875514</v>
      </c>
      <c r="W2108" s="12" t="s">
        <v>336</v>
      </c>
      <c r="X2108" s="12" t="s">
        <v>174</v>
      </c>
      <c r="Y2108" s="12" t="s">
        <v>248</v>
      </c>
      <c r="Z2108" s="12" t="s">
        <v>176</v>
      </c>
      <c r="AA2108" s="12" t="s">
        <v>337</v>
      </c>
      <c r="AB2108" s="298" t="s">
        <v>1641</v>
      </c>
      <c r="AC2108" s="298" t="s">
        <v>1642</v>
      </c>
      <c r="AD2108" s="298" t="s">
        <v>1643</v>
      </c>
      <c r="AE2108" s="298" t="s">
        <v>1644</v>
      </c>
    </row>
    <row r="2109" spans="3:31" s="29" customFormat="1" x14ac:dyDescent="0.25">
      <c r="C2109" s="896"/>
      <c r="D2109" s="896"/>
      <c r="E2109" s="896"/>
      <c r="F2109" s="898"/>
      <c r="G2109" s="898"/>
      <c r="H2109" s="898"/>
      <c r="I2109" s="898"/>
      <c r="J2109" s="898"/>
      <c r="M2109" s="13" t="s">
        <v>340</v>
      </c>
      <c r="N2109" s="13">
        <f>Y20</f>
        <v>0.64</v>
      </c>
      <c r="O2109" s="13" t="str">
        <f>X20</f>
        <v>g</v>
      </c>
      <c r="P2109" s="13">
        <v>2</v>
      </c>
      <c r="Q2109" s="13">
        <f t="shared" ref="Q2109:Q2115" si="548">N2109*P2109</f>
        <v>1.28</v>
      </c>
      <c r="R2109" s="13">
        <v>0</v>
      </c>
      <c r="S2109" s="13">
        <f t="shared" ref="S2109:S2110" si="549">P2109*R2109</f>
        <v>0</v>
      </c>
      <c r="T2109" s="13">
        <f t="shared" ref="T2109:T2116" si="550">P2109-S2109</f>
        <v>2</v>
      </c>
      <c r="U2109" s="13">
        <f t="shared" ref="U2109:U2116" si="551">Q2109+((S2109*Q2109)/P2109)</f>
        <v>1.28</v>
      </c>
      <c r="W2109" s="13" t="s">
        <v>1480</v>
      </c>
      <c r="X2109" s="152">
        <f>AE5</f>
        <v>2.04</v>
      </c>
      <c r="Y2109" s="13" t="str">
        <f>AD5</f>
        <v>g</v>
      </c>
      <c r="Z2109" s="13">
        <v>10</v>
      </c>
      <c r="AA2109" s="13">
        <f>X2109*Z2109</f>
        <v>20.399999999999999</v>
      </c>
      <c r="AB2109" s="13">
        <v>0</v>
      </c>
      <c r="AC2109" s="13">
        <f>Z2109*AB2109</f>
        <v>0</v>
      </c>
      <c r="AD2109" s="13">
        <f>Z2109-AC2109</f>
        <v>10</v>
      </c>
      <c r="AE2109" s="13">
        <f>AA2109+((AC2109*AA2109)/Z2109)</f>
        <v>20.399999999999999</v>
      </c>
    </row>
    <row r="2110" spans="3:31" s="29" customFormat="1" x14ac:dyDescent="0.25">
      <c r="C2110" s="895" t="s">
        <v>0</v>
      </c>
      <c r="D2110" s="895"/>
      <c r="E2110" s="895"/>
      <c r="F2110" s="895" t="s">
        <v>1</v>
      </c>
      <c r="G2110" s="895"/>
      <c r="H2110" s="895"/>
      <c r="I2110" s="895"/>
      <c r="J2110" s="895"/>
      <c r="M2110" s="13" t="s">
        <v>346</v>
      </c>
      <c r="N2110" s="13">
        <f>P3</f>
        <v>7</v>
      </c>
      <c r="O2110" s="13" t="str">
        <f>O3</f>
        <v>g</v>
      </c>
      <c r="P2110" s="13">
        <v>8</v>
      </c>
      <c r="Q2110" s="13">
        <f t="shared" si="548"/>
        <v>56</v>
      </c>
      <c r="R2110" s="13">
        <f>AJ2</f>
        <v>0.23</v>
      </c>
      <c r="S2110" s="13">
        <f t="shared" si="549"/>
        <v>1.84</v>
      </c>
      <c r="T2110" s="13">
        <f t="shared" si="550"/>
        <v>6.16</v>
      </c>
      <c r="U2110" s="13">
        <f t="shared" si="551"/>
        <v>68.88</v>
      </c>
      <c r="W2110" s="13" t="s">
        <v>1481</v>
      </c>
      <c r="X2110" s="152">
        <f>V5</f>
        <v>8.99</v>
      </c>
      <c r="Y2110" s="13" t="str">
        <f>U5</f>
        <v>mL</v>
      </c>
      <c r="Z2110" s="13">
        <v>60</v>
      </c>
      <c r="AA2110" s="13">
        <f t="shared" ref="AA2110:AA2115" si="552">X2110*Z2110</f>
        <v>539.4</v>
      </c>
      <c r="AB2110" s="13">
        <v>0</v>
      </c>
      <c r="AC2110" s="13">
        <f t="shared" ref="AC2110:AC2111" si="553">Z2110*AB2110</f>
        <v>0</v>
      </c>
      <c r="AD2110" s="13">
        <f t="shared" ref="AD2110:AD2115" si="554">Z2110-AC2110</f>
        <v>60</v>
      </c>
      <c r="AE2110" s="13">
        <f t="shared" ref="AE2110:AE2115" si="555">AA2110+((AC2110*AA2110)/Z2110)</f>
        <v>539.4</v>
      </c>
    </row>
    <row r="2111" spans="3:31" s="29" customFormat="1" x14ac:dyDescent="0.25">
      <c r="C2111" s="896" t="s">
        <v>3</v>
      </c>
      <c r="D2111" s="896"/>
      <c r="E2111" s="896"/>
      <c r="F2111" s="897" t="s">
        <v>221</v>
      </c>
      <c r="G2111" s="898"/>
      <c r="H2111" s="898"/>
      <c r="I2111" s="898"/>
      <c r="J2111" s="898"/>
      <c r="M2111" s="13" t="s">
        <v>643</v>
      </c>
      <c r="N2111" s="13">
        <f>AE3</f>
        <v>49.18</v>
      </c>
      <c r="O2111" s="13" t="str">
        <f>AD3</f>
        <v>mL</v>
      </c>
      <c r="P2111" s="13">
        <v>25</v>
      </c>
      <c r="Q2111" s="13">
        <f t="shared" si="548"/>
        <v>1229.5</v>
      </c>
      <c r="R2111" s="13">
        <v>0</v>
      </c>
      <c r="S2111" s="13">
        <f>P2111*R2111</f>
        <v>0</v>
      </c>
      <c r="T2111" s="13">
        <f t="shared" si="550"/>
        <v>25</v>
      </c>
      <c r="U2111" s="13">
        <f t="shared" si="551"/>
        <v>1229.5</v>
      </c>
      <c r="W2111" s="13" t="s">
        <v>340</v>
      </c>
      <c r="X2111" s="152">
        <f>Y20</f>
        <v>0.64</v>
      </c>
      <c r="Y2111" s="13" t="str">
        <f>X20</f>
        <v>g</v>
      </c>
      <c r="Z2111" s="13">
        <v>6</v>
      </c>
      <c r="AA2111" s="13">
        <f t="shared" si="552"/>
        <v>3.84</v>
      </c>
      <c r="AB2111" s="13">
        <v>0</v>
      </c>
      <c r="AC2111" s="13">
        <f t="shared" si="553"/>
        <v>0</v>
      </c>
      <c r="AD2111" s="13">
        <f t="shared" si="554"/>
        <v>6</v>
      </c>
      <c r="AE2111" s="13">
        <f t="shared" si="555"/>
        <v>3.84</v>
      </c>
    </row>
    <row r="2112" spans="3:31" s="29" customFormat="1" x14ac:dyDescent="0.25">
      <c r="C2112" s="896"/>
      <c r="D2112" s="896"/>
      <c r="E2112" s="896"/>
      <c r="F2112" s="898"/>
      <c r="G2112" s="898"/>
      <c r="H2112" s="898"/>
      <c r="I2112" s="898"/>
      <c r="J2112" s="898"/>
      <c r="M2112" s="13" t="s">
        <v>435</v>
      </c>
      <c r="N2112" s="13">
        <f>P5</f>
        <v>2.5</v>
      </c>
      <c r="O2112" s="13" t="str">
        <f>O5</f>
        <v>g</v>
      </c>
      <c r="P2112" s="13">
        <v>25</v>
      </c>
      <c r="Q2112" s="13">
        <f t="shared" si="548"/>
        <v>62.5</v>
      </c>
      <c r="R2112" s="13">
        <f>AJ3</f>
        <v>0.37</v>
      </c>
      <c r="S2112" s="13">
        <f t="shared" ref="S2112:S2116" si="556">P2112*R2112</f>
        <v>9.25</v>
      </c>
      <c r="T2112" s="13">
        <f t="shared" si="550"/>
        <v>15.75</v>
      </c>
      <c r="U2112" s="13">
        <f t="shared" si="551"/>
        <v>85.625</v>
      </c>
      <c r="W2112" s="13" t="s">
        <v>798</v>
      </c>
      <c r="X2112" s="152">
        <f>Y22</f>
        <v>172.22</v>
      </c>
      <c r="Y2112" s="13" t="str">
        <f>X22</f>
        <v>g</v>
      </c>
      <c r="Z2112" s="13">
        <v>1</v>
      </c>
      <c r="AA2112" s="13">
        <f t="shared" si="552"/>
        <v>172.22</v>
      </c>
      <c r="AB2112" s="13">
        <v>0</v>
      </c>
      <c r="AC2112" s="13">
        <f>Z2112*AB2112</f>
        <v>0</v>
      </c>
      <c r="AD2112" s="13">
        <f t="shared" si="554"/>
        <v>1</v>
      </c>
      <c r="AE2112" s="13">
        <f t="shared" si="555"/>
        <v>172.22</v>
      </c>
    </row>
    <row r="2113" spans="3:31" s="29" customFormat="1" x14ac:dyDescent="0.25">
      <c r="C2113" s="896"/>
      <c r="D2113" s="896"/>
      <c r="E2113" s="896"/>
      <c r="F2113" s="898"/>
      <c r="G2113" s="898"/>
      <c r="H2113" s="898"/>
      <c r="I2113" s="898"/>
      <c r="J2113" s="898"/>
      <c r="M2113" s="13" t="s">
        <v>436</v>
      </c>
      <c r="N2113" s="13">
        <f>P31</f>
        <v>2.6</v>
      </c>
      <c r="O2113" s="13" t="str">
        <f>O31</f>
        <v>g</v>
      </c>
      <c r="P2113" s="13">
        <v>30</v>
      </c>
      <c r="Q2113" s="13">
        <f t="shared" si="548"/>
        <v>78</v>
      </c>
      <c r="R2113" s="13">
        <f>AJ19</f>
        <v>0.37</v>
      </c>
      <c r="S2113" s="13">
        <f t="shared" si="556"/>
        <v>11.1</v>
      </c>
      <c r="T2113" s="13">
        <f t="shared" si="550"/>
        <v>18.899999999999999</v>
      </c>
      <c r="U2113" s="13">
        <f t="shared" si="551"/>
        <v>106.86</v>
      </c>
      <c r="W2113" s="13" t="s">
        <v>430</v>
      </c>
      <c r="X2113" s="152">
        <f>P10</f>
        <v>0.7</v>
      </c>
      <c r="Y2113" s="13" t="str">
        <f>O10</f>
        <v>g</v>
      </c>
      <c r="Z2113" s="13">
        <v>25</v>
      </c>
      <c r="AA2113" s="13">
        <f t="shared" si="552"/>
        <v>17.5</v>
      </c>
      <c r="AB2113" s="13">
        <f>AJ7</f>
        <v>0.15</v>
      </c>
      <c r="AC2113" s="13">
        <f t="shared" ref="AC2113:AC2115" si="557">Z2113*AB2113</f>
        <v>3.75</v>
      </c>
      <c r="AD2113" s="13">
        <f t="shared" si="554"/>
        <v>21.25</v>
      </c>
      <c r="AE2113" s="13">
        <f t="shared" si="555"/>
        <v>20.125</v>
      </c>
    </row>
    <row r="2114" spans="3:31" s="29" customFormat="1" x14ac:dyDescent="0.25">
      <c r="C2114" s="896" t="s">
        <v>4</v>
      </c>
      <c r="D2114" s="896"/>
      <c r="E2114" s="896"/>
      <c r="F2114" s="898" t="s">
        <v>15</v>
      </c>
      <c r="G2114" s="898"/>
      <c r="H2114" s="898"/>
      <c r="I2114" s="898"/>
      <c r="J2114" s="898"/>
      <c r="M2114" s="13" t="s">
        <v>433</v>
      </c>
      <c r="N2114" s="13">
        <f>Y18</f>
        <v>223.57</v>
      </c>
      <c r="O2114" s="13" t="str">
        <f>X18</f>
        <v>g</v>
      </c>
      <c r="P2114" s="13">
        <v>10</v>
      </c>
      <c r="Q2114" s="13">
        <f t="shared" si="548"/>
        <v>2235.6999999999998</v>
      </c>
      <c r="R2114" s="13">
        <v>0</v>
      </c>
      <c r="S2114" s="13">
        <f t="shared" si="556"/>
        <v>0</v>
      </c>
      <c r="T2114" s="13">
        <f t="shared" si="550"/>
        <v>10</v>
      </c>
      <c r="U2114" s="13">
        <f t="shared" si="551"/>
        <v>2235.6999999999998</v>
      </c>
      <c r="W2114" s="13" t="s">
        <v>463</v>
      </c>
      <c r="X2114" s="152">
        <f>Y13+Y21</f>
        <v>239.9</v>
      </c>
      <c r="Y2114" s="13" t="str">
        <f>X21</f>
        <v>g</v>
      </c>
      <c r="Z2114" s="13">
        <v>10</v>
      </c>
      <c r="AA2114" s="13">
        <f t="shared" si="552"/>
        <v>2399</v>
      </c>
      <c r="AB2114" s="13">
        <v>0</v>
      </c>
      <c r="AC2114" s="13">
        <f t="shared" si="557"/>
        <v>0</v>
      </c>
      <c r="AD2114" s="13">
        <f t="shared" si="554"/>
        <v>10</v>
      </c>
      <c r="AE2114" s="13">
        <f t="shared" si="555"/>
        <v>2399</v>
      </c>
    </row>
    <row r="2115" spans="3:31" s="29" customFormat="1" x14ac:dyDescent="0.25">
      <c r="C2115" s="896"/>
      <c r="D2115" s="896"/>
      <c r="E2115" s="896"/>
      <c r="F2115" s="898"/>
      <c r="G2115" s="898"/>
      <c r="H2115" s="898"/>
      <c r="I2115" s="898"/>
      <c r="J2115" s="898"/>
      <c r="M2115" s="13" t="s">
        <v>545</v>
      </c>
      <c r="N2115" s="13">
        <f>P28</f>
        <v>1.6</v>
      </c>
      <c r="O2115" s="13" t="str">
        <f>O28</f>
        <v>g</v>
      </c>
      <c r="P2115" s="13">
        <v>50</v>
      </c>
      <c r="Q2115" s="13">
        <f t="shared" si="548"/>
        <v>80</v>
      </c>
      <c r="R2115" s="13">
        <f>AJ17</f>
        <v>0.35</v>
      </c>
      <c r="S2115" s="13">
        <f t="shared" si="556"/>
        <v>17.5</v>
      </c>
      <c r="T2115" s="13">
        <f t="shared" si="550"/>
        <v>32.5</v>
      </c>
      <c r="U2115" s="13">
        <f t="shared" si="551"/>
        <v>108</v>
      </c>
      <c r="W2115" s="13" t="s">
        <v>541</v>
      </c>
      <c r="X2115" s="152">
        <f>V16</f>
        <v>54.41</v>
      </c>
      <c r="Y2115" s="13" t="str">
        <f>U16</f>
        <v>g</v>
      </c>
      <c r="Z2115" s="13">
        <v>30</v>
      </c>
      <c r="AA2115" s="13">
        <f t="shared" si="552"/>
        <v>1632.3</v>
      </c>
      <c r="AB2115" s="13">
        <v>0</v>
      </c>
      <c r="AC2115" s="13">
        <f t="shared" si="557"/>
        <v>0</v>
      </c>
      <c r="AD2115" s="13">
        <f t="shared" si="554"/>
        <v>30</v>
      </c>
      <c r="AE2115" s="13">
        <f t="shared" si="555"/>
        <v>1632.3</v>
      </c>
    </row>
    <row r="2116" spans="3:31" s="29" customFormat="1" x14ac:dyDescent="0.25">
      <c r="C2116" s="896"/>
      <c r="D2116" s="896"/>
      <c r="E2116" s="896"/>
      <c r="F2116" s="898"/>
      <c r="G2116" s="898"/>
      <c r="H2116" s="898"/>
      <c r="I2116" s="898"/>
      <c r="J2116" s="898"/>
      <c r="M2116" s="13" t="s">
        <v>518</v>
      </c>
      <c r="N2116" s="13">
        <f>AE2116</f>
        <v>4787.2849999999999</v>
      </c>
      <c r="O2116" s="13" t="s">
        <v>1388</v>
      </c>
      <c r="P2116" s="13">
        <v>100</v>
      </c>
      <c r="Q2116" s="13">
        <f>N2116</f>
        <v>4787.2849999999999</v>
      </c>
      <c r="R2116" s="13">
        <v>0</v>
      </c>
      <c r="S2116" s="13">
        <f t="shared" si="556"/>
        <v>0</v>
      </c>
      <c r="T2116" s="13">
        <f t="shared" si="550"/>
        <v>100</v>
      </c>
      <c r="U2116" s="13">
        <f t="shared" si="551"/>
        <v>4787.2849999999999</v>
      </c>
      <c r="W2116" s="13" t="s">
        <v>337</v>
      </c>
      <c r="X2116" s="13">
        <f>SUM(X2109:X2112)</f>
        <v>183.89</v>
      </c>
      <c r="Y2116" s="13"/>
      <c r="Z2116" s="13"/>
      <c r="AA2116" s="13">
        <f>SUM(AA2109:AA2115)</f>
        <v>4784.66</v>
      </c>
      <c r="AB2116" s="13"/>
      <c r="AC2116" s="13"/>
      <c r="AD2116" s="13"/>
      <c r="AE2116" s="13">
        <f>SUM(AE2109:AE2115)</f>
        <v>4787.2849999999999</v>
      </c>
    </row>
    <row r="2117" spans="3:31" s="29" customFormat="1" x14ac:dyDescent="0.25">
      <c r="C2117" s="896" t="s">
        <v>5</v>
      </c>
      <c r="D2117" s="896"/>
      <c r="E2117" s="896"/>
      <c r="F2117" s="898" t="s">
        <v>222</v>
      </c>
      <c r="G2117" s="898"/>
      <c r="H2117" s="898"/>
      <c r="I2117" s="898"/>
      <c r="J2117" s="898"/>
      <c r="M2117" s="13"/>
      <c r="N2117" s="13"/>
      <c r="O2117" s="13"/>
      <c r="P2117" s="13"/>
      <c r="Q2117" s="13"/>
      <c r="R2117" s="13"/>
      <c r="S2117" s="13"/>
      <c r="T2117" s="13"/>
      <c r="U2117" s="13"/>
    </row>
    <row r="2118" spans="3:31" s="29" customFormat="1" x14ac:dyDescent="0.25">
      <c r="C2118" s="896"/>
      <c r="D2118" s="896"/>
      <c r="E2118" s="896"/>
      <c r="F2118" s="898"/>
      <c r="G2118" s="898"/>
      <c r="H2118" s="898"/>
      <c r="I2118" s="898"/>
      <c r="J2118" s="898"/>
      <c r="M2118" s="13" t="s">
        <v>337</v>
      </c>
      <c r="N2118" s="13">
        <f>SUM(N2108:N2117)</f>
        <v>7148.2473984875505</v>
      </c>
      <c r="O2118" s="13"/>
      <c r="P2118" s="13">
        <f>SUM(P2108:P2117)</f>
        <v>300</v>
      </c>
      <c r="Q2118" s="13">
        <f>SUM(Q2108:Q2117)</f>
        <v>10604.137398487552</v>
      </c>
      <c r="R2118" s="13"/>
      <c r="S2118" s="13"/>
      <c r="T2118" s="13"/>
      <c r="U2118" s="13">
        <f>SUM(U2108:U2117)</f>
        <v>10697.002398487552</v>
      </c>
      <c r="AA2118" s="13" t="s">
        <v>1681</v>
      </c>
      <c r="AB2118" s="13">
        <f>AE2116</f>
        <v>4787.2849999999999</v>
      </c>
      <c r="AC2118" s="608" t="s">
        <v>2142</v>
      </c>
      <c r="AD2118" s="608">
        <f>(AB2118*100)/AB2125</f>
        <v>40.560120138158346</v>
      </c>
    </row>
    <row r="2119" spans="3:31" s="29" customFormat="1" x14ac:dyDescent="0.25">
      <c r="C2119" s="896"/>
      <c r="D2119" s="896"/>
      <c r="E2119" s="896"/>
      <c r="F2119" s="898"/>
      <c r="G2119" s="898"/>
      <c r="H2119" s="898"/>
      <c r="I2119" s="898"/>
      <c r="J2119" s="898"/>
      <c r="AA2119" s="13" t="s">
        <v>2326</v>
      </c>
      <c r="AB2119" s="13">
        <f>$AO$26/2</f>
        <v>476.87414947063905</v>
      </c>
    </row>
    <row r="2120" spans="3:31" s="29" customFormat="1" x14ac:dyDescent="0.25">
      <c r="C2120" s="896" t="s">
        <v>6</v>
      </c>
      <c r="D2120" s="896"/>
      <c r="E2120" s="896"/>
      <c r="F2120" s="898" t="s">
        <v>9</v>
      </c>
      <c r="G2120" s="898"/>
      <c r="H2120" s="898"/>
      <c r="I2120" s="898"/>
      <c r="J2120" s="898"/>
      <c r="Q2120" s="13" t="s">
        <v>1681</v>
      </c>
      <c r="R2120" s="13">
        <f>U2118</f>
        <v>10697.002398487552</v>
      </c>
      <c r="S2120" s="608" t="s">
        <v>2142</v>
      </c>
      <c r="T2120" s="608">
        <f>(R2120*100)/R2127</f>
        <v>48.95968650782347</v>
      </c>
      <c r="AA2120" s="13" t="s">
        <v>2325</v>
      </c>
      <c r="AB2120" s="13">
        <f>$AO$27/4</f>
        <v>18.899999999999999</v>
      </c>
    </row>
    <row r="2121" spans="3:31" s="29" customFormat="1" x14ac:dyDescent="0.25">
      <c r="C2121" s="896"/>
      <c r="D2121" s="896"/>
      <c r="E2121" s="896"/>
      <c r="F2121" s="898"/>
      <c r="G2121" s="898"/>
      <c r="H2121" s="898"/>
      <c r="I2121" s="898"/>
      <c r="J2121" s="898"/>
      <c r="Q2121" s="13" t="s">
        <v>2326</v>
      </c>
      <c r="R2121" s="13">
        <f>$AL$26</f>
        <v>1801.715474357886</v>
      </c>
      <c r="AA2121" s="13" t="s">
        <v>1684</v>
      </c>
      <c r="AB2121" s="13">
        <f>$AO$29</f>
        <v>1547.3435977313275</v>
      </c>
    </row>
    <row r="2122" spans="3:31" s="29" customFormat="1" x14ac:dyDescent="0.25">
      <c r="C2122" s="896"/>
      <c r="D2122" s="896"/>
      <c r="E2122" s="896"/>
      <c r="F2122" s="898"/>
      <c r="G2122" s="898"/>
      <c r="H2122" s="898"/>
      <c r="I2122" s="898"/>
      <c r="J2122" s="898"/>
      <c r="Q2122" s="13" t="s">
        <v>2325</v>
      </c>
      <c r="R2122" s="13">
        <f>$AL$27</f>
        <v>75.599999999999994</v>
      </c>
      <c r="AA2122" s="13" t="s">
        <v>1685</v>
      </c>
      <c r="AB2122" s="13">
        <v>0.6</v>
      </c>
    </row>
    <row r="2123" spans="3:31" s="29" customFormat="1" x14ac:dyDescent="0.25">
      <c r="C2123" s="896" t="s">
        <v>7</v>
      </c>
      <c r="D2123" s="896"/>
      <c r="E2123" s="896"/>
      <c r="F2123" s="898" t="s">
        <v>334</v>
      </c>
      <c r="G2123" s="898"/>
      <c r="H2123" s="898"/>
      <c r="I2123" s="898"/>
      <c r="J2123" s="898"/>
      <c r="Q2123" s="13" t="s">
        <v>1684</v>
      </c>
      <c r="R2123" s="13">
        <f>$AL$29</f>
        <v>69.543532482306858</v>
      </c>
      <c r="AA2123" s="13" t="s">
        <v>1708</v>
      </c>
      <c r="AB2123" s="13">
        <f>(SUM(AB2118:AB2121)*AB2122)+SUM(AB2118:AB2121)</f>
        <v>10928.644395523144</v>
      </c>
    </row>
    <row r="2124" spans="3:31" s="29" customFormat="1" x14ac:dyDescent="0.25">
      <c r="C2124" s="896"/>
      <c r="D2124" s="896"/>
      <c r="E2124" s="896"/>
      <c r="F2124" s="898"/>
      <c r="G2124" s="898"/>
      <c r="H2124" s="898"/>
      <c r="I2124" s="898"/>
      <c r="J2124" s="898"/>
      <c r="Q2124" s="13" t="s">
        <v>1685</v>
      </c>
      <c r="R2124" s="13">
        <v>0.6</v>
      </c>
      <c r="AA2124" s="13" t="s">
        <v>2130</v>
      </c>
      <c r="AB2124" s="13">
        <f>AB2123*0.08</f>
        <v>874.29155164185158</v>
      </c>
    </row>
    <row r="2125" spans="3:31" s="29" customFormat="1" x14ac:dyDescent="0.25">
      <c r="C2125" s="896"/>
      <c r="D2125" s="896"/>
      <c r="E2125" s="896"/>
      <c r="F2125" s="898"/>
      <c r="G2125" s="898"/>
      <c r="H2125" s="898"/>
      <c r="I2125" s="898"/>
      <c r="J2125" s="898"/>
      <c r="Q2125" s="13" t="s">
        <v>1708</v>
      </c>
      <c r="R2125" s="13">
        <f>(SUM(R2120:R2123)*R2124)+SUM(R2120:R2123)</f>
        <v>20230.178248524393</v>
      </c>
      <c r="AA2125" s="13" t="s">
        <v>1686</v>
      </c>
      <c r="AB2125" s="13">
        <f>SUM(AB2123+AB2124)</f>
        <v>11802.935947164995</v>
      </c>
    </row>
    <row r="2126" spans="3:31" s="29" customFormat="1" x14ac:dyDescent="0.25">
      <c r="Q2126" s="13" t="s">
        <v>2130</v>
      </c>
      <c r="R2126" s="13">
        <f>R2125*0.08</f>
        <v>1618.4142598819515</v>
      </c>
    </row>
    <row r="2127" spans="3:31" s="29" customFormat="1" x14ac:dyDescent="0.25">
      <c r="Q2127" s="13" t="s">
        <v>1686</v>
      </c>
      <c r="R2127" s="13">
        <f>SUM(R2125+R2126)</f>
        <v>21848.592508406346</v>
      </c>
    </row>
    <row r="2128" spans="3:31" s="29" customFormat="1" x14ac:dyDescent="0.25"/>
    <row r="2129" spans="3:31" s="29" customFormat="1" x14ac:dyDescent="0.25"/>
    <row r="2130" spans="3:31" s="29" customFormat="1" x14ac:dyDescent="0.25">
      <c r="C2130" s="910" t="s">
        <v>8</v>
      </c>
      <c r="D2130" s="910"/>
      <c r="E2130" s="910"/>
      <c r="F2130" s="910"/>
      <c r="G2130" s="910"/>
      <c r="H2130" s="910"/>
      <c r="I2130" s="910"/>
      <c r="J2130" s="910"/>
    </row>
    <row r="2131" spans="3:31" s="29" customFormat="1" x14ac:dyDescent="0.25">
      <c r="C2131" s="895" t="s">
        <v>0</v>
      </c>
      <c r="D2131" s="895"/>
      <c r="E2131" s="895"/>
      <c r="F2131" s="895" t="s">
        <v>1</v>
      </c>
      <c r="G2131" s="895"/>
      <c r="H2131" s="895"/>
      <c r="I2131" s="895"/>
      <c r="J2131" s="895"/>
    </row>
    <row r="2132" spans="3:31" s="29" customFormat="1" x14ac:dyDescent="0.25">
      <c r="C2132" s="896" t="s">
        <v>2</v>
      </c>
      <c r="D2132" s="896"/>
      <c r="E2132" s="896"/>
      <c r="F2132" s="898" t="s">
        <v>644</v>
      </c>
      <c r="G2132" s="898"/>
      <c r="H2132" s="898"/>
      <c r="I2132" s="898"/>
      <c r="J2132" s="898"/>
      <c r="M2132" s="12" t="s">
        <v>336</v>
      </c>
      <c r="N2132" s="12" t="s">
        <v>174</v>
      </c>
      <c r="O2132" s="12" t="s">
        <v>248</v>
      </c>
      <c r="P2132" s="12" t="s">
        <v>176</v>
      </c>
      <c r="Q2132" s="12" t="s">
        <v>337</v>
      </c>
      <c r="R2132" s="298" t="s">
        <v>1641</v>
      </c>
      <c r="S2132" s="298" t="s">
        <v>1642</v>
      </c>
      <c r="T2132" s="298" t="s">
        <v>1643</v>
      </c>
      <c r="U2132" s="298" t="s">
        <v>1644</v>
      </c>
      <c r="W2132" s="1048" t="s">
        <v>1465</v>
      </c>
      <c r="X2132" s="1048"/>
      <c r="Y2132" s="1048"/>
      <c r="Z2132" s="1048"/>
      <c r="AA2132" s="1048"/>
      <c r="AB2132" s="1048"/>
      <c r="AC2132" s="1048"/>
      <c r="AD2132" s="1048"/>
      <c r="AE2132" s="1048"/>
    </row>
    <row r="2133" spans="3:31" s="29" customFormat="1" x14ac:dyDescent="0.25">
      <c r="C2133" s="896"/>
      <c r="D2133" s="896"/>
      <c r="E2133" s="896"/>
      <c r="F2133" s="898"/>
      <c r="G2133" s="898"/>
      <c r="H2133" s="898"/>
      <c r="I2133" s="898"/>
      <c r="J2133" s="898"/>
      <c r="M2133" s="13" t="s">
        <v>344</v>
      </c>
      <c r="N2133" s="13">
        <f>F3</f>
        <v>2073.8723984875514</v>
      </c>
      <c r="O2133" s="13" t="str">
        <f>D3</f>
        <v>g</v>
      </c>
      <c r="P2133" s="13">
        <v>100</v>
      </c>
      <c r="Q2133" s="13">
        <f>N2133</f>
        <v>2073.8723984875514</v>
      </c>
      <c r="R2133" s="13">
        <v>0</v>
      </c>
      <c r="S2133" s="13">
        <f>P2133*R2133</f>
        <v>0</v>
      </c>
      <c r="T2133" s="13">
        <f>P2133-S2133</f>
        <v>100</v>
      </c>
      <c r="U2133" s="13">
        <f>Q2133+((S2133*Q2133)/P2133)</f>
        <v>2073.8723984875514</v>
      </c>
      <c r="W2133" s="12" t="s">
        <v>336</v>
      </c>
      <c r="X2133" s="12" t="s">
        <v>174</v>
      </c>
      <c r="Y2133" s="12" t="s">
        <v>248</v>
      </c>
      <c r="Z2133" s="12" t="s">
        <v>176</v>
      </c>
      <c r="AA2133" s="12" t="s">
        <v>337</v>
      </c>
      <c r="AB2133" s="298" t="s">
        <v>1641</v>
      </c>
      <c r="AC2133" s="298" t="s">
        <v>1642</v>
      </c>
      <c r="AD2133" s="298" t="s">
        <v>1643</v>
      </c>
      <c r="AE2133" s="298" t="s">
        <v>1644</v>
      </c>
    </row>
    <row r="2134" spans="3:31" s="29" customFormat="1" x14ac:dyDescent="0.25">
      <c r="C2134" s="896"/>
      <c r="D2134" s="896"/>
      <c r="E2134" s="896"/>
      <c r="F2134" s="898"/>
      <c r="G2134" s="898"/>
      <c r="H2134" s="898"/>
      <c r="I2134" s="898"/>
      <c r="J2134" s="898"/>
      <c r="M2134" s="13" t="s">
        <v>340</v>
      </c>
      <c r="N2134" s="13">
        <f>Y20</f>
        <v>0.64</v>
      </c>
      <c r="O2134" s="13" t="str">
        <f>X20</f>
        <v>g</v>
      </c>
      <c r="P2134" s="13">
        <v>2</v>
      </c>
      <c r="Q2134" s="13">
        <f t="shared" ref="Q2134:Q2139" si="558">N2134*P2134</f>
        <v>1.28</v>
      </c>
      <c r="R2134" s="13">
        <v>0</v>
      </c>
      <c r="S2134" s="13">
        <f t="shared" ref="S2134:S2135" si="559">P2134*R2134</f>
        <v>0</v>
      </c>
      <c r="T2134" s="13">
        <f t="shared" ref="T2134:T2139" si="560">P2134-S2134</f>
        <v>2</v>
      </c>
      <c r="U2134" s="13">
        <f t="shared" ref="U2134:U2139" si="561">Q2134+((S2134*Q2134)/P2134)</f>
        <v>1.28</v>
      </c>
      <c r="W2134" s="13" t="s">
        <v>546</v>
      </c>
      <c r="X2134" s="13">
        <f>AE3</f>
        <v>49.18</v>
      </c>
      <c r="Y2134" s="13" t="str">
        <f>AD3</f>
        <v>mL</v>
      </c>
      <c r="Z2134" s="13">
        <v>20</v>
      </c>
      <c r="AA2134" s="13">
        <f>X2134*Z2134</f>
        <v>983.6</v>
      </c>
      <c r="AB2134" s="13">
        <v>0</v>
      </c>
      <c r="AC2134" s="13">
        <f>Z2134*AB2134</f>
        <v>0</v>
      </c>
      <c r="AD2134" s="13">
        <f>Z2134-AC2134</f>
        <v>20</v>
      </c>
      <c r="AE2134" s="13">
        <f>AA2134+((AC2134*AA2134)/Z2134)</f>
        <v>983.6</v>
      </c>
    </row>
    <row r="2135" spans="3:31" s="29" customFormat="1" x14ac:dyDescent="0.25">
      <c r="C2135" s="895" t="s">
        <v>0</v>
      </c>
      <c r="D2135" s="895"/>
      <c r="E2135" s="895"/>
      <c r="F2135" s="895" t="s">
        <v>1</v>
      </c>
      <c r="G2135" s="895"/>
      <c r="H2135" s="895"/>
      <c r="I2135" s="895"/>
      <c r="J2135" s="895"/>
      <c r="M2135" s="13" t="s">
        <v>346</v>
      </c>
      <c r="N2135" s="13">
        <f>P3</f>
        <v>7</v>
      </c>
      <c r="O2135" s="13" t="str">
        <f>O3</f>
        <v>g</v>
      </c>
      <c r="P2135" s="13">
        <v>6</v>
      </c>
      <c r="Q2135" s="13">
        <f t="shared" si="558"/>
        <v>42</v>
      </c>
      <c r="R2135" s="13">
        <f>AJ2</f>
        <v>0.23</v>
      </c>
      <c r="S2135" s="13">
        <f t="shared" si="559"/>
        <v>1.3800000000000001</v>
      </c>
      <c r="T2135" s="13">
        <f t="shared" si="560"/>
        <v>4.62</v>
      </c>
      <c r="U2135" s="13">
        <f t="shared" si="561"/>
        <v>51.660000000000004</v>
      </c>
      <c r="W2135" s="13" t="s">
        <v>346</v>
      </c>
      <c r="X2135" s="13">
        <f>P3</f>
        <v>7</v>
      </c>
      <c r="Y2135" s="13" t="str">
        <f>O3</f>
        <v>g</v>
      </c>
      <c r="Z2135" s="13">
        <v>4</v>
      </c>
      <c r="AA2135" s="13">
        <f t="shared" ref="AA2135:AA2140" si="562">X2135*Z2135</f>
        <v>28</v>
      </c>
      <c r="AB2135" s="13">
        <f>AJ2</f>
        <v>0.23</v>
      </c>
      <c r="AC2135" s="13">
        <f t="shared" ref="AC2135:AC2136" si="563">Z2135*AB2135</f>
        <v>0.92</v>
      </c>
      <c r="AD2135" s="13">
        <f t="shared" ref="AD2135:AD2140" si="564">Z2135-AC2135</f>
        <v>3.08</v>
      </c>
      <c r="AE2135" s="13">
        <f t="shared" ref="AE2135:AE2140" si="565">AA2135+((AC2135*AA2135)/Z2135)</f>
        <v>34.44</v>
      </c>
    </row>
    <row r="2136" spans="3:31" s="29" customFormat="1" x14ac:dyDescent="0.25">
      <c r="C2136" s="896" t="s">
        <v>3</v>
      </c>
      <c r="D2136" s="896"/>
      <c r="E2136" s="896"/>
      <c r="F2136" s="897" t="s">
        <v>645</v>
      </c>
      <c r="G2136" s="898"/>
      <c r="H2136" s="898"/>
      <c r="I2136" s="898"/>
      <c r="J2136" s="898"/>
      <c r="M2136" s="13" t="s">
        <v>430</v>
      </c>
      <c r="N2136" s="13">
        <f>P11</f>
        <v>1.4</v>
      </c>
      <c r="O2136" s="13" t="str">
        <f>O11</f>
        <v>g</v>
      </c>
      <c r="P2136" s="13">
        <v>30</v>
      </c>
      <c r="Q2136" s="13">
        <f t="shared" si="558"/>
        <v>42</v>
      </c>
      <c r="R2136" s="13">
        <f>AJ7</f>
        <v>0.15</v>
      </c>
      <c r="S2136" s="13">
        <f>P2136*R2136</f>
        <v>4.5</v>
      </c>
      <c r="T2136" s="13">
        <f t="shared" si="560"/>
        <v>25.5</v>
      </c>
      <c r="U2136" s="13">
        <f t="shared" si="561"/>
        <v>48.3</v>
      </c>
      <c r="W2136" s="13" t="s">
        <v>430</v>
      </c>
      <c r="X2136" s="13">
        <f>P10</f>
        <v>0.7</v>
      </c>
      <c r="Y2136" s="13" t="str">
        <f>O10</f>
        <v>g</v>
      </c>
      <c r="Z2136" s="13">
        <v>40</v>
      </c>
      <c r="AA2136" s="13">
        <f t="shared" si="562"/>
        <v>28</v>
      </c>
      <c r="AB2136" s="13">
        <f>AJ7</f>
        <v>0.15</v>
      </c>
      <c r="AC2136" s="13">
        <f t="shared" si="563"/>
        <v>6</v>
      </c>
      <c r="AD2136" s="13">
        <f t="shared" si="564"/>
        <v>34</v>
      </c>
      <c r="AE2136" s="13">
        <f t="shared" si="565"/>
        <v>32.200000000000003</v>
      </c>
    </row>
    <row r="2137" spans="3:31" s="29" customFormat="1" x14ac:dyDescent="0.25">
      <c r="C2137" s="896"/>
      <c r="D2137" s="896"/>
      <c r="E2137" s="896"/>
      <c r="F2137" s="898"/>
      <c r="G2137" s="898"/>
      <c r="H2137" s="898"/>
      <c r="I2137" s="898"/>
      <c r="J2137" s="898"/>
      <c r="M2137" s="13" t="s">
        <v>464</v>
      </c>
      <c r="N2137" s="13">
        <f>AE2141</f>
        <v>5787.2000000000007</v>
      </c>
      <c r="O2137" s="13" t="s">
        <v>342</v>
      </c>
      <c r="P2137" s="13">
        <v>120</v>
      </c>
      <c r="Q2137" s="13">
        <f>N2137</f>
        <v>5787.2000000000007</v>
      </c>
      <c r="R2137" s="13">
        <v>0</v>
      </c>
      <c r="S2137" s="13">
        <f t="shared" ref="S2137:S2139" si="566">P2137*R2137</f>
        <v>0</v>
      </c>
      <c r="T2137" s="13">
        <f t="shared" si="560"/>
        <v>120</v>
      </c>
      <c r="U2137" s="13">
        <f t="shared" si="561"/>
        <v>5787.2000000000007</v>
      </c>
      <c r="W2137" s="13" t="s">
        <v>429</v>
      </c>
      <c r="X2137" s="13">
        <f>P29</f>
        <v>1.8</v>
      </c>
      <c r="Y2137" s="13" t="str">
        <f>O29</f>
        <v>g</v>
      </c>
      <c r="Z2137" s="13">
        <v>60</v>
      </c>
      <c r="AA2137" s="13">
        <f t="shared" si="562"/>
        <v>108</v>
      </c>
      <c r="AB2137" s="13">
        <f>AJ18</f>
        <v>0.05</v>
      </c>
      <c r="AC2137" s="13">
        <f>Z2137*AB2137</f>
        <v>3</v>
      </c>
      <c r="AD2137" s="13">
        <f t="shared" si="564"/>
        <v>57</v>
      </c>
      <c r="AE2137" s="13">
        <f t="shared" si="565"/>
        <v>113.4</v>
      </c>
    </row>
    <row r="2138" spans="3:31" s="29" customFormat="1" x14ac:dyDescent="0.25">
      <c r="C2138" s="896"/>
      <c r="D2138" s="896"/>
      <c r="E2138" s="896"/>
      <c r="F2138" s="898"/>
      <c r="G2138" s="898"/>
      <c r="H2138" s="898"/>
      <c r="I2138" s="898"/>
      <c r="J2138" s="898"/>
      <c r="M2138" s="13" t="s">
        <v>482</v>
      </c>
      <c r="N2138" s="13">
        <f>P18</f>
        <v>5</v>
      </c>
      <c r="O2138" s="13" t="str">
        <f>O18</f>
        <v>g</v>
      </c>
      <c r="P2138" s="13">
        <v>30</v>
      </c>
      <c r="Q2138" s="13">
        <f t="shared" si="558"/>
        <v>150</v>
      </c>
      <c r="R2138" s="13">
        <f>AJ11</f>
        <v>0.23</v>
      </c>
      <c r="S2138" s="13">
        <f t="shared" si="566"/>
        <v>6.9</v>
      </c>
      <c r="T2138" s="13">
        <f t="shared" si="560"/>
        <v>23.1</v>
      </c>
      <c r="U2138" s="13">
        <f t="shared" si="561"/>
        <v>184.5</v>
      </c>
      <c r="W2138" s="13" t="s">
        <v>470</v>
      </c>
      <c r="X2138" s="13">
        <f>Y15</f>
        <v>159</v>
      </c>
      <c r="Y2138" s="13" t="str">
        <f>X15</f>
        <v>g</v>
      </c>
      <c r="Z2138" s="13">
        <v>15</v>
      </c>
      <c r="AA2138" s="13">
        <f t="shared" si="562"/>
        <v>2385</v>
      </c>
      <c r="AB2138" s="13">
        <v>0</v>
      </c>
      <c r="AC2138" s="13">
        <f t="shared" ref="AC2138:AC2140" si="567">Z2138*AB2138</f>
        <v>0</v>
      </c>
      <c r="AD2138" s="13">
        <f t="shared" si="564"/>
        <v>15</v>
      </c>
      <c r="AE2138" s="13">
        <f t="shared" si="565"/>
        <v>2385</v>
      </c>
    </row>
    <row r="2139" spans="3:31" s="29" customFormat="1" x14ac:dyDescent="0.25">
      <c r="C2139" s="896" t="s">
        <v>4</v>
      </c>
      <c r="D2139" s="896"/>
      <c r="E2139" s="896"/>
      <c r="F2139" s="898" t="s">
        <v>15</v>
      </c>
      <c r="G2139" s="898"/>
      <c r="H2139" s="898"/>
      <c r="I2139" s="898"/>
      <c r="J2139" s="898"/>
      <c r="M2139" s="13" t="s">
        <v>435</v>
      </c>
      <c r="N2139" s="13">
        <f>P5</f>
        <v>2.5</v>
      </c>
      <c r="O2139" s="13" t="str">
        <f>O5</f>
        <v>g</v>
      </c>
      <c r="P2139" s="13">
        <v>30</v>
      </c>
      <c r="Q2139" s="13">
        <f t="shared" si="558"/>
        <v>75</v>
      </c>
      <c r="R2139" s="13">
        <f>AJ3</f>
        <v>0.37</v>
      </c>
      <c r="S2139" s="13">
        <f t="shared" si="566"/>
        <v>11.1</v>
      </c>
      <c r="T2139" s="13">
        <f t="shared" si="560"/>
        <v>18.899999999999999</v>
      </c>
      <c r="U2139" s="13">
        <f t="shared" si="561"/>
        <v>102.75</v>
      </c>
      <c r="W2139" s="13" t="s">
        <v>433</v>
      </c>
      <c r="X2139" s="13">
        <f>Y18</f>
        <v>223.57</v>
      </c>
      <c r="Y2139" s="13" t="str">
        <f>X18</f>
        <v>g</v>
      </c>
      <c r="Z2139" s="13">
        <v>8</v>
      </c>
      <c r="AA2139" s="13">
        <f t="shared" si="562"/>
        <v>1788.56</v>
      </c>
      <c r="AB2139" s="13">
        <v>0</v>
      </c>
      <c r="AC2139" s="13">
        <f t="shared" si="567"/>
        <v>0</v>
      </c>
      <c r="AD2139" s="13">
        <f t="shared" si="564"/>
        <v>8</v>
      </c>
      <c r="AE2139" s="13">
        <f t="shared" si="565"/>
        <v>1788.56</v>
      </c>
    </row>
    <row r="2140" spans="3:31" s="29" customFormat="1" x14ac:dyDescent="0.25">
      <c r="C2140" s="896"/>
      <c r="D2140" s="896"/>
      <c r="E2140" s="896"/>
      <c r="F2140" s="898"/>
      <c r="G2140" s="898"/>
      <c r="H2140" s="898"/>
      <c r="I2140" s="898"/>
      <c r="J2140" s="898"/>
      <c r="M2140" s="13"/>
      <c r="N2140" s="13"/>
      <c r="O2140" s="13"/>
      <c r="P2140" s="13"/>
      <c r="Q2140" s="13"/>
      <c r="R2140" s="13"/>
      <c r="S2140" s="13"/>
      <c r="T2140" s="13"/>
      <c r="U2140" s="13"/>
      <c r="W2140" s="13" t="s">
        <v>442</v>
      </c>
      <c r="X2140" s="13">
        <f>Y3</f>
        <v>30</v>
      </c>
      <c r="Y2140" s="13" t="str">
        <f>X3</f>
        <v>g</v>
      </c>
      <c r="Z2140" s="13">
        <v>15</v>
      </c>
      <c r="AA2140" s="13">
        <f t="shared" si="562"/>
        <v>450</v>
      </c>
      <c r="AB2140" s="13">
        <v>0</v>
      </c>
      <c r="AC2140" s="13">
        <f t="shared" si="567"/>
        <v>0</v>
      </c>
      <c r="AD2140" s="13">
        <f t="shared" si="564"/>
        <v>15</v>
      </c>
      <c r="AE2140" s="13">
        <f t="shared" si="565"/>
        <v>450</v>
      </c>
    </row>
    <row r="2141" spans="3:31" s="29" customFormat="1" x14ac:dyDescent="0.25">
      <c r="C2141" s="896"/>
      <c r="D2141" s="896"/>
      <c r="E2141" s="896"/>
      <c r="F2141" s="898"/>
      <c r="G2141" s="898"/>
      <c r="H2141" s="898"/>
      <c r="I2141" s="898"/>
      <c r="J2141" s="898"/>
      <c r="M2141" s="13" t="s">
        <v>337</v>
      </c>
      <c r="N2141" s="13">
        <f>SUM(N2133:N2140)</f>
        <v>7877.6123984875521</v>
      </c>
      <c r="O2141" s="13"/>
      <c r="P2141" s="13">
        <f>SUM(P2133:P2140)</f>
        <v>318</v>
      </c>
      <c r="Q2141" s="13">
        <f>SUM(Q2133:Q2140)</f>
        <v>8171.3523984875519</v>
      </c>
      <c r="R2141" s="13"/>
      <c r="S2141" s="13"/>
      <c r="T2141" s="13"/>
      <c r="U2141" s="13">
        <f>SUM(U2133:U2140)</f>
        <v>8249.5623984875529</v>
      </c>
      <c r="W2141" s="13" t="s">
        <v>337</v>
      </c>
      <c r="X2141" s="13">
        <f>SUM(X2134:X2140)</f>
        <v>471.25</v>
      </c>
      <c r="Y2141" s="13"/>
      <c r="Z2141" s="13">
        <f>SUM(Z2134:Z2140)</f>
        <v>162</v>
      </c>
      <c r="AA2141" s="13">
        <f>SUM(AA2134:AA2140)</f>
        <v>5771.16</v>
      </c>
      <c r="AB2141" s="13"/>
      <c r="AC2141" s="13"/>
      <c r="AD2141" s="13"/>
      <c r="AE2141" s="13">
        <f>SUM(AE2134:AE2140)</f>
        <v>5787.2000000000007</v>
      </c>
    </row>
    <row r="2142" spans="3:31" s="29" customFormat="1" x14ac:dyDescent="0.25">
      <c r="C2142" s="896" t="s">
        <v>5</v>
      </c>
      <c r="D2142" s="896"/>
      <c r="E2142" s="896"/>
      <c r="F2142" s="898" t="s">
        <v>646</v>
      </c>
      <c r="G2142" s="898"/>
      <c r="H2142" s="898"/>
      <c r="I2142" s="898"/>
      <c r="J2142" s="898"/>
    </row>
    <row r="2143" spans="3:31" s="29" customFormat="1" x14ac:dyDescent="0.25">
      <c r="C2143" s="896"/>
      <c r="D2143" s="896"/>
      <c r="E2143" s="896"/>
      <c r="F2143" s="898"/>
      <c r="G2143" s="898"/>
      <c r="H2143" s="898"/>
      <c r="I2143" s="898"/>
      <c r="J2143" s="898"/>
      <c r="Q2143" s="13" t="s">
        <v>1681</v>
      </c>
      <c r="R2143" s="13">
        <f>U2141</f>
        <v>8249.5623984875529</v>
      </c>
      <c r="S2143" s="608" t="s">
        <v>2142</v>
      </c>
      <c r="T2143" s="608">
        <f>(R2143*100)/R2150</f>
        <v>46.820861203765659</v>
      </c>
      <c r="AA2143" s="13" t="s">
        <v>1681</v>
      </c>
      <c r="AB2143" s="13">
        <f>AE2141</f>
        <v>5787.2000000000007</v>
      </c>
      <c r="AC2143" s="608" t="s">
        <v>2142</v>
      </c>
      <c r="AD2143" s="608">
        <f>(AB2143*100)/AB2150</f>
        <v>42.770602448040002</v>
      </c>
    </row>
    <row r="2144" spans="3:31" s="29" customFormat="1" x14ac:dyDescent="0.25">
      <c r="C2144" s="896"/>
      <c r="D2144" s="896"/>
      <c r="E2144" s="896"/>
      <c r="F2144" s="898"/>
      <c r="G2144" s="898"/>
      <c r="H2144" s="898"/>
      <c r="I2144" s="898"/>
      <c r="J2144" s="898"/>
      <c r="Q2144" s="13" t="s">
        <v>2326</v>
      </c>
      <c r="R2144" s="13">
        <f>$AL$26</f>
        <v>1801.715474357886</v>
      </c>
      <c r="AA2144" s="13" t="s">
        <v>2326</v>
      </c>
      <c r="AB2144" s="13">
        <f>$AO$26/2</f>
        <v>476.87414947063905</v>
      </c>
    </row>
    <row r="2145" spans="3:28" s="29" customFormat="1" x14ac:dyDescent="0.25">
      <c r="C2145" s="896" t="s">
        <v>6</v>
      </c>
      <c r="D2145" s="896"/>
      <c r="E2145" s="896"/>
      <c r="F2145" s="898" t="s">
        <v>9</v>
      </c>
      <c r="G2145" s="898"/>
      <c r="H2145" s="898"/>
      <c r="I2145" s="898"/>
      <c r="J2145" s="898"/>
      <c r="Q2145" s="13" t="s">
        <v>2325</v>
      </c>
      <c r="R2145" s="13">
        <f>$AL$27</f>
        <v>75.599999999999994</v>
      </c>
      <c r="AA2145" s="13" t="s">
        <v>2325</v>
      </c>
      <c r="AB2145" s="13">
        <f>$AO$27/4</f>
        <v>18.899999999999999</v>
      </c>
    </row>
    <row r="2146" spans="3:28" s="29" customFormat="1" x14ac:dyDescent="0.25">
      <c r="C2146" s="896"/>
      <c r="D2146" s="896"/>
      <c r="E2146" s="896"/>
      <c r="F2146" s="898"/>
      <c r="G2146" s="898"/>
      <c r="H2146" s="898"/>
      <c r="I2146" s="898"/>
      <c r="J2146" s="898"/>
      <c r="Q2146" s="13" t="s">
        <v>1684</v>
      </c>
      <c r="R2146" s="13">
        <f>$AL$29</f>
        <v>69.543532482306858</v>
      </c>
      <c r="AA2146" s="13" t="s">
        <v>1684</v>
      </c>
      <c r="AB2146" s="13">
        <f>$AO$29</f>
        <v>1547.3435977313275</v>
      </c>
    </row>
    <row r="2147" spans="3:28" s="29" customFormat="1" x14ac:dyDescent="0.25">
      <c r="C2147" s="896"/>
      <c r="D2147" s="896"/>
      <c r="E2147" s="896"/>
      <c r="F2147" s="898"/>
      <c r="G2147" s="898"/>
      <c r="H2147" s="898"/>
      <c r="I2147" s="898"/>
      <c r="J2147" s="898"/>
      <c r="Q2147" s="13" t="s">
        <v>1685</v>
      </c>
      <c r="R2147" s="13">
        <v>0.6</v>
      </c>
      <c r="AA2147" s="13" t="s">
        <v>1685</v>
      </c>
      <c r="AB2147" s="13">
        <v>0.6</v>
      </c>
    </row>
    <row r="2148" spans="3:28" s="29" customFormat="1" x14ac:dyDescent="0.25">
      <c r="C2148" s="896" t="s">
        <v>7</v>
      </c>
      <c r="D2148" s="896"/>
      <c r="E2148" s="896"/>
      <c r="F2148" s="898" t="s">
        <v>671</v>
      </c>
      <c r="G2148" s="898"/>
      <c r="H2148" s="898"/>
      <c r="I2148" s="898"/>
      <c r="J2148" s="898"/>
      <c r="Q2148" s="13" t="s">
        <v>1708</v>
      </c>
      <c r="R2148" s="13">
        <f>(SUM(R2143:R2146)*R2147)+SUM(R2143:R2146)</f>
        <v>16314.274248524394</v>
      </c>
      <c r="AA2148" s="13" t="s">
        <v>1708</v>
      </c>
      <c r="AB2148" s="13">
        <f>(SUM(AB2143:AB2146)*AB2147)+SUM(AB2143:AB2146)</f>
        <v>12528.508395523146</v>
      </c>
    </row>
    <row r="2149" spans="3:28" s="29" customFormat="1" x14ac:dyDescent="0.25">
      <c r="C2149" s="896"/>
      <c r="D2149" s="896"/>
      <c r="E2149" s="896"/>
      <c r="F2149" s="898"/>
      <c r="G2149" s="898"/>
      <c r="H2149" s="898"/>
      <c r="I2149" s="898"/>
      <c r="J2149" s="898"/>
      <c r="Q2149" s="13" t="s">
        <v>2130</v>
      </c>
      <c r="R2149" s="13">
        <f>R2148*0.08</f>
        <v>1305.1419398819517</v>
      </c>
      <c r="AA2149" s="13" t="s">
        <v>2130</v>
      </c>
      <c r="AB2149" s="13">
        <f>AB2148*0.08</f>
        <v>1002.2806716418517</v>
      </c>
    </row>
    <row r="2150" spans="3:28" s="29" customFormat="1" x14ac:dyDescent="0.25">
      <c r="C2150" s="896"/>
      <c r="D2150" s="896"/>
      <c r="E2150" s="896"/>
      <c r="F2150" s="898"/>
      <c r="G2150" s="898"/>
      <c r="H2150" s="898"/>
      <c r="I2150" s="898"/>
      <c r="J2150" s="898"/>
      <c r="Q2150" s="13" t="s">
        <v>1686</v>
      </c>
      <c r="R2150" s="13">
        <f>SUM(R2148+R2149)</f>
        <v>17619.416188406347</v>
      </c>
      <c r="AA2150" s="13" t="s">
        <v>1686</v>
      </c>
      <c r="AB2150" s="13">
        <f>SUM(AB2148+AB2149)</f>
        <v>13530.789067164997</v>
      </c>
    </row>
    <row r="2151" spans="3:28" s="29" customFormat="1" x14ac:dyDescent="0.25">
      <c r="C2151" s="106"/>
      <c r="D2151" s="106"/>
      <c r="E2151" s="106"/>
      <c r="F2151" s="107"/>
      <c r="G2151" s="107"/>
      <c r="H2151" s="107"/>
      <c r="I2151" s="107"/>
      <c r="J2151" s="107"/>
    </row>
    <row r="2152" spans="3:28" s="29" customFormat="1" x14ac:dyDescent="0.25">
      <c r="C2152" s="106"/>
      <c r="D2152" s="106"/>
      <c r="E2152" s="106"/>
      <c r="F2152" s="107"/>
      <c r="G2152" s="107"/>
      <c r="H2152" s="107"/>
      <c r="I2152" s="107"/>
      <c r="J2152" s="107"/>
    </row>
    <row r="2153" spans="3:28" s="29" customFormat="1" x14ac:dyDescent="0.25">
      <c r="C2153" s="910" t="s">
        <v>8</v>
      </c>
      <c r="D2153" s="910"/>
      <c r="E2153" s="910"/>
      <c r="F2153" s="910"/>
      <c r="G2153" s="910"/>
      <c r="H2153" s="910"/>
      <c r="I2153" s="910"/>
      <c r="J2153" s="910"/>
    </row>
    <row r="2154" spans="3:28" s="29" customFormat="1" x14ac:dyDescent="0.25">
      <c r="C2154" s="895" t="s">
        <v>0</v>
      </c>
      <c r="D2154" s="895"/>
      <c r="E2154" s="895"/>
      <c r="F2154" s="895" t="s">
        <v>1</v>
      </c>
      <c r="G2154" s="895"/>
      <c r="H2154" s="895"/>
      <c r="I2154" s="895"/>
      <c r="J2154" s="895"/>
    </row>
    <row r="2155" spans="3:28" s="29" customFormat="1" x14ac:dyDescent="0.25">
      <c r="C2155" s="896" t="s">
        <v>2</v>
      </c>
      <c r="D2155" s="896"/>
      <c r="E2155" s="896"/>
      <c r="F2155" s="898" t="s">
        <v>666</v>
      </c>
      <c r="G2155" s="898"/>
      <c r="H2155" s="898"/>
      <c r="I2155" s="898"/>
      <c r="J2155" s="898"/>
      <c r="M2155" s="12" t="s">
        <v>336</v>
      </c>
      <c r="N2155" s="12" t="s">
        <v>174</v>
      </c>
      <c r="O2155" s="12" t="s">
        <v>248</v>
      </c>
      <c r="P2155" s="12" t="s">
        <v>176</v>
      </c>
      <c r="Q2155" s="12" t="s">
        <v>337</v>
      </c>
      <c r="R2155" s="298" t="s">
        <v>1641</v>
      </c>
      <c r="S2155" s="298" t="s">
        <v>1642</v>
      </c>
      <c r="T2155" s="298" t="s">
        <v>1643</v>
      </c>
      <c r="U2155" s="298" t="s">
        <v>1644</v>
      </c>
    </row>
    <row r="2156" spans="3:28" s="29" customFormat="1" x14ac:dyDescent="0.25">
      <c r="C2156" s="896"/>
      <c r="D2156" s="896"/>
      <c r="E2156" s="896"/>
      <c r="F2156" s="898"/>
      <c r="G2156" s="898"/>
      <c r="H2156" s="898"/>
      <c r="I2156" s="898"/>
      <c r="J2156" s="898"/>
      <c r="M2156" s="13" t="s">
        <v>344</v>
      </c>
      <c r="N2156" s="13">
        <f>F3</f>
        <v>2073.8723984875514</v>
      </c>
      <c r="O2156" s="13" t="str">
        <f>D3</f>
        <v>g</v>
      </c>
      <c r="P2156" s="13">
        <v>100</v>
      </c>
      <c r="Q2156" s="13">
        <f>N2156</f>
        <v>2073.8723984875514</v>
      </c>
      <c r="R2156" s="13">
        <v>0</v>
      </c>
      <c r="S2156" s="13">
        <f>P2156*R2156</f>
        <v>0</v>
      </c>
      <c r="T2156" s="13">
        <f>P2156-S2156</f>
        <v>100</v>
      </c>
      <c r="U2156" s="13">
        <f>Q2156+((S2156*Q2156)/P2156)</f>
        <v>2073.8723984875514</v>
      </c>
    </row>
    <row r="2157" spans="3:28" s="29" customFormat="1" x14ac:dyDescent="0.25">
      <c r="C2157" s="896"/>
      <c r="D2157" s="896"/>
      <c r="E2157" s="896"/>
      <c r="F2157" s="898"/>
      <c r="G2157" s="898"/>
      <c r="H2157" s="898"/>
      <c r="I2157" s="898"/>
      <c r="J2157" s="898"/>
      <c r="M2157" s="13" t="s">
        <v>340</v>
      </c>
      <c r="N2157" s="13">
        <f>Y20</f>
        <v>0.64</v>
      </c>
      <c r="O2157" s="13" t="str">
        <f>X20</f>
        <v>g</v>
      </c>
      <c r="P2157" s="13">
        <v>2</v>
      </c>
      <c r="Q2157" s="13">
        <f t="shared" ref="Q2157:Q2160" si="568">N2157*P2157</f>
        <v>1.28</v>
      </c>
      <c r="R2157" s="13">
        <v>0</v>
      </c>
      <c r="S2157" s="13">
        <f t="shared" ref="S2157:S2158" si="569">P2157*R2157</f>
        <v>0</v>
      </c>
      <c r="T2157" s="13">
        <f t="shared" ref="T2157:T2160" si="570">P2157-S2157</f>
        <v>2</v>
      </c>
      <c r="U2157" s="13">
        <f t="shared" ref="U2157:U2160" si="571">Q2157+((S2157*Q2157)/P2157)</f>
        <v>1.28</v>
      </c>
    </row>
    <row r="2158" spans="3:28" s="29" customFormat="1" x14ac:dyDescent="0.25">
      <c r="C2158" s="895" t="s">
        <v>0</v>
      </c>
      <c r="D2158" s="895"/>
      <c r="E2158" s="895"/>
      <c r="F2158" s="895" t="s">
        <v>1</v>
      </c>
      <c r="G2158" s="895"/>
      <c r="H2158" s="895"/>
      <c r="I2158" s="895"/>
      <c r="J2158" s="895"/>
      <c r="M2158" s="13" t="s">
        <v>670</v>
      </c>
      <c r="N2158" s="13">
        <f>AB4</f>
        <v>4.8</v>
      </c>
      <c r="O2158" s="13" t="str">
        <f>AA4</f>
        <v>g</v>
      </c>
      <c r="P2158" s="13">
        <v>60</v>
      </c>
      <c r="Q2158" s="13">
        <f t="shared" si="568"/>
        <v>288</v>
      </c>
      <c r="R2158" s="13">
        <v>0</v>
      </c>
      <c r="S2158" s="13">
        <f t="shared" si="569"/>
        <v>0</v>
      </c>
      <c r="T2158" s="13">
        <f t="shared" si="570"/>
        <v>60</v>
      </c>
      <c r="U2158" s="13">
        <f t="shared" si="571"/>
        <v>288</v>
      </c>
    </row>
    <row r="2159" spans="3:28" s="29" customFormat="1" x14ac:dyDescent="0.25">
      <c r="C2159" s="896" t="s">
        <v>3</v>
      </c>
      <c r="D2159" s="896"/>
      <c r="E2159" s="896"/>
      <c r="F2159" s="897" t="s">
        <v>667</v>
      </c>
      <c r="G2159" s="898"/>
      <c r="H2159" s="898"/>
      <c r="I2159" s="898"/>
      <c r="J2159" s="898"/>
      <c r="M2159" s="13" t="s">
        <v>653</v>
      </c>
      <c r="N2159" s="13">
        <f>P17</f>
        <v>14.478999999999999</v>
      </c>
      <c r="O2159" s="13" t="str">
        <f>O17</f>
        <v>g</v>
      </c>
      <c r="P2159" s="13">
        <v>25</v>
      </c>
      <c r="Q2159" s="13">
        <f t="shared" si="568"/>
        <v>361.97499999999997</v>
      </c>
      <c r="R2159" s="13">
        <f>AJ10</f>
        <v>0</v>
      </c>
      <c r="S2159" s="13">
        <f>P2159*R2159</f>
        <v>0</v>
      </c>
      <c r="T2159" s="13">
        <f t="shared" si="570"/>
        <v>25</v>
      </c>
      <c r="U2159" s="13">
        <f t="shared" si="571"/>
        <v>361.97499999999997</v>
      </c>
    </row>
    <row r="2160" spans="3:28" s="29" customFormat="1" x14ac:dyDescent="0.25">
      <c r="C2160" s="896"/>
      <c r="D2160" s="896"/>
      <c r="E2160" s="896"/>
      <c r="F2160" s="898"/>
      <c r="G2160" s="898"/>
      <c r="H2160" s="898"/>
      <c r="I2160" s="898"/>
      <c r="J2160" s="898"/>
      <c r="M2160" s="13" t="s">
        <v>546</v>
      </c>
      <c r="N2160" s="13">
        <f>AE3</f>
        <v>49.18</v>
      </c>
      <c r="O2160" s="13" t="str">
        <f>AD3</f>
        <v>mL</v>
      </c>
      <c r="P2160" s="13">
        <v>35</v>
      </c>
      <c r="Q2160" s="13">
        <f t="shared" si="568"/>
        <v>1721.3</v>
      </c>
      <c r="R2160" s="13">
        <v>0</v>
      </c>
      <c r="S2160" s="13">
        <f t="shared" ref="S2160" si="572">P2160*R2160</f>
        <v>0</v>
      </c>
      <c r="T2160" s="13">
        <f t="shared" si="570"/>
        <v>35</v>
      </c>
      <c r="U2160" s="13">
        <f t="shared" si="571"/>
        <v>1721.3</v>
      </c>
    </row>
    <row r="2161" spans="3:21" s="29" customFormat="1" x14ac:dyDescent="0.25">
      <c r="C2161" s="896"/>
      <c r="D2161" s="896"/>
      <c r="E2161" s="896"/>
      <c r="F2161" s="898"/>
      <c r="G2161" s="898"/>
      <c r="H2161" s="898"/>
      <c r="I2161" s="898"/>
      <c r="J2161" s="898"/>
      <c r="M2161" s="13"/>
      <c r="N2161" s="13"/>
      <c r="O2161" s="13"/>
      <c r="P2161" s="13"/>
      <c r="Q2161" s="13"/>
      <c r="R2161" s="13"/>
      <c r="S2161" s="13"/>
      <c r="T2161" s="13"/>
      <c r="U2161" s="13"/>
    </row>
    <row r="2162" spans="3:21" s="29" customFormat="1" x14ac:dyDescent="0.25">
      <c r="C2162" s="896" t="s">
        <v>4</v>
      </c>
      <c r="D2162" s="896"/>
      <c r="E2162" s="896"/>
      <c r="F2162" s="898" t="s">
        <v>15</v>
      </c>
      <c r="G2162" s="898"/>
      <c r="H2162" s="898"/>
      <c r="I2162" s="898"/>
      <c r="J2162" s="898"/>
      <c r="M2162" s="13"/>
      <c r="N2162" s="13"/>
      <c r="O2162" s="13"/>
      <c r="P2162" s="13"/>
      <c r="Q2162" s="13"/>
      <c r="R2162" s="13"/>
      <c r="S2162" s="13"/>
      <c r="T2162" s="13"/>
      <c r="U2162" s="13"/>
    </row>
    <row r="2163" spans="3:21" s="29" customFormat="1" x14ac:dyDescent="0.25">
      <c r="C2163" s="896"/>
      <c r="D2163" s="896"/>
      <c r="E2163" s="896"/>
      <c r="F2163" s="898"/>
      <c r="G2163" s="898"/>
      <c r="H2163" s="898"/>
      <c r="I2163" s="898"/>
      <c r="J2163" s="898"/>
      <c r="M2163" s="13"/>
      <c r="N2163" s="13"/>
      <c r="O2163" s="13"/>
      <c r="P2163" s="13"/>
      <c r="Q2163" s="13"/>
      <c r="R2163" s="13"/>
      <c r="S2163" s="13"/>
      <c r="T2163" s="13"/>
      <c r="U2163" s="13"/>
    </row>
    <row r="2164" spans="3:21" s="29" customFormat="1" x14ac:dyDescent="0.25">
      <c r="C2164" s="896"/>
      <c r="D2164" s="896"/>
      <c r="E2164" s="896"/>
      <c r="F2164" s="898"/>
      <c r="G2164" s="898"/>
      <c r="H2164" s="898"/>
      <c r="I2164" s="898"/>
      <c r="J2164" s="898"/>
      <c r="M2164" s="13" t="s">
        <v>337</v>
      </c>
      <c r="N2164" s="13">
        <f>SUM(N2156:N2163)</f>
        <v>2142.9713984875511</v>
      </c>
      <c r="O2164" s="13"/>
      <c r="P2164" s="13">
        <f>SUM(P2156:P2163)</f>
        <v>222</v>
      </c>
      <c r="Q2164" s="13">
        <f>SUM(Q2156:Q2163)</f>
        <v>4446.4273984875517</v>
      </c>
      <c r="R2164" s="13"/>
      <c r="S2164" s="13"/>
      <c r="T2164" s="13"/>
      <c r="U2164" s="13">
        <f>SUM(U2156:U2163)</f>
        <v>4446.4273984875517</v>
      </c>
    </row>
    <row r="2165" spans="3:21" s="29" customFormat="1" x14ac:dyDescent="0.25">
      <c r="C2165" s="896" t="s">
        <v>5</v>
      </c>
      <c r="D2165" s="896"/>
      <c r="E2165" s="896"/>
      <c r="F2165" s="898" t="s">
        <v>668</v>
      </c>
      <c r="G2165" s="898"/>
      <c r="H2165" s="898"/>
      <c r="I2165" s="898"/>
      <c r="J2165" s="898"/>
    </row>
    <row r="2166" spans="3:21" s="29" customFormat="1" x14ac:dyDescent="0.25">
      <c r="C2166" s="896"/>
      <c r="D2166" s="896"/>
      <c r="E2166" s="896"/>
      <c r="F2166" s="898"/>
      <c r="G2166" s="898"/>
      <c r="H2166" s="898"/>
      <c r="I2166" s="898"/>
      <c r="J2166" s="898"/>
      <c r="Q2166" s="13" t="s">
        <v>1681</v>
      </c>
      <c r="R2166" s="13">
        <f>U2164</f>
        <v>4446.4273984875517</v>
      </c>
      <c r="S2166" s="608" t="s">
        <v>2142</v>
      </c>
      <c r="T2166" s="608">
        <f>(R2166*100)/R2173</f>
        <v>40.247907580208903</v>
      </c>
    </row>
    <row r="2167" spans="3:21" s="29" customFormat="1" x14ac:dyDescent="0.25">
      <c r="C2167" s="896"/>
      <c r="D2167" s="896"/>
      <c r="E2167" s="896"/>
      <c r="F2167" s="898"/>
      <c r="G2167" s="898"/>
      <c r="H2167" s="898"/>
      <c r="I2167" s="898"/>
      <c r="J2167" s="898"/>
      <c r="Q2167" s="13" t="s">
        <v>2326</v>
      </c>
      <c r="R2167" s="13">
        <f>$AL$26</f>
        <v>1801.715474357886</v>
      </c>
    </row>
    <row r="2168" spans="3:21" s="29" customFormat="1" x14ac:dyDescent="0.25">
      <c r="C2168" s="896" t="s">
        <v>6</v>
      </c>
      <c r="D2168" s="896"/>
      <c r="E2168" s="896"/>
      <c r="F2168" s="898" t="s">
        <v>9</v>
      </c>
      <c r="G2168" s="898"/>
      <c r="H2168" s="898"/>
      <c r="I2168" s="898"/>
      <c r="J2168" s="898"/>
      <c r="Q2168" s="13" t="s">
        <v>2325</v>
      </c>
      <c r="R2168" s="13">
        <f>$AL$27</f>
        <v>75.599999999999994</v>
      </c>
    </row>
    <row r="2169" spans="3:21" s="29" customFormat="1" x14ac:dyDescent="0.25">
      <c r="C2169" s="896"/>
      <c r="D2169" s="896"/>
      <c r="E2169" s="896"/>
      <c r="F2169" s="898"/>
      <c r="G2169" s="898"/>
      <c r="H2169" s="898"/>
      <c r="I2169" s="898"/>
      <c r="J2169" s="898"/>
      <c r="Q2169" s="13" t="s">
        <v>1684</v>
      </c>
      <c r="R2169" s="13">
        <f>$AL$29</f>
        <v>69.543532482306858</v>
      </c>
    </row>
    <row r="2170" spans="3:21" s="29" customFormat="1" x14ac:dyDescent="0.25">
      <c r="C2170" s="896"/>
      <c r="D2170" s="896"/>
      <c r="E2170" s="896"/>
      <c r="F2170" s="898"/>
      <c r="G2170" s="898"/>
      <c r="H2170" s="898"/>
      <c r="I2170" s="898"/>
      <c r="J2170" s="898"/>
      <c r="Q2170" s="13" t="s">
        <v>1685</v>
      </c>
      <c r="R2170" s="13">
        <v>0.6</v>
      </c>
    </row>
    <row r="2171" spans="3:21" s="29" customFormat="1" x14ac:dyDescent="0.25">
      <c r="C2171" s="896" t="s">
        <v>7</v>
      </c>
      <c r="D2171" s="896"/>
      <c r="E2171" s="896"/>
      <c r="F2171" s="898" t="s">
        <v>669</v>
      </c>
      <c r="G2171" s="898"/>
      <c r="H2171" s="898"/>
      <c r="I2171" s="898"/>
      <c r="J2171" s="898"/>
      <c r="Q2171" s="13" t="s">
        <v>1708</v>
      </c>
      <c r="R2171" s="13">
        <f>(SUM(R2166:R2169)*R2170)+SUM(R2166:R2169)</f>
        <v>10229.258248524391</v>
      </c>
    </row>
    <row r="2172" spans="3:21" s="29" customFormat="1" x14ac:dyDescent="0.25">
      <c r="C2172" s="896"/>
      <c r="D2172" s="896"/>
      <c r="E2172" s="896"/>
      <c r="F2172" s="898"/>
      <c r="G2172" s="898"/>
      <c r="H2172" s="898"/>
      <c r="I2172" s="898"/>
      <c r="J2172" s="898"/>
      <c r="Q2172" s="13" t="s">
        <v>2130</v>
      </c>
      <c r="R2172" s="13">
        <f>R2171*0.08</f>
        <v>818.3406598819513</v>
      </c>
    </row>
    <row r="2173" spans="3:21" s="29" customFormat="1" x14ac:dyDescent="0.25">
      <c r="C2173" s="896"/>
      <c r="D2173" s="896"/>
      <c r="E2173" s="896"/>
      <c r="F2173" s="898"/>
      <c r="G2173" s="898"/>
      <c r="H2173" s="898"/>
      <c r="I2173" s="898"/>
      <c r="J2173" s="898"/>
      <c r="Q2173" s="13" t="s">
        <v>1686</v>
      </c>
      <c r="R2173" s="13">
        <f>SUM(R2171+R2172)</f>
        <v>11047.598908406342</v>
      </c>
    </row>
    <row r="2174" spans="3:21" s="29" customFormat="1" x14ac:dyDescent="0.25">
      <c r="C2174" s="106"/>
      <c r="D2174" s="106"/>
      <c r="E2174" s="106"/>
      <c r="F2174" s="107"/>
      <c r="G2174" s="107"/>
      <c r="H2174" s="107"/>
      <c r="I2174" s="107"/>
      <c r="J2174" s="107"/>
    </row>
    <row r="2175" spans="3:21" s="29" customFormat="1" x14ac:dyDescent="0.25">
      <c r="C2175" s="106"/>
      <c r="D2175" s="106"/>
      <c r="E2175" s="106"/>
      <c r="F2175" s="107"/>
      <c r="G2175" s="107"/>
      <c r="H2175" s="107"/>
      <c r="I2175" s="107"/>
      <c r="J2175" s="107"/>
    </row>
    <row r="2176" spans="3:21" s="29" customFormat="1" x14ac:dyDescent="0.25">
      <c r="C2176" s="106"/>
      <c r="D2176" s="106"/>
      <c r="E2176" s="106"/>
      <c r="F2176" s="107"/>
      <c r="G2176" s="107"/>
      <c r="H2176" s="107"/>
      <c r="I2176" s="107"/>
      <c r="J2176" s="107"/>
    </row>
    <row r="2177" spans="3:59" s="29" customFormat="1" x14ac:dyDescent="0.25">
      <c r="C2177" s="106"/>
      <c r="D2177" s="106"/>
      <c r="E2177" s="106"/>
      <c r="F2177" s="107"/>
      <c r="G2177" s="107"/>
      <c r="H2177" s="107"/>
      <c r="I2177" s="107"/>
      <c r="J2177" s="107"/>
    </row>
    <row r="2178" spans="3:59" s="29" customFormat="1" x14ac:dyDescent="0.25">
      <c r="C2178" s="106"/>
      <c r="D2178" s="106"/>
      <c r="E2178" s="106"/>
      <c r="F2178" s="107"/>
      <c r="G2178" s="107"/>
      <c r="H2178" s="107"/>
      <c r="I2178" s="107"/>
      <c r="J2178" s="107"/>
    </row>
    <row r="2179" spans="3:59" s="29" customFormat="1" x14ac:dyDescent="0.25"/>
    <row r="2180" spans="3:59" s="29" customFormat="1" x14ac:dyDescent="0.25"/>
    <row r="2181" spans="3:59" s="29" customFormat="1" x14ac:dyDescent="0.25">
      <c r="M2181" s="750" t="s">
        <v>336</v>
      </c>
      <c r="N2181" s="750" t="s">
        <v>174</v>
      </c>
      <c r="O2181" s="750" t="s">
        <v>248</v>
      </c>
      <c r="P2181" s="750" t="s">
        <v>176</v>
      </c>
      <c r="Q2181" s="750" t="s">
        <v>337</v>
      </c>
      <c r="R2181" s="750" t="s">
        <v>1641</v>
      </c>
      <c r="S2181" s="750" t="s">
        <v>1642</v>
      </c>
      <c r="T2181" s="750" t="s">
        <v>1643</v>
      </c>
      <c r="U2181" s="750" t="s">
        <v>1644</v>
      </c>
      <c r="V2181" s="750" t="s">
        <v>1919</v>
      </c>
      <c r="W2181" s="750" t="s">
        <v>1920</v>
      </c>
      <c r="X2181" s="750" t="s">
        <v>1921</v>
      </c>
      <c r="Y2181" s="750" t="s">
        <v>1922</v>
      </c>
      <c r="Z2181" s="750" t="s">
        <v>1924</v>
      </c>
      <c r="AA2181" s="750" t="s">
        <v>1923</v>
      </c>
      <c r="AB2181" s="750" t="s">
        <v>1925</v>
      </c>
      <c r="AC2181" s="750" t="s">
        <v>1926</v>
      </c>
      <c r="AD2181" s="750" t="s">
        <v>1927</v>
      </c>
      <c r="AE2181" s="750" t="s">
        <v>1928</v>
      </c>
      <c r="AF2181" s="750" t="s">
        <v>1929</v>
      </c>
      <c r="AG2181" s="750" t="s">
        <v>1872</v>
      </c>
      <c r="AH2181" s="750" t="s">
        <v>1873</v>
      </c>
      <c r="AI2181" s="750" t="s">
        <v>1780</v>
      </c>
      <c r="AJ2181" s="750" t="s">
        <v>2035</v>
      </c>
      <c r="AK2181" s="750" t="s">
        <v>2036</v>
      </c>
      <c r="AL2181" s="750" t="s">
        <v>2037</v>
      </c>
      <c r="AM2181" s="750" t="s">
        <v>2038</v>
      </c>
      <c r="AN2181" s="750" t="s">
        <v>2039</v>
      </c>
      <c r="AO2181" s="750" t="s">
        <v>2040</v>
      </c>
      <c r="AP2181" s="750" t="s">
        <v>2041</v>
      </c>
      <c r="AQ2181" s="750" t="s">
        <v>2042</v>
      </c>
      <c r="AR2181" s="750" t="s">
        <v>2043</v>
      </c>
      <c r="AS2181" s="750" t="s">
        <v>2045</v>
      </c>
      <c r="AT2181" s="750" t="s">
        <v>2044</v>
      </c>
    </row>
    <row r="2182" spans="3:59" s="29" customFormat="1" x14ac:dyDescent="0.25">
      <c r="C2182" s="115" t="s">
        <v>357</v>
      </c>
      <c r="D2182" s="115" t="s">
        <v>358</v>
      </c>
      <c r="E2182" s="115" t="s">
        <v>359</v>
      </c>
      <c r="F2182" s="115" t="s">
        <v>360</v>
      </c>
      <c r="G2182" s="115" t="s">
        <v>361</v>
      </c>
      <c r="M2182" s="750" t="s">
        <v>344</v>
      </c>
      <c r="N2182" s="577"/>
      <c r="O2182" s="750" t="s">
        <v>342</v>
      </c>
      <c r="P2182" s="750">
        <v>100</v>
      </c>
      <c r="Q2182" s="750">
        <f>N2182*P2182</f>
        <v>0</v>
      </c>
      <c r="R2182" s="750">
        <v>0</v>
      </c>
      <c r="S2182" s="750">
        <f>P2182*R2182</f>
        <v>0</v>
      </c>
      <c r="T2182" s="750">
        <f>P2182-S2182</f>
        <v>100</v>
      </c>
      <c r="U2182" s="750">
        <f>Q2182+((S2182*Q2182)/P2182)</f>
        <v>0</v>
      </c>
      <c r="V2182" s="750"/>
      <c r="W2182" s="750"/>
      <c r="X2182" s="750"/>
      <c r="Y2182" s="750"/>
      <c r="Z2182" s="750"/>
      <c r="AA2182" s="750"/>
      <c r="AB2182" s="750"/>
      <c r="AC2182" s="750"/>
      <c r="AD2182" s="750"/>
      <c r="AE2182" s="750"/>
      <c r="AF2182" s="750"/>
      <c r="AG2182" s="750">
        <f>$AO$27/4</f>
        <v>18.899999999999999</v>
      </c>
      <c r="AH2182" s="750">
        <f t="shared" ref="AH2182:AH2205" si="573">$AO$29</f>
        <v>1547.3435977313275</v>
      </c>
      <c r="AI2182" s="750">
        <v>0.6</v>
      </c>
      <c r="AJ2182" s="750">
        <f>(((U2182+V2182+AG2182+AH2182)*AI2182)+(U2182+V2182+AG2182+AH2182))*1.08</f>
        <v>2706.4689368797344</v>
      </c>
      <c r="AK2182" s="750">
        <f>(((U2182+W2182+AG2182+AH2182)*AI2182)+(U2182+W2182+AG2182+AH2182))*1.08</f>
        <v>2706.4689368797344</v>
      </c>
      <c r="AL2182" s="750">
        <f>(((U2182+X2182+AG2182+AH2182)*AI2182)+(U2182+X2182+AG2182+AH2182))*1.08</f>
        <v>2706.4689368797344</v>
      </c>
      <c r="AM2182" s="750">
        <f t="shared" ref="AM2182:AM2188" si="574">(((U2182+Y2182+AG2182+AH2182)*AI2182)+(U2182+Y2182+AG2182+AH2182))*1.08</f>
        <v>2706.4689368797344</v>
      </c>
      <c r="AN2182" s="750">
        <f t="shared" ref="AN2182:AN2187" si="575">(((U2182+Z2182+AG2182+AH2182)*AI2182)+(U2182+Z2182+AG2182+AH2182))*1.08</f>
        <v>2706.4689368797344</v>
      </c>
      <c r="AO2182" s="750">
        <f>(((U2182+AA2182+AG2182+AH2182)*AI2182)+(U2182+AA2182+AG2182+AH2182))*1.08</f>
        <v>2706.4689368797344</v>
      </c>
      <c r="AP2182" s="750">
        <f>(((U2182+AB2182+AG2182+AH2182)*AI2182)+(U2182+AB2182+AG2182+AH2182))*1.08</f>
        <v>2706.4689368797344</v>
      </c>
      <c r="AQ2182" s="750">
        <f>(((U2182+AC2182+AG2182+AH2182)*AI2182)+(U2182+AC2182+AG2182+AH2182))*1.08</f>
        <v>2706.4689368797344</v>
      </c>
      <c r="AR2182" s="750">
        <f>(((U2182+AD2182+AG2182+AH2182)*AI2182)+(U2182+AD2182+AG2182+AH2182))*1.08</f>
        <v>2706.4689368797344</v>
      </c>
      <c r="AS2182" s="750">
        <f>(((U2182+AE2182+AG2182+AH2182)*AI2182)+(U2182+AE2182+AG2182+AH2182))*1.08</f>
        <v>2706.4689368797344</v>
      </c>
      <c r="AT2182" s="750">
        <f>(((U2182+AF2182+AG2182+AH2182)*AI2182)+(U2182+AF2182+AG2182+AH2182))*1.08</f>
        <v>2706.4689368797344</v>
      </c>
    </row>
    <row r="2183" spans="3:59" s="29" customFormat="1" ht="38.25" x14ac:dyDescent="0.25">
      <c r="C2183" s="1002" t="s">
        <v>362</v>
      </c>
      <c r="D2183" s="116" t="s">
        <v>363</v>
      </c>
      <c r="E2183" s="116" t="s">
        <v>1010</v>
      </c>
      <c r="F2183" s="116" t="s">
        <v>364</v>
      </c>
      <c r="G2183" s="116" t="s">
        <v>365</v>
      </c>
      <c r="M2183" s="750" t="s">
        <v>359</v>
      </c>
      <c r="N2183" s="577"/>
      <c r="O2183" s="750" t="s">
        <v>342</v>
      </c>
      <c r="P2183" s="750">
        <v>120</v>
      </c>
      <c r="Q2183" s="750">
        <f t="shared" ref="Q2183" si="576">N2183*P2183</f>
        <v>0</v>
      </c>
      <c r="R2183" s="750">
        <v>0</v>
      </c>
      <c r="S2183" s="750">
        <f t="shared" ref="S2183:S2205" si="577">P2183*R2183</f>
        <v>0</v>
      </c>
      <c r="T2183" s="750">
        <f t="shared" ref="T2183:T2205" si="578">P2183-S2183</f>
        <v>120</v>
      </c>
      <c r="U2183" s="750">
        <f t="shared" ref="U2183:U2204" si="579">Q2183+((S2183*Q2183)/P2183)</f>
        <v>0</v>
      </c>
      <c r="V2183" s="750"/>
      <c r="W2183" s="750"/>
      <c r="X2183" s="750"/>
      <c r="Y2183" s="750"/>
      <c r="Z2183" s="750"/>
      <c r="AA2183" s="750"/>
      <c r="AB2183" s="750"/>
      <c r="AC2183" s="750"/>
      <c r="AD2183" s="750"/>
      <c r="AE2183" s="750"/>
      <c r="AF2183" s="750"/>
      <c r="AG2183" s="750">
        <f t="shared" ref="AG2183:AG2205" si="580">$AO$27/4</f>
        <v>18.899999999999999</v>
      </c>
      <c r="AH2183" s="750">
        <f t="shared" si="573"/>
        <v>1547.3435977313275</v>
      </c>
      <c r="AI2183" s="750">
        <v>0.6</v>
      </c>
      <c r="AJ2183" s="750">
        <f>(((U2183+V2183+AG2183+AH2183)*AI2183)+(U2183+V2183+AG2183+AH2183))*1.08</f>
        <v>2706.4689368797344</v>
      </c>
      <c r="AK2183" s="750">
        <f>(((U2183+W2183+AG2183+AH2183)*AI2183)+(U2183+W2183+AG2183+AH2183))*1.08</f>
        <v>2706.4689368797344</v>
      </c>
      <c r="AL2183" s="750">
        <f>(((U2183+X2183+AG2183+AH2183)*AI2183)+(U2183+X2183+AG2183+AH2183))*1.08</f>
        <v>2706.4689368797344</v>
      </c>
      <c r="AM2183" s="750">
        <f t="shared" si="574"/>
        <v>2706.4689368797344</v>
      </c>
      <c r="AN2183" s="750">
        <f t="shared" si="575"/>
        <v>2706.4689368797344</v>
      </c>
      <c r="AO2183" s="750">
        <f>(((U2183+AA2183+AG2183+AH2183)*AI2183)+(U2183+AA2183+AG2183+AH2183))*1.08</f>
        <v>2706.4689368797344</v>
      </c>
      <c r="AP2183" s="750">
        <f>(((U2183+AB2183+AG2183+AH2183)*AI2183)+(U2183+AB2183+AG2183+AH2183))*1.08</f>
        <v>2706.4689368797344</v>
      </c>
      <c r="AQ2183" s="750">
        <f>(((U2183+AC2183+AG2183+AH2183)*AI2183)+(U2183+AC2183+AG2183+AH2183))*1.08</f>
        <v>2706.4689368797344</v>
      </c>
      <c r="AR2183" s="750">
        <f>(((U2183+AD2183+AG2183+AH2183)*AI2183)+(U2183+AD2183+AG2183+AH2183))*1.08</f>
        <v>2706.4689368797344</v>
      </c>
      <c r="AS2183" s="750">
        <f>(((U2183+AE2183+AG2183+AH2183)*AI2183)+(U2183+AE2183+AG2183+AH2183))*1.08</f>
        <v>2706.4689368797344</v>
      </c>
      <c r="AT2183" s="750">
        <f>(((U2183+AF2183+AG2183+AH2183)*AI2183)+(U2183+AF2183+AG2183+AH2183))*1.08</f>
        <v>2706.4689368797344</v>
      </c>
      <c r="AU2183" s="30"/>
    </row>
    <row r="2184" spans="3:59" s="29" customFormat="1" ht="38.25" x14ac:dyDescent="0.25">
      <c r="C2184" s="1002"/>
      <c r="D2184" s="116" t="s">
        <v>366</v>
      </c>
      <c r="E2184" s="116" t="s">
        <v>1011</v>
      </c>
      <c r="F2184" s="116" t="s">
        <v>364</v>
      </c>
      <c r="G2184" s="116" t="s">
        <v>365</v>
      </c>
      <c r="M2184" s="750" t="s">
        <v>478</v>
      </c>
      <c r="N2184" s="577">
        <f>S8</f>
        <v>59</v>
      </c>
      <c r="O2184" s="750" t="str">
        <f>R8</f>
        <v>g</v>
      </c>
      <c r="P2184" s="750">
        <v>80</v>
      </c>
      <c r="Q2184" s="750">
        <f>N2184*P2184</f>
        <v>4720</v>
      </c>
      <c r="R2184" s="750">
        <f>AN4</f>
        <v>0.41</v>
      </c>
      <c r="S2184" s="750">
        <f t="shared" si="577"/>
        <v>32.799999999999997</v>
      </c>
      <c r="T2184" s="750">
        <f t="shared" si="578"/>
        <v>47.2</v>
      </c>
      <c r="U2184" s="750">
        <f t="shared" si="579"/>
        <v>6655.2</v>
      </c>
      <c r="V2184" s="577">
        <f>$AR$8</f>
        <v>267.22379169571428</v>
      </c>
      <c r="W2184" s="577">
        <f>$AR$9</f>
        <v>178.14919446380952</v>
      </c>
      <c r="X2184" s="577">
        <f>$AR$10</f>
        <v>267.22379169571428</v>
      </c>
      <c r="Y2184" s="577">
        <f>$AR$11</f>
        <v>267.22379169571428</v>
      </c>
      <c r="Z2184" s="577">
        <f>$AR$12</f>
        <v>267.22379169571428</v>
      </c>
      <c r="AA2184" s="577">
        <f>$AR$13</f>
        <v>178.14919446380952</v>
      </c>
      <c r="AB2184" s="577">
        <f>$AR$14</f>
        <v>178.14919446380952</v>
      </c>
      <c r="AC2184" s="577">
        <f>$AR$15</f>
        <v>267.22379169571428</v>
      </c>
      <c r="AD2184" s="577" t="s">
        <v>1539</v>
      </c>
      <c r="AE2184" s="577" t="s">
        <v>1963</v>
      </c>
      <c r="AF2184" s="577" t="s">
        <v>1539</v>
      </c>
      <c r="AG2184" s="750">
        <f t="shared" si="580"/>
        <v>18.899999999999999</v>
      </c>
      <c r="AH2184" s="750">
        <f t="shared" si="573"/>
        <v>1547.3435977313275</v>
      </c>
      <c r="AI2184" s="750">
        <v>0.6</v>
      </c>
      <c r="AJ2184" s="750">
        <f>(((U2184+V2184+AG2184+AH2184)*AI2184)+(U2184+V2184+AG2184+AH2184))*1.08</f>
        <v>14668.417248929929</v>
      </c>
      <c r="AK2184" s="750">
        <f>(((U2184+W2184+AG2184+AH2184)*AI2184)+(U2184+W2184+AG2184+AH2184))*1.08</f>
        <v>14514.496344913199</v>
      </c>
      <c r="AL2184" s="750">
        <f>(((U2184+X2184+AG2184+AH2184)*AI2184)+(U2184+X2184+AG2184+AH2184))*1.08</f>
        <v>14668.417248929929</v>
      </c>
      <c r="AM2184" s="750">
        <f t="shared" si="574"/>
        <v>14668.417248929929</v>
      </c>
      <c r="AN2184" s="750">
        <f t="shared" si="575"/>
        <v>14668.417248929929</v>
      </c>
      <c r="AO2184" s="750">
        <f>(((U2184+AA2184+AG2184+AH2184)*AI2184)+(U2184+AA2184+AG2184+AH2184))*1.08</f>
        <v>14514.496344913199</v>
      </c>
      <c r="AP2184" s="750">
        <f>(((U2184+AB2184+AG2184+AH2184)*AI2184)+(U2184+AB2184+AG2184+AH2184))*1.08</f>
        <v>14514.496344913199</v>
      </c>
      <c r="AQ2184" s="750">
        <f>(((U2184+AC2184+AG2184+AH2184)*AI2184)+(U2184+AC2184+AG2184+AH2184))*1.08</f>
        <v>14668.417248929929</v>
      </c>
      <c r="AR2184" s="750"/>
      <c r="AS2184" s="750"/>
      <c r="AT2184" s="750"/>
      <c r="AU2184" s="107"/>
    </row>
    <row r="2185" spans="3:59" s="29" customFormat="1" ht="51" x14ac:dyDescent="0.25">
      <c r="C2185" s="1002" t="s">
        <v>367</v>
      </c>
      <c r="D2185" s="116" t="s">
        <v>368</v>
      </c>
      <c r="E2185" s="116" t="s">
        <v>1012</v>
      </c>
      <c r="F2185" s="116" t="s">
        <v>1021</v>
      </c>
      <c r="G2185" s="116" t="s">
        <v>1013</v>
      </c>
      <c r="M2185" s="750" t="s">
        <v>484</v>
      </c>
      <c r="N2185" s="577">
        <f>S7</f>
        <v>54</v>
      </c>
      <c r="O2185" s="750" t="str">
        <f>R7</f>
        <v>g</v>
      </c>
      <c r="P2185" s="750">
        <v>80</v>
      </c>
      <c r="Q2185" s="750">
        <f t="shared" ref="Q2185:Q2205" si="581">N2185*P2185</f>
        <v>4320</v>
      </c>
      <c r="R2185" s="750">
        <f>AN2</f>
        <v>0.33</v>
      </c>
      <c r="S2185" s="750">
        <f t="shared" si="577"/>
        <v>26.400000000000002</v>
      </c>
      <c r="T2185" s="750">
        <f t="shared" si="578"/>
        <v>53.599999999999994</v>
      </c>
      <c r="U2185" s="750">
        <f t="shared" si="579"/>
        <v>5745.6</v>
      </c>
      <c r="V2185" s="577" t="s">
        <v>1539</v>
      </c>
      <c r="W2185" s="577" t="s">
        <v>1539</v>
      </c>
      <c r="X2185" s="577" t="s">
        <v>1539</v>
      </c>
      <c r="Y2185" s="577">
        <f t="shared" ref="Y2185:Y2192" si="582">$AR$11</f>
        <v>267.22379169571428</v>
      </c>
      <c r="Z2185" s="577">
        <f t="shared" ref="Z2185:Z2191" si="583">$AR$12</f>
        <v>267.22379169571428</v>
      </c>
      <c r="AA2185" s="577">
        <f t="shared" ref="AA2185:AA2186" si="584">$AR$13</f>
        <v>178.14919446380952</v>
      </c>
      <c r="AB2185" s="577">
        <f t="shared" ref="AB2185:AB2186" si="585">$AR$14</f>
        <v>178.14919446380952</v>
      </c>
      <c r="AC2185" s="577" t="s">
        <v>1539</v>
      </c>
      <c r="AD2185" s="577" t="s">
        <v>1539</v>
      </c>
      <c r="AE2185" s="577" t="s">
        <v>1539</v>
      </c>
      <c r="AF2185" s="577">
        <f>AR18</f>
        <v>178.14919446380952</v>
      </c>
      <c r="AG2185" s="750">
        <f t="shared" si="580"/>
        <v>18.899999999999999</v>
      </c>
      <c r="AH2185" s="750">
        <f t="shared" si="573"/>
        <v>1547.3435977313275</v>
      </c>
      <c r="AI2185" s="750">
        <v>0.6</v>
      </c>
      <c r="AJ2185" s="750"/>
      <c r="AK2185" s="750"/>
      <c r="AL2185" s="750"/>
      <c r="AM2185" s="750">
        <f t="shared" si="574"/>
        <v>13096.628448929929</v>
      </c>
      <c r="AN2185" s="750">
        <f t="shared" si="575"/>
        <v>13096.628448929929</v>
      </c>
      <c r="AO2185" s="750">
        <f>(((U2185+AA2185+AG2185+AH2185)*AI2185)+(U2185+AA2185+AG2185+AH2185))*1.08</f>
        <v>12942.707544913197</v>
      </c>
      <c r="AP2185" s="750">
        <f>(((U2185+AB2185+AG2185+AH2185)*AI2185)+(U2185+AB2185+AG2185+AH2185))*1.08</f>
        <v>12942.707544913197</v>
      </c>
      <c r="AQ2185" s="750"/>
      <c r="AR2185" s="750"/>
      <c r="AS2185" s="750"/>
      <c r="AT2185" s="750">
        <f>(((U2185+AF2185+AG2185+AH2185)*AI2185)+(U2185+AF2185+AG2185+AH2185))*1.08</f>
        <v>12942.707544913197</v>
      </c>
      <c r="AU2185" s="107"/>
    </row>
    <row r="2186" spans="3:59" s="29" customFormat="1" ht="51" x14ac:dyDescent="0.25">
      <c r="C2186" s="1002"/>
      <c r="D2186" s="116" t="s">
        <v>369</v>
      </c>
      <c r="E2186" s="116" t="s">
        <v>1014</v>
      </c>
      <c r="F2186" s="116" t="s">
        <v>1022</v>
      </c>
      <c r="G2186" s="116" t="s">
        <v>1015</v>
      </c>
      <c r="M2186" s="750" t="s">
        <v>349</v>
      </c>
      <c r="N2186" s="577">
        <f>S15</f>
        <v>41</v>
      </c>
      <c r="O2186" s="750" t="str">
        <f>R15</f>
        <v>g</v>
      </c>
      <c r="P2186" s="750">
        <v>80</v>
      </c>
      <c r="Q2186" s="750">
        <f t="shared" si="581"/>
        <v>3280</v>
      </c>
      <c r="R2186" s="750">
        <f>AN3</f>
        <v>0.47</v>
      </c>
      <c r="S2186" s="750">
        <f t="shared" si="577"/>
        <v>37.599999999999994</v>
      </c>
      <c r="T2186" s="750">
        <f t="shared" si="578"/>
        <v>42.400000000000006</v>
      </c>
      <c r="U2186" s="750">
        <f t="shared" si="579"/>
        <v>4821.6000000000004</v>
      </c>
      <c r="V2186" s="577">
        <f t="shared" ref="V2186" si="586">$AR$8</f>
        <v>267.22379169571428</v>
      </c>
      <c r="W2186" s="577">
        <f t="shared" ref="W2186:W2192" si="587">$AR$9</f>
        <v>178.14919446380952</v>
      </c>
      <c r="X2186" s="577">
        <f t="shared" ref="X2186:X2197" si="588">$AR$10</f>
        <v>267.22379169571428</v>
      </c>
      <c r="Y2186" s="577">
        <f t="shared" si="582"/>
        <v>267.22379169571428</v>
      </c>
      <c r="Z2186" s="577">
        <f t="shared" si="583"/>
        <v>267.22379169571428</v>
      </c>
      <c r="AA2186" s="577">
        <f t="shared" si="584"/>
        <v>178.14919446380952</v>
      </c>
      <c r="AB2186" s="577">
        <f t="shared" si="585"/>
        <v>178.14919446380952</v>
      </c>
      <c r="AC2186" s="577">
        <f t="shared" ref="AC2186" si="589">$AR$15</f>
        <v>267.22379169571428</v>
      </c>
      <c r="AD2186" s="577" t="s">
        <v>1539</v>
      </c>
      <c r="AE2186" s="577" t="s">
        <v>1539</v>
      </c>
      <c r="AF2186" s="577" t="s">
        <v>1539</v>
      </c>
      <c r="AG2186" s="750">
        <f t="shared" si="580"/>
        <v>18.899999999999999</v>
      </c>
      <c r="AH2186" s="750">
        <f t="shared" si="573"/>
        <v>1547.3435977313275</v>
      </c>
      <c r="AI2186" s="750">
        <v>0.6</v>
      </c>
      <c r="AJ2186" s="750">
        <f>(((U2186+V2186+AG2186+AH2186)*AI2186)+(U2186+V2186+AG2186+AH2186))*1.08</f>
        <v>11499.95644892993</v>
      </c>
      <c r="AK2186" s="750">
        <f>(((U2186+W2186+AG2186+AH2186)*AI2186)+(U2186+W2186+AG2186+AH2186))*1.08</f>
        <v>11346.035544913197</v>
      </c>
      <c r="AL2186" s="750">
        <f>(((U2186+X2186+AG2186+AH2186)*AI2186)+(U2186+X2186+AG2186+AH2186))*1.08</f>
        <v>11499.95644892993</v>
      </c>
      <c r="AM2186" s="750">
        <f t="shared" si="574"/>
        <v>11499.95644892993</v>
      </c>
      <c r="AN2186" s="750">
        <f t="shared" si="575"/>
        <v>11499.95644892993</v>
      </c>
      <c r="AO2186" s="750">
        <f>(((U2186+AA2186+AG2186+AH2186)*AI2186)+(U2186+AA2186+AG2186+AH2186))*1.08</f>
        <v>11346.035544913197</v>
      </c>
      <c r="AP2186" s="750">
        <f>(((U2186+AB2186+AG2186+AH2186)*AI2186)+(U2186+AB2186+AG2186+AH2186))*1.08</f>
        <v>11346.035544913197</v>
      </c>
      <c r="AQ2186" s="750">
        <f>(((U2186+AC2186+AG2186+AH2186)*AI2186)+(U2186+AC2186+AG2186+AH2186))*1.08</f>
        <v>11499.95644892993</v>
      </c>
      <c r="AR2186" s="750"/>
      <c r="AS2186" s="750"/>
      <c r="AT2186" s="750"/>
      <c r="AU2186" s="107"/>
      <c r="AY2186" s="1052" t="s">
        <v>2122</v>
      </c>
      <c r="AZ2186" s="1052"/>
      <c r="BA2186" s="1052"/>
      <c r="BB2186" s="1052"/>
      <c r="BC2186" s="1052"/>
      <c r="BD2186" s="1052"/>
      <c r="BE2186" s="1052"/>
      <c r="BF2186" s="1052"/>
      <c r="BG2186" s="1052"/>
    </row>
    <row r="2187" spans="3:59" s="29" customFormat="1" ht="76.5" x14ac:dyDescent="0.25">
      <c r="C2187" s="1002" t="s">
        <v>370</v>
      </c>
      <c r="D2187" s="116" t="s">
        <v>371</v>
      </c>
      <c r="E2187" s="116" t="s">
        <v>1016</v>
      </c>
      <c r="F2187" s="116" t="s">
        <v>806</v>
      </c>
      <c r="G2187" s="116" t="s">
        <v>1017</v>
      </c>
      <c r="M2187" s="750" t="s">
        <v>458</v>
      </c>
      <c r="N2187" s="577">
        <f>S10</f>
        <v>32.46</v>
      </c>
      <c r="O2187" s="750" t="str">
        <f>R10</f>
        <v>g</v>
      </c>
      <c r="P2187" s="750">
        <v>80</v>
      </c>
      <c r="Q2187" s="750">
        <f t="shared" si="581"/>
        <v>2596.8000000000002</v>
      </c>
      <c r="R2187" s="750">
        <v>0</v>
      </c>
      <c r="S2187" s="750">
        <f t="shared" si="577"/>
        <v>0</v>
      </c>
      <c r="T2187" s="750">
        <f t="shared" si="578"/>
        <v>80</v>
      </c>
      <c r="U2187" s="750">
        <f t="shared" si="579"/>
        <v>2596.8000000000002</v>
      </c>
      <c r="V2187" s="577" t="s">
        <v>1539</v>
      </c>
      <c r="W2187" s="577" t="s">
        <v>1539</v>
      </c>
      <c r="X2187" s="577" t="s">
        <v>1539</v>
      </c>
      <c r="Y2187" s="577">
        <f t="shared" si="582"/>
        <v>267.22379169571428</v>
      </c>
      <c r="Z2187" s="577">
        <f t="shared" si="583"/>
        <v>267.22379169571428</v>
      </c>
      <c r="AA2187" s="577" t="s">
        <v>1539</v>
      </c>
      <c r="AB2187" s="577" t="s">
        <v>1539</v>
      </c>
      <c r="AC2187" s="577" t="s">
        <v>1539</v>
      </c>
      <c r="AD2187" s="577" t="s">
        <v>1539</v>
      </c>
      <c r="AE2187" s="577" t="s">
        <v>1539</v>
      </c>
      <c r="AF2187" s="577" t="s">
        <v>1539</v>
      </c>
      <c r="AG2187" s="750">
        <f t="shared" si="580"/>
        <v>18.899999999999999</v>
      </c>
      <c r="AH2187" s="750">
        <f t="shared" si="573"/>
        <v>1547.3435977313275</v>
      </c>
      <c r="AI2187" s="750">
        <v>0.6</v>
      </c>
      <c r="AJ2187" s="750"/>
      <c r="AK2187" s="750"/>
      <c r="AL2187" s="750"/>
      <c r="AM2187" s="750">
        <f t="shared" si="574"/>
        <v>7655.5020489299286</v>
      </c>
      <c r="AN2187" s="750">
        <f t="shared" si="575"/>
        <v>7655.5020489299286</v>
      </c>
      <c r="AO2187" s="750"/>
      <c r="AP2187" s="750"/>
      <c r="AQ2187" s="750"/>
      <c r="AR2187" s="750"/>
      <c r="AS2187" s="750"/>
      <c r="AT2187" s="750"/>
      <c r="AU2187" s="107"/>
      <c r="AY2187" s="739" t="s">
        <v>336</v>
      </c>
      <c r="AZ2187" s="739" t="s">
        <v>174</v>
      </c>
      <c r="BA2187" s="739" t="s">
        <v>248</v>
      </c>
      <c r="BB2187" s="739" t="s">
        <v>176</v>
      </c>
      <c r="BC2187" s="739" t="s">
        <v>337</v>
      </c>
      <c r="BD2187" s="739" t="s">
        <v>1641</v>
      </c>
      <c r="BE2187" s="739" t="s">
        <v>1642</v>
      </c>
      <c r="BF2187" s="739" t="s">
        <v>1643</v>
      </c>
      <c r="BG2187" s="739" t="s">
        <v>1644</v>
      </c>
    </row>
    <row r="2188" spans="3:59" s="29" customFormat="1" ht="76.5" x14ac:dyDescent="0.25">
      <c r="C2188" s="1002"/>
      <c r="D2188" s="116" t="s">
        <v>372</v>
      </c>
      <c r="E2188" s="116" t="s">
        <v>1018</v>
      </c>
      <c r="F2188" s="116" t="s">
        <v>1019</v>
      </c>
      <c r="G2188" s="116" t="s">
        <v>1020</v>
      </c>
      <c r="M2188" s="750" t="s">
        <v>485</v>
      </c>
      <c r="N2188" s="577">
        <f>V12</f>
        <v>25.98</v>
      </c>
      <c r="O2188" s="750" t="str">
        <f>U12</f>
        <v>g</v>
      </c>
      <c r="P2188" s="750">
        <v>30</v>
      </c>
      <c r="Q2188" s="750">
        <f t="shared" si="581"/>
        <v>779.4</v>
      </c>
      <c r="R2188" s="750">
        <v>0</v>
      </c>
      <c r="S2188" s="750">
        <f t="shared" si="577"/>
        <v>0</v>
      </c>
      <c r="T2188" s="750">
        <f t="shared" si="578"/>
        <v>30</v>
      </c>
      <c r="U2188" s="750">
        <f t="shared" si="579"/>
        <v>779.4</v>
      </c>
      <c r="V2188" s="577" t="s">
        <v>1539</v>
      </c>
      <c r="W2188" s="577" t="s">
        <v>1539</v>
      </c>
      <c r="X2188" s="577" t="s">
        <v>1539</v>
      </c>
      <c r="Y2188" s="577">
        <f>AO26</f>
        <v>953.74829894127811</v>
      </c>
      <c r="Z2188" s="577" t="s">
        <v>1539</v>
      </c>
      <c r="AA2188" s="577">
        <f>AO26</f>
        <v>953.74829894127811</v>
      </c>
      <c r="AB2188" s="577" t="s">
        <v>1539</v>
      </c>
      <c r="AC2188" s="577" t="s">
        <v>1539</v>
      </c>
      <c r="AD2188" s="577" t="s">
        <v>1539</v>
      </c>
      <c r="AE2188" s="577" t="s">
        <v>1539</v>
      </c>
      <c r="AF2188" s="577" t="s">
        <v>1539</v>
      </c>
      <c r="AG2188" s="750">
        <f t="shared" si="580"/>
        <v>18.899999999999999</v>
      </c>
      <c r="AH2188" s="750">
        <f t="shared" si="573"/>
        <v>1547.3435977313275</v>
      </c>
      <c r="AI2188" s="750">
        <v>0.6</v>
      </c>
      <c r="AJ2188" s="750"/>
      <c r="AK2188" s="750"/>
      <c r="AL2188" s="750"/>
      <c r="AM2188" s="750">
        <f t="shared" si="574"/>
        <v>5701.3491974502631</v>
      </c>
      <c r="AN2188" s="750"/>
      <c r="AO2188" s="750">
        <f>(((U2188+AA2188+AG2188+AH2188)*AI2188)+(U2188+AA2188+AG2188+AH2188))*1.08</f>
        <v>5701.3491974502631</v>
      </c>
      <c r="AP2188" s="750"/>
      <c r="AQ2188" s="750"/>
      <c r="AR2188" s="750"/>
      <c r="AS2188" s="750"/>
      <c r="AT2188" s="750"/>
      <c r="AU2188" s="107"/>
      <c r="AY2188" s="746" t="s">
        <v>2123</v>
      </c>
      <c r="AZ2188" s="749">
        <f>V8</f>
        <v>115.48</v>
      </c>
      <c r="BA2188" s="746" t="str">
        <f>U8</f>
        <v>g</v>
      </c>
      <c r="BB2188" s="746">
        <v>50</v>
      </c>
      <c r="BC2188" s="746">
        <f>AZ2188</f>
        <v>115.48</v>
      </c>
      <c r="BD2188" s="746">
        <v>0</v>
      </c>
      <c r="BE2188" s="746">
        <f>BB2188*BD2188</f>
        <v>0</v>
      </c>
      <c r="BF2188" s="746">
        <f>BB2188-BE2188</f>
        <v>50</v>
      </c>
      <c r="BG2188" s="746">
        <f>BC2188+((BE2188*BC2188)/BB2188)</f>
        <v>115.48</v>
      </c>
    </row>
    <row r="2189" spans="3:59" s="29" customFormat="1" x14ac:dyDescent="0.25">
      <c r="C2189" s="108"/>
      <c r="D2189" s="109"/>
      <c r="E2189" s="109"/>
      <c r="F2189" s="109"/>
      <c r="G2189" s="109"/>
      <c r="M2189" s="750" t="s">
        <v>459</v>
      </c>
      <c r="N2189" s="577">
        <f>S6</f>
        <v>30</v>
      </c>
      <c r="O2189" s="750" t="str">
        <f>R6</f>
        <v>g</v>
      </c>
      <c r="P2189" s="750">
        <v>70</v>
      </c>
      <c r="Q2189" s="750">
        <f t="shared" si="581"/>
        <v>2100</v>
      </c>
      <c r="R2189" s="750">
        <f>AN6</f>
        <v>0</v>
      </c>
      <c r="S2189" s="750">
        <f t="shared" si="577"/>
        <v>0</v>
      </c>
      <c r="T2189" s="750">
        <f t="shared" si="578"/>
        <v>70</v>
      </c>
      <c r="U2189" s="750">
        <f t="shared" si="579"/>
        <v>2100</v>
      </c>
      <c r="V2189" s="577" t="s">
        <v>1539</v>
      </c>
      <c r="W2189" s="577">
        <f t="shared" si="587"/>
        <v>178.14919446380952</v>
      </c>
      <c r="X2189" s="577" t="s">
        <v>1539</v>
      </c>
      <c r="Y2189" s="577" t="s">
        <v>1963</v>
      </c>
      <c r="Z2189" s="577">
        <f t="shared" si="583"/>
        <v>267.22379169571428</v>
      </c>
      <c r="AA2189" s="577" t="s">
        <v>1963</v>
      </c>
      <c r="AB2189" s="577" t="s">
        <v>1963</v>
      </c>
      <c r="AC2189" s="577" t="s">
        <v>1963</v>
      </c>
      <c r="AD2189" s="577" t="s">
        <v>1963</v>
      </c>
      <c r="AE2189" s="577" t="s">
        <v>1963</v>
      </c>
      <c r="AF2189" s="577">
        <f t="shared" ref="AF2189:AF2204" si="590">$AR$18</f>
        <v>178.14919446380952</v>
      </c>
      <c r="AG2189" s="750">
        <f t="shared" si="580"/>
        <v>18.899999999999999</v>
      </c>
      <c r="AH2189" s="750">
        <f t="shared" si="573"/>
        <v>1547.3435977313275</v>
      </c>
      <c r="AI2189" s="750">
        <v>0.6</v>
      </c>
      <c r="AJ2189" s="750"/>
      <c r="AK2189" s="750">
        <f>(((U2189+W2189+AG2189+AH2189)*AI2189)+(U2189+W2189+AG2189+AH2189))*1.08</f>
        <v>6643.1107449131969</v>
      </c>
      <c r="AL2189" s="750"/>
      <c r="AM2189" s="750"/>
      <c r="AN2189" s="750">
        <f>(((U2189+Z2189+AG2189+AH2189)*AI2189)+(U2189+Z2189+AG2189+AH2189))*1.08</f>
        <v>6797.0316489299285</v>
      </c>
      <c r="AO2189" s="750"/>
      <c r="AP2189" s="750"/>
      <c r="AQ2189" s="750"/>
      <c r="AR2189" s="750"/>
      <c r="AS2189" s="750"/>
      <c r="AT2189" s="750">
        <f>(((U2189+AF2189+AG2189+AH2189)*AI2189)+(U2189+AF2189+AG2189+AH2189))*1.08</f>
        <v>6643.1107449131969</v>
      </c>
      <c r="AU2189" s="107"/>
      <c r="AY2189" s="746" t="s">
        <v>430</v>
      </c>
      <c r="AZ2189" s="749">
        <f>P10</f>
        <v>0.7</v>
      </c>
      <c r="BA2189" s="746" t="str">
        <f>O11</f>
        <v>g</v>
      </c>
      <c r="BB2189" s="746">
        <v>10</v>
      </c>
      <c r="BC2189" s="746">
        <f t="shared" ref="BC2189:BC2199" si="591">AZ2189*BB2189</f>
        <v>7</v>
      </c>
      <c r="BD2189" s="746">
        <v>0</v>
      </c>
      <c r="BE2189" s="746">
        <f t="shared" ref="BE2189:BE2190" si="592">BB2189*BD2189</f>
        <v>0</v>
      </c>
      <c r="BF2189" s="746">
        <f t="shared" ref="BF2189:BF2199" si="593">BB2189-BE2189</f>
        <v>10</v>
      </c>
      <c r="BG2189" s="746">
        <f t="shared" ref="BG2189:BG2199" si="594">BC2189+((BE2189*BC2189)/BB2189)</f>
        <v>7</v>
      </c>
    </row>
    <row r="2190" spans="3:59" s="29" customFormat="1" x14ac:dyDescent="0.25">
      <c r="C2190" s="108"/>
      <c r="D2190" s="109"/>
      <c r="E2190" s="109"/>
      <c r="F2190" s="109"/>
      <c r="G2190" s="109"/>
      <c r="M2190" s="750" t="s">
        <v>675</v>
      </c>
      <c r="N2190" s="577">
        <f>S9</f>
        <v>46.63</v>
      </c>
      <c r="O2190" s="750" t="str">
        <f>R9</f>
        <v>g</v>
      </c>
      <c r="P2190" s="750">
        <v>70</v>
      </c>
      <c r="Q2190" s="750">
        <f t="shared" si="581"/>
        <v>3264.1000000000004</v>
      </c>
      <c r="R2190" s="750">
        <v>0</v>
      </c>
      <c r="S2190" s="750">
        <f t="shared" si="577"/>
        <v>0</v>
      </c>
      <c r="T2190" s="750">
        <f t="shared" si="578"/>
        <v>70</v>
      </c>
      <c r="U2190" s="750">
        <f t="shared" si="579"/>
        <v>3264.1000000000004</v>
      </c>
      <c r="V2190" s="577" t="s">
        <v>1539</v>
      </c>
      <c r="W2190" s="577" t="s">
        <v>1539</v>
      </c>
      <c r="X2190" s="577" t="s">
        <v>1539</v>
      </c>
      <c r="Y2190" s="577">
        <f t="shared" si="582"/>
        <v>267.22379169571428</v>
      </c>
      <c r="Z2190" s="577">
        <f t="shared" si="583"/>
        <v>267.22379169571428</v>
      </c>
      <c r="AA2190" s="577" t="s">
        <v>1963</v>
      </c>
      <c r="AB2190" s="577" t="s">
        <v>1963</v>
      </c>
      <c r="AC2190" s="577" t="s">
        <v>1963</v>
      </c>
      <c r="AD2190" s="577" t="s">
        <v>1963</v>
      </c>
      <c r="AE2190" s="577" t="s">
        <v>1963</v>
      </c>
      <c r="AF2190" s="577" t="s">
        <v>1963</v>
      </c>
      <c r="AG2190" s="750">
        <f t="shared" si="580"/>
        <v>18.899999999999999</v>
      </c>
      <c r="AH2190" s="750">
        <f t="shared" si="573"/>
        <v>1547.3435977313275</v>
      </c>
      <c r="AI2190" s="750">
        <v>0.6</v>
      </c>
      <c r="AJ2190" s="750"/>
      <c r="AK2190" s="750"/>
      <c r="AL2190" s="750"/>
      <c r="AM2190" s="750">
        <f>(((U2190+Y2190+AG2190+AH2190)*AI2190)+(U2190+Y2190+AG2190+AH2190))*1.08</f>
        <v>8808.5964489299295</v>
      </c>
      <c r="AN2190" s="750">
        <f>(((U2190+Z2190+AG2190+AH2190)*AI2190)+(U2190+Z2190+AG2190+AH2190))*1.08</f>
        <v>8808.5964489299295</v>
      </c>
      <c r="AO2190" s="750"/>
      <c r="AP2190" s="750"/>
      <c r="AQ2190" s="750"/>
      <c r="AR2190" s="750"/>
      <c r="AS2190" s="750"/>
      <c r="AT2190" s="750"/>
      <c r="AU2190" s="107"/>
      <c r="AY2190" s="746" t="s">
        <v>354</v>
      </c>
      <c r="AZ2190" s="749">
        <f>V4</f>
        <v>3.08</v>
      </c>
      <c r="BA2190" s="746" t="str">
        <f>U4</f>
        <v>mL</v>
      </c>
      <c r="BB2190" s="746">
        <v>20</v>
      </c>
      <c r="BC2190" s="746">
        <f t="shared" si="591"/>
        <v>61.6</v>
      </c>
      <c r="BD2190" s="746">
        <v>0</v>
      </c>
      <c r="BE2190" s="746">
        <f t="shared" si="592"/>
        <v>0</v>
      </c>
      <c r="BF2190" s="746">
        <f t="shared" si="593"/>
        <v>20</v>
      </c>
      <c r="BG2190" s="746">
        <f t="shared" si="594"/>
        <v>61.6</v>
      </c>
    </row>
    <row r="2191" spans="3:59" s="29" customFormat="1" x14ac:dyDescent="0.25">
      <c r="C2191" s="108"/>
      <c r="D2191" s="109"/>
      <c r="E2191" s="109"/>
      <c r="F2191" s="109"/>
      <c r="G2191" s="109"/>
      <c r="M2191" s="750" t="s">
        <v>676</v>
      </c>
      <c r="N2191" s="577">
        <f>S16</f>
        <v>31.23</v>
      </c>
      <c r="O2191" s="750" t="str">
        <f>R16</f>
        <v>g</v>
      </c>
      <c r="P2191" s="750">
        <v>70</v>
      </c>
      <c r="Q2191" s="750">
        <f t="shared" si="581"/>
        <v>2186.1</v>
      </c>
      <c r="R2191" s="750">
        <v>0</v>
      </c>
      <c r="S2191" s="750">
        <f t="shared" si="577"/>
        <v>0</v>
      </c>
      <c r="T2191" s="750">
        <f t="shared" si="578"/>
        <v>70</v>
      </c>
      <c r="U2191" s="750">
        <f t="shared" si="579"/>
        <v>2186.1</v>
      </c>
      <c r="V2191" s="577" t="s">
        <v>1539</v>
      </c>
      <c r="W2191" s="577" t="s">
        <v>1539</v>
      </c>
      <c r="X2191" s="577" t="s">
        <v>1539</v>
      </c>
      <c r="Y2191" s="577">
        <f t="shared" si="582"/>
        <v>267.22379169571428</v>
      </c>
      <c r="Z2191" s="577">
        <f t="shared" si="583"/>
        <v>267.22379169571428</v>
      </c>
      <c r="AA2191" s="577" t="s">
        <v>1963</v>
      </c>
      <c r="AB2191" s="577" t="s">
        <v>1963</v>
      </c>
      <c r="AC2191" s="577" t="s">
        <v>1963</v>
      </c>
      <c r="AD2191" s="577" t="s">
        <v>1963</v>
      </c>
      <c r="AE2191" s="577" t="s">
        <v>1963</v>
      </c>
      <c r="AF2191" s="577" t="s">
        <v>1963</v>
      </c>
      <c r="AG2191" s="750">
        <f t="shared" si="580"/>
        <v>18.899999999999999</v>
      </c>
      <c r="AH2191" s="750">
        <f t="shared" si="573"/>
        <v>1547.3435977313275</v>
      </c>
      <c r="AI2191" s="750">
        <v>0.6</v>
      </c>
      <c r="AJ2191" s="750"/>
      <c r="AK2191" s="750"/>
      <c r="AL2191" s="750"/>
      <c r="AM2191" s="750">
        <f>(((U2191+Y2191+AG2191+AH2191)*AI2191)+(U2191+Y2191+AG2191+AH2191))*1.08</f>
        <v>6945.8124489299289</v>
      </c>
      <c r="AN2191" s="750">
        <f>(((U2191+Z2191+AG2191+AH2191)*AI2191)+(U2191+Z2191+AG2191+AH2191))*1.08</f>
        <v>6945.8124489299289</v>
      </c>
      <c r="AO2191" s="750"/>
      <c r="AP2191" s="750"/>
      <c r="AQ2191" s="750"/>
      <c r="AR2191" s="750"/>
      <c r="AS2191" s="750"/>
      <c r="AT2191" s="750"/>
      <c r="AU2191" s="107"/>
      <c r="AY2191" s="746" t="s">
        <v>729</v>
      </c>
      <c r="AZ2191" s="749">
        <f>V7</f>
        <v>19.670000000000002</v>
      </c>
      <c r="BA2191" s="746" t="str">
        <f>U7</f>
        <v>mL</v>
      </c>
      <c r="BB2191" s="746">
        <v>10</v>
      </c>
      <c r="BC2191" s="746">
        <f t="shared" si="591"/>
        <v>196.70000000000002</v>
      </c>
      <c r="BD2191" s="746">
        <f>BV47</f>
        <v>0</v>
      </c>
      <c r="BE2191" s="746">
        <f>BB2191*BD2191</f>
        <v>0</v>
      </c>
      <c r="BF2191" s="746">
        <f t="shared" si="593"/>
        <v>10</v>
      </c>
      <c r="BG2191" s="746">
        <f t="shared" si="594"/>
        <v>196.70000000000002</v>
      </c>
    </row>
    <row r="2192" spans="3:59" s="29" customFormat="1" x14ac:dyDescent="0.25">
      <c r="M2192" s="750" t="s">
        <v>469</v>
      </c>
      <c r="N2192" s="577">
        <f>S17</f>
        <v>153.78</v>
      </c>
      <c r="O2192" s="750" t="str">
        <f>R17</f>
        <v>g</v>
      </c>
      <c r="P2192" s="750">
        <v>80</v>
      </c>
      <c r="Q2192" s="750">
        <f t="shared" si="581"/>
        <v>12302.4</v>
      </c>
      <c r="R2192" s="750">
        <f>AN9</f>
        <v>0.52</v>
      </c>
      <c r="S2192" s="750">
        <f t="shared" si="577"/>
        <v>41.6</v>
      </c>
      <c r="T2192" s="750">
        <f t="shared" si="578"/>
        <v>38.4</v>
      </c>
      <c r="U2192" s="750">
        <f t="shared" si="579"/>
        <v>18699.648000000001</v>
      </c>
      <c r="V2192" s="577" t="s">
        <v>1539</v>
      </c>
      <c r="W2192" s="577">
        <f t="shared" si="587"/>
        <v>178.14919446380952</v>
      </c>
      <c r="X2192" s="577" t="s">
        <v>1539</v>
      </c>
      <c r="Y2192" s="577">
        <f t="shared" si="582"/>
        <v>267.22379169571428</v>
      </c>
      <c r="Z2192" s="577" t="s">
        <v>1963</v>
      </c>
      <c r="AA2192" s="577" t="s">
        <v>1963</v>
      </c>
      <c r="AB2192" s="577" t="s">
        <v>1963</v>
      </c>
      <c r="AC2192" s="577" t="s">
        <v>1963</v>
      </c>
      <c r="AD2192" s="577">
        <f t="shared" ref="AD2192" si="595">$AR$16</f>
        <v>178.14919446380952</v>
      </c>
      <c r="AE2192" s="577">
        <f t="shared" ref="AE2192:AE2204" si="596">$AR$17</f>
        <v>178.14919446380952</v>
      </c>
      <c r="AF2192" s="577">
        <f t="shared" si="590"/>
        <v>178.14919446380952</v>
      </c>
      <c r="AG2192" s="750">
        <f t="shared" si="580"/>
        <v>18.899999999999999</v>
      </c>
      <c r="AH2192" s="750">
        <f t="shared" si="573"/>
        <v>1547.3435977313275</v>
      </c>
      <c r="AI2192" s="750">
        <v>0.6</v>
      </c>
      <c r="AJ2192" s="750"/>
      <c r="AK2192" s="750">
        <f>(((U2192+W2192+AG2192+AH2192)*AI2192)+(U2192+W2192+AG2192+AH2192))*1.08</f>
        <v>35327.302488913207</v>
      </c>
      <c r="AL2192" s="750"/>
      <c r="AM2192" s="750">
        <f>(((U2192+Y2192+AG2192+AH2192)*AI2192)+(U2192+Y2192+AG2192+AH2192))*1.08</f>
        <v>35481.223392929933</v>
      </c>
      <c r="AN2192" s="750"/>
      <c r="AO2192" s="750"/>
      <c r="AP2192" s="750"/>
      <c r="AQ2192" s="750"/>
      <c r="AR2192" s="750">
        <f>(((U2192+AD2192+AG2192+AH2192)*AI2192)+(U2192+AD2192+AG2192+AH2192))*1.08</f>
        <v>35327.302488913207</v>
      </c>
      <c r="AS2192" s="750">
        <f>(((U2192+AE2192+AG2192+AH2192)*AI2192)+(U2192+AE2192+AG2192+AH2192))*1.08</f>
        <v>35327.302488913207</v>
      </c>
      <c r="AT2192" s="750">
        <f>(((U2192+AF2192+AG2192+AH2192)*AI2192)+(U2192+AF2192+AG2192+AH2192))*1.08</f>
        <v>35327.302488913207</v>
      </c>
      <c r="AU2192" s="107"/>
      <c r="AY2192" s="746" t="s">
        <v>347</v>
      </c>
      <c r="AZ2192" s="749">
        <f>V6</f>
        <v>28.76</v>
      </c>
      <c r="BA2192" s="746" t="str">
        <f>U6</f>
        <v>g</v>
      </c>
      <c r="BB2192" s="746">
        <v>10</v>
      </c>
      <c r="BC2192" s="746">
        <f t="shared" si="591"/>
        <v>287.60000000000002</v>
      </c>
      <c r="BD2192" s="746">
        <v>0</v>
      </c>
      <c r="BE2192" s="746">
        <f t="shared" ref="BE2192:BE2199" si="597">BB2192*BD2192</f>
        <v>0</v>
      </c>
      <c r="BF2192" s="746">
        <f t="shared" si="593"/>
        <v>10</v>
      </c>
      <c r="BG2192" s="746">
        <f t="shared" si="594"/>
        <v>287.60000000000002</v>
      </c>
    </row>
    <row r="2193" spans="13:59" s="29" customFormat="1" x14ac:dyDescent="0.25">
      <c r="M2193" s="750" t="s">
        <v>454</v>
      </c>
      <c r="N2193" s="577">
        <f>P14</f>
        <v>18.86</v>
      </c>
      <c r="O2193" s="750" t="str">
        <f>O14</f>
        <v>g</v>
      </c>
      <c r="P2193" s="750">
        <v>30</v>
      </c>
      <c r="Q2193" s="750">
        <f t="shared" si="581"/>
        <v>565.79999999999995</v>
      </c>
      <c r="R2193" s="750">
        <v>0</v>
      </c>
      <c r="S2193" s="750">
        <f t="shared" si="577"/>
        <v>0</v>
      </c>
      <c r="T2193" s="750">
        <f t="shared" si="578"/>
        <v>30</v>
      </c>
      <c r="U2193" s="750">
        <f t="shared" si="579"/>
        <v>565.79999999999995</v>
      </c>
      <c r="V2193" s="577" t="s">
        <v>1539</v>
      </c>
      <c r="W2193" s="577" t="s">
        <v>1963</v>
      </c>
      <c r="X2193" s="577" t="s">
        <v>1539</v>
      </c>
      <c r="Y2193" s="577" t="s">
        <v>1963</v>
      </c>
      <c r="Z2193" s="577" t="s">
        <v>1963</v>
      </c>
      <c r="AA2193" s="577" t="s">
        <v>1963</v>
      </c>
      <c r="AB2193" s="577" t="s">
        <v>1963</v>
      </c>
      <c r="AC2193" s="577" t="s">
        <v>1963</v>
      </c>
      <c r="AD2193" s="577" t="s">
        <v>1963</v>
      </c>
      <c r="AE2193" s="577">
        <f t="shared" si="596"/>
        <v>178.14919446380952</v>
      </c>
      <c r="AF2193" s="577">
        <f t="shared" si="590"/>
        <v>178.14919446380952</v>
      </c>
      <c r="AG2193" s="750">
        <f t="shared" si="580"/>
        <v>18.899999999999999</v>
      </c>
      <c r="AH2193" s="750">
        <f t="shared" si="573"/>
        <v>1547.3435977313275</v>
      </c>
      <c r="AI2193" s="750">
        <v>0.6</v>
      </c>
      <c r="AJ2193" s="750"/>
      <c r="AK2193" s="750"/>
      <c r="AL2193" s="750"/>
      <c r="AM2193" s="750"/>
      <c r="AN2193" s="750"/>
      <c r="AO2193" s="750"/>
      <c r="AP2193" s="750"/>
      <c r="AQ2193" s="750"/>
      <c r="AR2193" s="750"/>
      <c r="AS2193" s="750">
        <f>(((U2193+AE2193+AG2193+AH2193)*AI2193)+(U2193+AE2193+AG2193+AH2193))*1.08</f>
        <v>3992.0131449131968</v>
      </c>
      <c r="AT2193" s="750">
        <f>(((U2193+AF2193+AG2193+AH2193)*AI2193)+(U2193+AF2193+AG2193+AH2193))*1.08</f>
        <v>3992.0131449131968</v>
      </c>
      <c r="AU2193" s="107"/>
      <c r="AY2193" s="746" t="s">
        <v>736</v>
      </c>
      <c r="AZ2193" s="749">
        <f>AE9</f>
        <v>39.380000000000003</v>
      </c>
      <c r="BA2193" s="746" t="str">
        <f>AD9</f>
        <v>g</v>
      </c>
      <c r="BB2193" s="746">
        <v>10</v>
      </c>
      <c r="BC2193" s="746">
        <f t="shared" si="591"/>
        <v>393.8</v>
      </c>
      <c r="BD2193" s="746">
        <v>0</v>
      </c>
      <c r="BE2193" s="746">
        <f t="shared" si="597"/>
        <v>0</v>
      </c>
      <c r="BF2193" s="746">
        <f t="shared" si="593"/>
        <v>10</v>
      </c>
      <c r="BG2193" s="746">
        <f t="shared" si="594"/>
        <v>393.8</v>
      </c>
    </row>
    <row r="2194" spans="13:59" s="29" customFormat="1" x14ac:dyDescent="0.25">
      <c r="M2194" s="750" t="s">
        <v>541</v>
      </c>
      <c r="N2194" s="577">
        <f>V16</f>
        <v>54.41</v>
      </c>
      <c r="O2194" s="750" t="str">
        <f>U16</f>
        <v>g</v>
      </c>
      <c r="P2194" s="750">
        <v>40</v>
      </c>
      <c r="Q2194" s="750">
        <f t="shared" si="581"/>
        <v>2176.3999999999996</v>
      </c>
      <c r="R2194" s="750">
        <v>0</v>
      </c>
      <c r="S2194" s="750">
        <f t="shared" si="577"/>
        <v>0</v>
      </c>
      <c r="T2194" s="750">
        <f t="shared" si="578"/>
        <v>40</v>
      </c>
      <c r="U2194" s="750">
        <f t="shared" si="579"/>
        <v>2176.3999999999996</v>
      </c>
      <c r="V2194" s="577" t="s">
        <v>1539</v>
      </c>
      <c r="W2194" s="577" t="s">
        <v>1963</v>
      </c>
      <c r="X2194" s="577" t="s">
        <v>1539</v>
      </c>
      <c r="Y2194" s="577">
        <f>AO26</f>
        <v>953.74829894127811</v>
      </c>
      <c r="Z2194" s="577" t="s">
        <v>1963</v>
      </c>
      <c r="AA2194" s="577">
        <f>AO26</f>
        <v>953.74829894127811</v>
      </c>
      <c r="AB2194" s="577" t="s">
        <v>1963</v>
      </c>
      <c r="AC2194" s="577" t="s">
        <v>1963</v>
      </c>
      <c r="AD2194" s="577" t="s">
        <v>1539</v>
      </c>
      <c r="AE2194" s="577" t="s">
        <v>1539</v>
      </c>
      <c r="AF2194" s="577" t="s">
        <v>1963</v>
      </c>
      <c r="AG2194" s="750">
        <f t="shared" si="580"/>
        <v>18.899999999999999</v>
      </c>
      <c r="AH2194" s="750">
        <f t="shared" si="573"/>
        <v>1547.3435977313275</v>
      </c>
      <c r="AI2194" s="750">
        <v>0.6</v>
      </c>
      <c r="AJ2194" s="750"/>
      <c r="AK2194" s="750"/>
      <c r="AL2194" s="750"/>
      <c r="AM2194" s="750">
        <f>(((U2194+Y2194+AG2194+AH2194)*AI2194)+(U2194+Y2194+AG2194+AH2194))*1.08</f>
        <v>8115.3651974502618</v>
      </c>
      <c r="AN2194" s="750"/>
      <c r="AO2194" s="750">
        <f>(((U2194+AA2194+AG2194+AH2194)*AI2194)+(U2194+AA2194+AG2194+AH2194))*1.08</f>
        <v>8115.3651974502618</v>
      </c>
      <c r="AP2194" s="750"/>
      <c r="AQ2194" s="750"/>
      <c r="AR2194" s="750"/>
      <c r="AS2194" s="750"/>
      <c r="AT2194" s="750"/>
      <c r="AU2194" s="107"/>
      <c r="AY2194" s="746" t="s">
        <v>550</v>
      </c>
      <c r="AZ2194" s="749">
        <f>AE5</f>
        <v>2.04</v>
      </c>
      <c r="BA2194" s="746" t="str">
        <f>AD5</f>
        <v>g</v>
      </c>
      <c r="BB2194" s="746">
        <v>10</v>
      </c>
      <c r="BC2194" s="746">
        <f t="shared" si="591"/>
        <v>20.399999999999999</v>
      </c>
      <c r="BD2194" s="746">
        <v>0</v>
      </c>
      <c r="BE2194" s="746">
        <f t="shared" si="597"/>
        <v>0</v>
      </c>
      <c r="BF2194" s="746">
        <f t="shared" si="593"/>
        <v>10</v>
      </c>
      <c r="BG2194" s="746">
        <f t="shared" si="594"/>
        <v>20.399999999999999</v>
      </c>
    </row>
    <row r="2195" spans="13:59" s="29" customFormat="1" x14ac:dyDescent="0.25">
      <c r="M2195" s="750" t="s">
        <v>540</v>
      </c>
      <c r="N2195" s="577">
        <f>P18</f>
        <v>5</v>
      </c>
      <c r="O2195" s="750" t="str">
        <f>O18</f>
        <v>g</v>
      </c>
      <c r="P2195" s="750">
        <v>50</v>
      </c>
      <c r="Q2195" s="750">
        <f t="shared" si="581"/>
        <v>250</v>
      </c>
      <c r="R2195" s="750">
        <f>AJ11</f>
        <v>0.23</v>
      </c>
      <c r="S2195" s="750">
        <f t="shared" si="577"/>
        <v>11.5</v>
      </c>
      <c r="T2195" s="750">
        <f t="shared" si="578"/>
        <v>38.5</v>
      </c>
      <c r="U2195" s="750">
        <f t="shared" si="579"/>
        <v>307.5</v>
      </c>
      <c r="V2195" s="577" t="s">
        <v>1539</v>
      </c>
      <c r="W2195" s="577" t="s">
        <v>1963</v>
      </c>
      <c r="X2195" s="577" t="s">
        <v>1539</v>
      </c>
      <c r="Y2195" s="577" t="s">
        <v>1963</v>
      </c>
      <c r="Z2195" s="577" t="s">
        <v>1963</v>
      </c>
      <c r="AA2195" s="577" t="s">
        <v>1963</v>
      </c>
      <c r="AB2195" s="577" t="s">
        <v>1963</v>
      </c>
      <c r="AC2195" s="577" t="s">
        <v>1963</v>
      </c>
      <c r="AD2195" s="577" t="s">
        <v>1963</v>
      </c>
      <c r="AE2195" s="577">
        <f t="shared" si="596"/>
        <v>178.14919446380952</v>
      </c>
      <c r="AF2195" s="577">
        <f t="shared" si="590"/>
        <v>178.14919446380952</v>
      </c>
      <c r="AG2195" s="750">
        <f t="shared" si="580"/>
        <v>18.899999999999999</v>
      </c>
      <c r="AH2195" s="750">
        <f t="shared" si="573"/>
        <v>1547.3435977313275</v>
      </c>
      <c r="AI2195" s="750">
        <v>0.6</v>
      </c>
      <c r="AJ2195" s="750"/>
      <c r="AK2195" s="750"/>
      <c r="AL2195" s="750"/>
      <c r="AM2195" s="750"/>
      <c r="AN2195" s="750"/>
      <c r="AO2195" s="750"/>
      <c r="AP2195" s="750"/>
      <c r="AQ2195" s="750"/>
      <c r="AR2195" s="750"/>
      <c r="AS2195" s="750">
        <f t="shared" ref="AS2195:AS2204" si="598">(((U2195+AE2195+AG2195+AH2195)*AI2195)+(U2195+AE2195+AG2195+AH2195))*1.08</f>
        <v>3545.6707449131973</v>
      </c>
      <c r="AT2195" s="750">
        <f>(((U2195+AF2195+AG2195+AH2195)*AI2195)+(U2195+AF2195+AG2195+AH2195))*1.08</f>
        <v>3545.6707449131973</v>
      </c>
      <c r="AU2195" s="107"/>
      <c r="AY2195" s="746" t="s">
        <v>455</v>
      </c>
      <c r="AZ2195" s="749">
        <f>AE15</f>
        <v>51.96</v>
      </c>
      <c r="BA2195" s="746" t="str">
        <f>AD15</f>
        <v>mL</v>
      </c>
      <c r="BB2195" s="746">
        <v>20</v>
      </c>
      <c r="BC2195" s="746">
        <f t="shared" si="591"/>
        <v>1039.2</v>
      </c>
      <c r="BD2195" s="746">
        <v>0</v>
      </c>
      <c r="BE2195" s="746">
        <f t="shared" si="597"/>
        <v>0</v>
      </c>
      <c r="BF2195" s="746">
        <f t="shared" si="593"/>
        <v>20</v>
      </c>
      <c r="BG2195" s="746">
        <f t="shared" si="594"/>
        <v>1039.2</v>
      </c>
    </row>
    <row r="2196" spans="13:59" s="29" customFormat="1" x14ac:dyDescent="0.25">
      <c r="M2196" s="750" t="s">
        <v>531</v>
      </c>
      <c r="N2196" s="577">
        <f>AB6</f>
        <v>5.18</v>
      </c>
      <c r="O2196" s="750" t="str">
        <f>AA6</f>
        <v>g</v>
      </c>
      <c r="P2196" s="750">
        <v>120</v>
      </c>
      <c r="Q2196" s="750">
        <f t="shared" si="581"/>
        <v>621.59999999999991</v>
      </c>
      <c r="R2196" s="750">
        <v>0</v>
      </c>
      <c r="S2196" s="750">
        <f t="shared" si="577"/>
        <v>0</v>
      </c>
      <c r="T2196" s="750">
        <f t="shared" si="578"/>
        <v>120</v>
      </c>
      <c r="U2196" s="750">
        <f t="shared" si="579"/>
        <v>621.59999999999991</v>
      </c>
      <c r="V2196" s="577" t="s">
        <v>1539</v>
      </c>
      <c r="W2196" s="577" t="s">
        <v>1963</v>
      </c>
      <c r="X2196" s="577">
        <f t="shared" si="588"/>
        <v>267.22379169571428</v>
      </c>
      <c r="Y2196" s="577" t="s">
        <v>1963</v>
      </c>
      <c r="Z2196" s="577" t="s">
        <v>1963</v>
      </c>
      <c r="AA2196" s="577" t="s">
        <v>1963</v>
      </c>
      <c r="AB2196" s="577" t="s">
        <v>1963</v>
      </c>
      <c r="AC2196" s="577" t="s">
        <v>1963</v>
      </c>
      <c r="AD2196" s="577" t="s">
        <v>1963</v>
      </c>
      <c r="AE2196" s="577">
        <f t="shared" si="596"/>
        <v>178.14919446380952</v>
      </c>
      <c r="AF2196" s="577" t="s">
        <v>1539</v>
      </c>
      <c r="AG2196" s="750">
        <f t="shared" si="580"/>
        <v>18.899999999999999</v>
      </c>
      <c r="AH2196" s="750">
        <f t="shared" si="573"/>
        <v>1547.3435977313275</v>
      </c>
      <c r="AI2196" s="750">
        <v>0.6</v>
      </c>
      <c r="AJ2196" s="750"/>
      <c r="AK2196" s="750"/>
      <c r="AL2196" s="750">
        <f>(((U2196+X2196+AG2196+AH2196)*AI2196)+(U2196+X2196+AG2196+AH2196))*1.08</f>
        <v>4242.3564489299279</v>
      </c>
      <c r="AM2196" s="750"/>
      <c r="AN2196" s="750"/>
      <c r="AO2196" s="750"/>
      <c r="AP2196" s="750"/>
      <c r="AQ2196" s="750"/>
      <c r="AR2196" s="750"/>
      <c r="AS2196" s="750">
        <f t="shared" si="598"/>
        <v>4088.4355449131967</v>
      </c>
      <c r="AT2196" s="750"/>
      <c r="AU2196" s="107"/>
      <c r="AY2196" s="746" t="s">
        <v>797</v>
      </c>
      <c r="AZ2196" s="749">
        <f>Y20</f>
        <v>0.64</v>
      </c>
      <c r="BA2196" s="746" t="str">
        <f>X20</f>
        <v>g</v>
      </c>
      <c r="BB2196" s="746">
        <v>1</v>
      </c>
      <c r="BC2196" s="746">
        <f t="shared" si="591"/>
        <v>0.64</v>
      </c>
      <c r="BD2196" s="746">
        <v>0</v>
      </c>
      <c r="BE2196" s="746">
        <f t="shared" si="597"/>
        <v>0</v>
      </c>
      <c r="BF2196" s="746">
        <f t="shared" si="593"/>
        <v>1</v>
      </c>
      <c r="BG2196" s="746">
        <f t="shared" si="594"/>
        <v>0.64</v>
      </c>
    </row>
    <row r="2197" spans="13:59" s="29" customFormat="1" x14ac:dyDescent="0.25">
      <c r="M2197" s="750" t="s">
        <v>533</v>
      </c>
      <c r="N2197" s="577">
        <f>AB5</f>
        <v>3.6</v>
      </c>
      <c r="O2197" s="750" t="str">
        <f>AA5</f>
        <v>g</v>
      </c>
      <c r="P2197" s="750">
        <v>120</v>
      </c>
      <c r="Q2197" s="750">
        <f t="shared" si="581"/>
        <v>432</v>
      </c>
      <c r="R2197" s="750">
        <v>0</v>
      </c>
      <c r="S2197" s="750">
        <f t="shared" si="577"/>
        <v>0</v>
      </c>
      <c r="T2197" s="750">
        <f t="shared" si="578"/>
        <v>120</v>
      </c>
      <c r="U2197" s="750">
        <f t="shared" si="579"/>
        <v>432</v>
      </c>
      <c r="V2197" s="577" t="s">
        <v>1539</v>
      </c>
      <c r="W2197" s="577" t="s">
        <v>1963</v>
      </c>
      <c r="X2197" s="577">
        <f t="shared" si="588"/>
        <v>267.22379169571428</v>
      </c>
      <c r="Y2197" s="577" t="s">
        <v>1963</v>
      </c>
      <c r="Z2197" s="577" t="s">
        <v>1963</v>
      </c>
      <c r="AA2197" s="577" t="s">
        <v>1963</v>
      </c>
      <c r="AB2197" s="577" t="s">
        <v>1963</v>
      </c>
      <c r="AC2197" s="577" t="s">
        <v>1963</v>
      </c>
      <c r="AD2197" s="577" t="s">
        <v>1963</v>
      </c>
      <c r="AE2197" s="577">
        <f t="shared" si="596"/>
        <v>178.14919446380952</v>
      </c>
      <c r="AF2197" s="577" t="s">
        <v>1539</v>
      </c>
      <c r="AG2197" s="750">
        <f t="shared" si="580"/>
        <v>18.899999999999999</v>
      </c>
      <c r="AH2197" s="750">
        <f t="shared" si="573"/>
        <v>1547.3435977313275</v>
      </c>
      <c r="AI2197" s="750">
        <v>0.6</v>
      </c>
      <c r="AJ2197" s="750"/>
      <c r="AK2197" s="750"/>
      <c r="AL2197" s="750">
        <f>(((U2197+X2197+AG2197+AH2197)*AI2197)+(U2197+X2197+AG2197+AH2197))*1.08</f>
        <v>3914.7276489299284</v>
      </c>
      <c r="AM2197" s="750"/>
      <c r="AN2197" s="750"/>
      <c r="AO2197" s="750"/>
      <c r="AP2197" s="750"/>
      <c r="AQ2197" s="750"/>
      <c r="AR2197" s="750"/>
      <c r="AS2197" s="750">
        <f t="shared" si="598"/>
        <v>3760.8067449131968</v>
      </c>
      <c r="AT2197" s="750"/>
      <c r="AU2197" s="107"/>
      <c r="AY2197" s="746" t="s">
        <v>433</v>
      </c>
      <c r="AZ2197" s="749">
        <f>Y18</f>
        <v>223.57</v>
      </c>
      <c r="BA2197" s="746" t="str">
        <f>X18</f>
        <v>g</v>
      </c>
      <c r="BB2197" s="746">
        <v>1</v>
      </c>
      <c r="BC2197" s="746">
        <f t="shared" si="591"/>
        <v>223.57</v>
      </c>
      <c r="BD2197" s="746">
        <v>0</v>
      </c>
      <c r="BE2197" s="746">
        <f t="shared" si="597"/>
        <v>0</v>
      </c>
      <c r="BF2197" s="746">
        <f t="shared" si="593"/>
        <v>1</v>
      </c>
      <c r="BG2197" s="746">
        <f t="shared" si="594"/>
        <v>223.57</v>
      </c>
    </row>
    <row r="2198" spans="13:59" s="29" customFormat="1" x14ac:dyDescent="0.25">
      <c r="M2198" s="750" t="s">
        <v>672</v>
      </c>
      <c r="N2198" s="577">
        <f>P8</f>
        <v>3.3330000000000002</v>
      </c>
      <c r="O2198" s="750" t="str">
        <f>O8</f>
        <v>g</v>
      </c>
      <c r="P2198" s="750">
        <v>80</v>
      </c>
      <c r="Q2198" s="750">
        <f t="shared" si="581"/>
        <v>266.64</v>
      </c>
      <c r="R2198" s="750">
        <f>AJ6</f>
        <v>0.5</v>
      </c>
      <c r="S2198" s="750">
        <f t="shared" si="577"/>
        <v>40</v>
      </c>
      <c r="T2198" s="750">
        <f t="shared" si="578"/>
        <v>40</v>
      </c>
      <c r="U2198" s="750">
        <f t="shared" si="579"/>
        <v>399.96</v>
      </c>
      <c r="V2198" s="577" t="s">
        <v>1539</v>
      </c>
      <c r="W2198" s="577" t="s">
        <v>1539</v>
      </c>
      <c r="X2198" s="577" t="s">
        <v>1539</v>
      </c>
      <c r="Y2198" s="577" t="s">
        <v>1539</v>
      </c>
      <c r="Z2198" s="577" t="s">
        <v>1539</v>
      </c>
      <c r="AA2198" s="577" t="s">
        <v>1539</v>
      </c>
      <c r="AB2198" s="577" t="s">
        <v>1539</v>
      </c>
      <c r="AC2198" s="577" t="s">
        <v>1539</v>
      </c>
      <c r="AD2198" s="577" t="s">
        <v>1539</v>
      </c>
      <c r="AE2198" s="577">
        <f t="shared" si="596"/>
        <v>178.14919446380952</v>
      </c>
      <c r="AF2198" s="577">
        <f t="shared" si="590"/>
        <v>178.14919446380952</v>
      </c>
      <c r="AG2198" s="750">
        <f t="shared" si="580"/>
        <v>18.899999999999999</v>
      </c>
      <c r="AH2198" s="750">
        <f t="shared" si="573"/>
        <v>1547.3435977313275</v>
      </c>
      <c r="AI2198" s="750">
        <v>0.6</v>
      </c>
      <c r="AJ2198" s="750"/>
      <c r="AK2198" s="750"/>
      <c r="AL2198" s="750"/>
      <c r="AM2198" s="750"/>
      <c r="AN2198" s="750"/>
      <c r="AO2198" s="750"/>
      <c r="AP2198" s="750"/>
      <c r="AQ2198" s="750"/>
      <c r="AR2198" s="750"/>
      <c r="AS2198" s="750">
        <f t="shared" si="598"/>
        <v>3705.4416249131968</v>
      </c>
      <c r="AT2198" s="750">
        <f>(((U2198+AF2198+AG2198+AH2198)*AI2198)+(U2198+AF2198+AG2198+AH2198))*1.08</f>
        <v>3705.4416249131968</v>
      </c>
      <c r="AU2198" s="107"/>
      <c r="AY2198" s="746" t="s">
        <v>346</v>
      </c>
      <c r="AZ2198" s="749">
        <f>P3</f>
        <v>7</v>
      </c>
      <c r="BA2198" s="746" t="str">
        <f>O3</f>
        <v>g</v>
      </c>
      <c r="BB2198" s="746">
        <v>4</v>
      </c>
      <c r="BC2198" s="746">
        <f t="shared" si="591"/>
        <v>28</v>
      </c>
      <c r="BD2198" s="746">
        <f>AJ2</f>
        <v>0.23</v>
      </c>
      <c r="BE2198" s="746">
        <f t="shared" si="597"/>
        <v>0.92</v>
      </c>
      <c r="BF2198" s="746">
        <f t="shared" si="593"/>
        <v>3.08</v>
      </c>
      <c r="BG2198" s="746">
        <f t="shared" si="594"/>
        <v>34.44</v>
      </c>
    </row>
    <row r="2199" spans="13:59" s="29" customFormat="1" x14ac:dyDescent="0.25">
      <c r="M2199" s="750" t="s">
        <v>436</v>
      </c>
      <c r="N2199" s="577">
        <f>P31</f>
        <v>2.6</v>
      </c>
      <c r="O2199" s="750" t="str">
        <f>O31</f>
        <v>g</v>
      </c>
      <c r="P2199" s="750">
        <v>50</v>
      </c>
      <c r="Q2199" s="750">
        <f t="shared" si="581"/>
        <v>130</v>
      </c>
      <c r="R2199" s="750">
        <f>AJ19</f>
        <v>0.37</v>
      </c>
      <c r="S2199" s="750">
        <f t="shared" si="577"/>
        <v>18.5</v>
      </c>
      <c r="T2199" s="750">
        <f t="shared" si="578"/>
        <v>31.5</v>
      </c>
      <c r="U2199" s="750">
        <f t="shared" si="579"/>
        <v>178.1</v>
      </c>
      <c r="V2199" s="577" t="s">
        <v>1539</v>
      </c>
      <c r="W2199" s="577" t="s">
        <v>1539</v>
      </c>
      <c r="X2199" s="577" t="s">
        <v>1539</v>
      </c>
      <c r="Y2199" s="577" t="s">
        <v>1539</v>
      </c>
      <c r="Z2199" s="577" t="s">
        <v>1539</v>
      </c>
      <c r="AA2199" s="577" t="s">
        <v>1539</v>
      </c>
      <c r="AB2199" s="577" t="s">
        <v>1539</v>
      </c>
      <c r="AC2199" s="577" t="s">
        <v>1539</v>
      </c>
      <c r="AD2199" s="577" t="s">
        <v>1539</v>
      </c>
      <c r="AE2199" s="577">
        <f t="shared" si="596"/>
        <v>178.14919446380952</v>
      </c>
      <c r="AF2199" s="577">
        <f t="shared" si="590"/>
        <v>178.14919446380952</v>
      </c>
      <c r="AG2199" s="750">
        <f t="shared" si="580"/>
        <v>18.899999999999999</v>
      </c>
      <c r="AH2199" s="750">
        <f t="shared" si="573"/>
        <v>1547.3435977313275</v>
      </c>
      <c r="AI2199" s="750">
        <v>0.6</v>
      </c>
      <c r="AJ2199" s="750"/>
      <c r="AK2199" s="750"/>
      <c r="AL2199" s="750"/>
      <c r="AM2199" s="750"/>
      <c r="AN2199" s="750"/>
      <c r="AO2199" s="750"/>
      <c r="AP2199" s="750"/>
      <c r="AQ2199" s="750"/>
      <c r="AR2199" s="750"/>
      <c r="AS2199" s="750">
        <f t="shared" si="598"/>
        <v>3322.0675449131973</v>
      </c>
      <c r="AT2199" s="750">
        <f>(((U2199+AF2199+AG2199+AH2199)*AI2199)+(U2199+AF2199+AG2199+AH2199))*1.08</f>
        <v>3322.0675449131973</v>
      </c>
      <c r="AU2199" s="107"/>
      <c r="AY2199" s="746" t="s">
        <v>349</v>
      </c>
      <c r="AZ2199" s="749">
        <f>S15</f>
        <v>41</v>
      </c>
      <c r="BA2199" s="746" t="str">
        <f>R15</f>
        <v>g</v>
      </c>
      <c r="BB2199" s="746">
        <v>5</v>
      </c>
      <c r="BC2199" s="746">
        <f t="shared" si="591"/>
        <v>205</v>
      </c>
      <c r="BD2199" s="746">
        <f>AN3</f>
        <v>0.47</v>
      </c>
      <c r="BE2199" s="746">
        <f t="shared" si="597"/>
        <v>2.3499999999999996</v>
      </c>
      <c r="BF2199" s="746">
        <f t="shared" si="593"/>
        <v>2.6500000000000004</v>
      </c>
      <c r="BG2199" s="746">
        <f t="shared" si="594"/>
        <v>301.35000000000002</v>
      </c>
    </row>
    <row r="2200" spans="13:59" s="29" customFormat="1" x14ac:dyDescent="0.25">
      <c r="M2200" s="750" t="s">
        <v>515</v>
      </c>
      <c r="N2200" s="577">
        <f>P6</f>
        <v>7.8</v>
      </c>
      <c r="O2200" s="750" t="str">
        <f>O6</f>
        <v>g</v>
      </c>
      <c r="P2200" s="750">
        <v>30</v>
      </c>
      <c r="Q2200" s="750">
        <f t="shared" si="581"/>
        <v>234</v>
      </c>
      <c r="R2200" s="750">
        <f>AJ4</f>
        <v>0.55000000000000004</v>
      </c>
      <c r="S2200" s="750">
        <f t="shared" si="577"/>
        <v>16.5</v>
      </c>
      <c r="T2200" s="750">
        <f t="shared" si="578"/>
        <v>13.5</v>
      </c>
      <c r="U2200" s="750">
        <f t="shared" si="579"/>
        <v>362.7</v>
      </c>
      <c r="V2200" s="577" t="s">
        <v>1539</v>
      </c>
      <c r="W2200" s="577" t="s">
        <v>1539</v>
      </c>
      <c r="X2200" s="577" t="s">
        <v>1539</v>
      </c>
      <c r="Y2200" s="577" t="s">
        <v>1539</v>
      </c>
      <c r="Z2200" s="577" t="s">
        <v>1539</v>
      </c>
      <c r="AA2200" s="577" t="s">
        <v>1539</v>
      </c>
      <c r="AB2200" s="577" t="s">
        <v>1539</v>
      </c>
      <c r="AC2200" s="577" t="s">
        <v>1539</v>
      </c>
      <c r="AD2200" s="577" t="s">
        <v>1539</v>
      </c>
      <c r="AE2200" s="577">
        <f t="shared" si="596"/>
        <v>178.14919446380952</v>
      </c>
      <c r="AF2200" s="577" t="s">
        <v>1539</v>
      </c>
      <c r="AG2200" s="750">
        <f t="shared" si="580"/>
        <v>18.899999999999999</v>
      </c>
      <c r="AH2200" s="750">
        <f t="shared" si="573"/>
        <v>1547.3435977313275</v>
      </c>
      <c r="AI2200" s="750">
        <v>0.6</v>
      </c>
      <c r="AJ2200" s="750"/>
      <c r="AK2200" s="750"/>
      <c r="AL2200" s="750"/>
      <c r="AM2200" s="750"/>
      <c r="AN2200" s="750"/>
      <c r="AO2200" s="750"/>
      <c r="AP2200" s="750"/>
      <c r="AQ2200" s="750"/>
      <c r="AR2200" s="750"/>
      <c r="AS2200" s="750">
        <f t="shared" si="598"/>
        <v>3641.0563449131969</v>
      </c>
      <c r="AT2200" s="750"/>
      <c r="AU2200" s="107"/>
      <c r="AY2200" s="746" t="s">
        <v>337</v>
      </c>
      <c r="AZ2200" s="746">
        <f>SUM(AZ2188:AZ2195)</f>
        <v>261.07</v>
      </c>
      <c r="BA2200" s="746"/>
      <c r="BB2200" s="746">
        <f>SUM(BB2188:BB2199)</f>
        <v>151</v>
      </c>
      <c r="BC2200" s="746">
        <f>SUM(BC2188:BC2195)</f>
        <v>2121.7800000000002</v>
      </c>
      <c r="BD2200" s="746"/>
      <c r="BE2200" s="746"/>
      <c r="BF2200" s="746"/>
      <c r="BG2200" s="746">
        <f>SUM(BG2188:BG2195)</f>
        <v>2121.7800000000002</v>
      </c>
    </row>
    <row r="2201" spans="13:59" s="29" customFormat="1" x14ac:dyDescent="0.25">
      <c r="M2201" s="750" t="s">
        <v>510</v>
      </c>
      <c r="N2201" s="577">
        <f>P21</f>
        <v>1.6</v>
      </c>
      <c r="O2201" s="750" t="str">
        <f>O21</f>
        <v>g</v>
      </c>
      <c r="P2201" s="750">
        <v>50</v>
      </c>
      <c r="Q2201" s="750">
        <f t="shared" si="581"/>
        <v>80</v>
      </c>
      <c r="R2201" s="750">
        <f>AJ12</f>
        <v>0</v>
      </c>
      <c r="S2201" s="750">
        <f t="shared" si="577"/>
        <v>0</v>
      </c>
      <c r="T2201" s="750">
        <f t="shared" si="578"/>
        <v>50</v>
      </c>
      <c r="U2201" s="750">
        <f t="shared" si="579"/>
        <v>80</v>
      </c>
      <c r="V2201" s="577" t="s">
        <v>1539</v>
      </c>
      <c r="W2201" s="577" t="s">
        <v>1539</v>
      </c>
      <c r="X2201" s="577" t="s">
        <v>1539</v>
      </c>
      <c r="Y2201" s="577" t="s">
        <v>1539</v>
      </c>
      <c r="Z2201" s="577" t="s">
        <v>1539</v>
      </c>
      <c r="AA2201" s="577" t="s">
        <v>1539</v>
      </c>
      <c r="AB2201" s="577" t="s">
        <v>1539</v>
      </c>
      <c r="AC2201" s="577" t="s">
        <v>1539</v>
      </c>
      <c r="AD2201" s="577" t="s">
        <v>1539</v>
      </c>
      <c r="AE2201" s="577">
        <f t="shared" si="596"/>
        <v>178.14919446380952</v>
      </c>
      <c r="AF2201" s="577" t="s">
        <v>1539</v>
      </c>
      <c r="AG2201" s="750">
        <f t="shared" si="580"/>
        <v>18.899999999999999</v>
      </c>
      <c r="AH2201" s="750">
        <f t="shared" si="573"/>
        <v>1547.3435977313275</v>
      </c>
      <c r="AI2201" s="750">
        <v>0.6</v>
      </c>
      <c r="AJ2201" s="750"/>
      <c r="AK2201" s="750"/>
      <c r="AL2201" s="750"/>
      <c r="AM2201" s="750"/>
      <c r="AN2201" s="750"/>
      <c r="AO2201" s="750"/>
      <c r="AP2201" s="750"/>
      <c r="AQ2201" s="750"/>
      <c r="AR2201" s="750"/>
      <c r="AS2201" s="750">
        <f t="shared" si="598"/>
        <v>3152.5507449131969</v>
      </c>
      <c r="AT2201" s="750"/>
      <c r="AU2201" s="107"/>
    </row>
    <row r="2202" spans="13:59" s="29" customFormat="1" x14ac:dyDescent="0.25">
      <c r="M2202" s="750" t="s">
        <v>529</v>
      </c>
      <c r="N2202" s="577">
        <f>P32</f>
        <v>17.72</v>
      </c>
      <c r="O2202" s="750" t="str">
        <f>O32</f>
        <v>g</v>
      </c>
      <c r="P2202" s="750">
        <v>50</v>
      </c>
      <c r="Q2202" s="750">
        <f t="shared" si="581"/>
        <v>886</v>
      </c>
      <c r="R2202" s="750">
        <f>AJ20</f>
        <v>0.31</v>
      </c>
      <c r="S2202" s="750">
        <f t="shared" si="577"/>
        <v>15.5</v>
      </c>
      <c r="T2202" s="750">
        <f t="shared" si="578"/>
        <v>34.5</v>
      </c>
      <c r="U2202" s="750">
        <f t="shared" si="579"/>
        <v>1160.6600000000001</v>
      </c>
      <c r="V2202" s="577" t="s">
        <v>1539</v>
      </c>
      <c r="W2202" s="577" t="s">
        <v>1539</v>
      </c>
      <c r="X2202" s="577" t="s">
        <v>1539</v>
      </c>
      <c r="Y2202" s="577" t="s">
        <v>1539</v>
      </c>
      <c r="Z2202" s="577" t="s">
        <v>1539</v>
      </c>
      <c r="AA2202" s="577" t="s">
        <v>1539</v>
      </c>
      <c r="AB2202" s="577" t="s">
        <v>1539</v>
      </c>
      <c r="AC2202" s="577" t="s">
        <v>1539</v>
      </c>
      <c r="AD2202" s="577" t="s">
        <v>1539</v>
      </c>
      <c r="AE2202" s="577">
        <f t="shared" si="596"/>
        <v>178.14919446380952</v>
      </c>
      <c r="AF2202" s="577">
        <f t="shared" si="590"/>
        <v>178.14919446380952</v>
      </c>
      <c r="AG2202" s="750">
        <f t="shared" si="580"/>
        <v>18.899999999999999</v>
      </c>
      <c r="AH2202" s="750">
        <f t="shared" si="573"/>
        <v>1547.3435977313275</v>
      </c>
      <c r="AI2202" s="750">
        <v>0.6</v>
      </c>
      <c r="AJ2202" s="750"/>
      <c r="AK2202" s="750"/>
      <c r="AL2202" s="750"/>
      <c r="AM2202" s="750"/>
      <c r="AN2202" s="750"/>
      <c r="AO2202" s="750"/>
      <c r="AP2202" s="750"/>
      <c r="AQ2202" s="750"/>
      <c r="AR2202" s="750"/>
      <c r="AS2202" s="750">
        <f t="shared" si="598"/>
        <v>5019.9312249131972</v>
      </c>
      <c r="AT2202" s="750">
        <f>(((U2202+AF2202+AG2202+AH2202)*AI2202)+(U2202+AF2202+AG2202+AH2202))*1.08</f>
        <v>5019.9312249131972</v>
      </c>
      <c r="AU2202" s="107"/>
      <c r="BC2202" s="745" t="s">
        <v>1681</v>
      </c>
      <c r="BD2202" s="745">
        <f>BG2200</f>
        <v>2121.7800000000002</v>
      </c>
    </row>
    <row r="2203" spans="13:59" s="29" customFormat="1" x14ac:dyDescent="0.25">
      <c r="M2203" s="750" t="s">
        <v>539</v>
      </c>
      <c r="N2203" s="577">
        <f>P7</f>
        <v>2.5</v>
      </c>
      <c r="O2203" s="750" t="str">
        <f>O7</f>
        <v>g</v>
      </c>
      <c r="P2203" s="750">
        <v>50</v>
      </c>
      <c r="Q2203" s="750">
        <f t="shared" si="581"/>
        <v>125</v>
      </c>
      <c r="R2203" s="750">
        <f>AJ5</f>
        <v>0.13</v>
      </c>
      <c r="S2203" s="750">
        <f t="shared" si="577"/>
        <v>6.5</v>
      </c>
      <c r="T2203" s="750">
        <f t="shared" si="578"/>
        <v>43.5</v>
      </c>
      <c r="U2203" s="750">
        <f t="shared" si="579"/>
        <v>141.25</v>
      </c>
      <c r="V2203" s="577" t="s">
        <v>1539</v>
      </c>
      <c r="W2203" s="577" t="s">
        <v>1539</v>
      </c>
      <c r="X2203" s="577" t="s">
        <v>1539</v>
      </c>
      <c r="Y2203" s="577" t="s">
        <v>1539</v>
      </c>
      <c r="Z2203" s="577" t="s">
        <v>1539</v>
      </c>
      <c r="AA2203" s="577" t="s">
        <v>1539</v>
      </c>
      <c r="AB2203" s="577" t="s">
        <v>1539</v>
      </c>
      <c r="AC2203" s="577" t="s">
        <v>1539</v>
      </c>
      <c r="AD2203" s="577" t="s">
        <v>1539</v>
      </c>
      <c r="AE2203" s="577">
        <f t="shared" si="596"/>
        <v>178.14919446380952</v>
      </c>
      <c r="AF2203" s="577">
        <f t="shared" si="590"/>
        <v>178.14919446380952</v>
      </c>
      <c r="AG2203" s="750">
        <f t="shared" si="580"/>
        <v>18.899999999999999</v>
      </c>
      <c r="AH2203" s="750">
        <f t="shared" si="573"/>
        <v>1547.3435977313275</v>
      </c>
      <c r="AI2203" s="750">
        <v>0.6</v>
      </c>
      <c r="AJ2203" s="750"/>
      <c r="AK2203" s="750"/>
      <c r="AL2203" s="750"/>
      <c r="AM2203" s="750"/>
      <c r="AN2203" s="750"/>
      <c r="AO2203" s="750"/>
      <c r="AP2203" s="750"/>
      <c r="AQ2203" s="750"/>
      <c r="AR2203" s="750"/>
      <c r="AS2203" s="750">
        <f t="shared" si="598"/>
        <v>3258.3907449131971</v>
      </c>
      <c r="AT2203" s="750">
        <f>(((U2203+AF2203+AG2203+AH2203)*AI2203)+(U2203+AF2203+AG2203+AH2203))*1.08</f>
        <v>3258.3907449131971</v>
      </c>
      <c r="AU2203" s="107"/>
      <c r="BC2203" s="745" t="s">
        <v>1682</v>
      </c>
      <c r="BD2203" s="745">
        <f>$AO$26/2</f>
        <v>476.87414947063905</v>
      </c>
    </row>
    <row r="2204" spans="13:59" s="29" customFormat="1" x14ac:dyDescent="0.25">
      <c r="M2204" s="750" t="s">
        <v>677</v>
      </c>
      <c r="N2204" s="577">
        <f>P20</f>
        <v>4</v>
      </c>
      <c r="O2204" s="750" t="str">
        <f>O20</f>
        <v>g</v>
      </c>
      <c r="P2204" s="750">
        <f>80</f>
        <v>80</v>
      </c>
      <c r="Q2204" s="750">
        <f t="shared" si="581"/>
        <v>320</v>
      </c>
      <c r="R2204" s="750">
        <v>0</v>
      </c>
      <c r="S2204" s="750">
        <f t="shared" si="577"/>
        <v>0</v>
      </c>
      <c r="T2204" s="750">
        <f t="shared" si="578"/>
        <v>80</v>
      </c>
      <c r="U2204" s="750">
        <f t="shared" si="579"/>
        <v>320</v>
      </c>
      <c r="V2204" s="577" t="s">
        <v>1539</v>
      </c>
      <c r="W2204" s="577" t="s">
        <v>1539</v>
      </c>
      <c r="X2204" s="577" t="s">
        <v>1539</v>
      </c>
      <c r="Y2204" s="577" t="s">
        <v>1539</v>
      </c>
      <c r="Z2204" s="577" t="s">
        <v>1539</v>
      </c>
      <c r="AA2204" s="577" t="s">
        <v>1539</v>
      </c>
      <c r="AB2204" s="577" t="s">
        <v>1539</v>
      </c>
      <c r="AC2204" s="577" t="s">
        <v>1539</v>
      </c>
      <c r="AD2204" s="577" t="s">
        <v>1539</v>
      </c>
      <c r="AE2204" s="577">
        <f t="shared" si="596"/>
        <v>178.14919446380952</v>
      </c>
      <c r="AF2204" s="577">
        <f t="shared" si="590"/>
        <v>178.14919446380952</v>
      </c>
      <c r="AG2204" s="750">
        <f t="shared" si="580"/>
        <v>18.899999999999999</v>
      </c>
      <c r="AH2204" s="750">
        <f t="shared" si="573"/>
        <v>1547.3435977313275</v>
      </c>
      <c r="AI2204" s="750">
        <v>0.6</v>
      </c>
      <c r="AJ2204" s="750"/>
      <c r="AK2204" s="750"/>
      <c r="AL2204" s="750"/>
      <c r="AM2204" s="750"/>
      <c r="AN2204" s="750"/>
      <c r="AO2204" s="750"/>
      <c r="AP2204" s="750"/>
      <c r="AQ2204" s="750"/>
      <c r="AR2204" s="750"/>
      <c r="AS2204" s="750">
        <f t="shared" si="598"/>
        <v>3567.2707449131972</v>
      </c>
      <c r="AT2204" s="750">
        <f>(((U2204+AF2204+AG2204+AH2204)*AI2204)+(U2204+AF2204+AG2204+AH2204))*1.08</f>
        <v>3567.2707449131972</v>
      </c>
      <c r="AU2204" s="107"/>
      <c r="BC2204" s="745" t="s">
        <v>1683</v>
      </c>
      <c r="BD2204" s="745">
        <f>$AO$27/4</f>
        <v>18.899999999999999</v>
      </c>
    </row>
    <row r="2205" spans="13:59" s="29" customFormat="1" x14ac:dyDescent="0.25">
      <c r="M2205" s="750" t="s">
        <v>463</v>
      </c>
      <c r="N2205" s="577">
        <f>Y3+Y10+Y11+Y12+Y13+Y14+Y15+Y16+Y17+Y18+Y19+Y21+Y20</f>
        <v>1644.2</v>
      </c>
      <c r="O2205" s="750" t="str">
        <f>X21</f>
        <v>g</v>
      </c>
      <c r="P2205" s="750">
        <v>5</v>
      </c>
      <c r="Q2205" s="750">
        <f t="shared" si="581"/>
        <v>8221</v>
      </c>
      <c r="R2205" s="750">
        <v>0</v>
      </c>
      <c r="S2205" s="750">
        <f t="shared" si="577"/>
        <v>0</v>
      </c>
      <c r="T2205" s="750">
        <f t="shared" si="578"/>
        <v>5</v>
      </c>
      <c r="U2205" s="750">
        <f>Q2205+((S2205*Q2205)/P2205)</f>
        <v>8221</v>
      </c>
      <c r="V2205" s="577" t="s">
        <v>1539</v>
      </c>
      <c r="W2205" s="577" t="s">
        <v>1539</v>
      </c>
      <c r="X2205" s="577" t="s">
        <v>1539</v>
      </c>
      <c r="Y2205" s="577" t="s">
        <v>1539</v>
      </c>
      <c r="Z2205" s="577" t="s">
        <v>1539</v>
      </c>
      <c r="AA2205" s="577" t="s">
        <v>1539</v>
      </c>
      <c r="AB2205" s="577" t="s">
        <v>1539</v>
      </c>
      <c r="AC2205" s="577" t="s">
        <v>1539</v>
      </c>
      <c r="AD2205" s="577" t="s">
        <v>1539</v>
      </c>
      <c r="AE2205" s="577" t="s">
        <v>1963</v>
      </c>
      <c r="AF2205" s="577" t="s">
        <v>1963</v>
      </c>
      <c r="AG2205" s="750">
        <f t="shared" si="580"/>
        <v>18.899999999999999</v>
      </c>
      <c r="AH2205" s="750">
        <f t="shared" si="573"/>
        <v>1547.3435977313275</v>
      </c>
      <c r="AI2205" s="750">
        <v>0.6</v>
      </c>
      <c r="AJ2205" s="750"/>
      <c r="AK2205" s="750"/>
      <c r="AL2205" s="750"/>
      <c r="AM2205" s="750"/>
      <c r="AN2205" s="750"/>
      <c r="AO2205" s="750"/>
      <c r="AP2205" s="750"/>
      <c r="AQ2205" s="750"/>
      <c r="AR2205" s="750"/>
      <c r="AS2205" s="750"/>
      <c r="AT2205" s="750"/>
      <c r="AU2205" s="30"/>
      <c r="BC2205" s="745" t="s">
        <v>1684</v>
      </c>
      <c r="BD2205" s="745">
        <f>$AO$29/4</f>
        <v>386.83589943283187</v>
      </c>
    </row>
    <row r="2206" spans="13:59" s="29" customFormat="1" x14ac:dyDescent="0.25">
      <c r="M2206" s="750"/>
      <c r="N2206" s="750"/>
      <c r="O2206" s="750"/>
      <c r="P2206" s="750"/>
      <c r="Q2206" s="750"/>
      <c r="R2206" s="750"/>
      <c r="S2206" s="750"/>
      <c r="T2206" s="750"/>
      <c r="U2206" s="750"/>
      <c r="V2206" s="750"/>
      <c r="W2206" s="750"/>
      <c r="X2206" s="750"/>
      <c r="Y2206" s="750"/>
      <c r="Z2206" s="750"/>
      <c r="AA2206" s="750"/>
      <c r="AB2206" s="750"/>
      <c r="AC2206" s="750"/>
      <c r="AD2206" s="750"/>
      <c r="AE2206" s="750"/>
      <c r="AF2206" s="750"/>
      <c r="AG2206" s="750"/>
      <c r="AH2206" s="750"/>
      <c r="AI2206" s="750"/>
      <c r="AJ2206" s="750"/>
      <c r="AK2206" s="750"/>
      <c r="AL2206" s="750"/>
      <c r="AM2206" s="750"/>
      <c r="AN2206" s="750"/>
      <c r="AO2206" s="750"/>
      <c r="AP2206" s="750"/>
      <c r="AQ2206" s="750"/>
      <c r="AR2206" s="750"/>
      <c r="AS2206" s="750"/>
      <c r="AT2206" s="750"/>
      <c r="AU2206" s="30"/>
      <c r="BC2206" s="745" t="s">
        <v>1780</v>
      </c>
      <c r="BD2206" s="745">
        <v>0.6</v>
      </c>
    </row>
    <row r="2207" spans="13:59" s="29" customFormat="1" x14ac:dyDescent="0.25">
      <c r="M2207" s="750" t="s">
        <v>337</v>
      </c>
      <c r="N2207" s="750">
        <f>SUM(N2182:N2206)</f>
        <v>2244.8829999999998</v>
      </c>
      <c r="O2207" s="750"/>
      <c r="P2207" s="750">
        <f>SUM(P2182:P2206)</f>
        <v>1615</v>
      </c>
      <c r="Q2207" s="750">
        <f>SUM(Q2182:Q2206)</f>
        <v>49857.24</v>
      </c>
      <c r="R2207" s="750"/>
      <c r="S2207" s="750"/>
      <c r="T2207" s="750"/>
      <c r="U2207" s="750">
        <f>SUM(U2182:U2206)</f>
        <v>61815.418000000005</v>
      </c>
      <c r="V2207" s="750"/>
      <c r="W2207" s="750"/>
      <c r="X2207" s="750"/>
      <c r="Y2207" s="750"/>
      <c r="Z2207" s="750"/>
      <c r="AA2207" s="750"/>
      <c r="AB2207" s="750"/>
      <c r="AC2207" s="750"/>
      <c r="AD2207" s="750"/>
      <c r="AE2207" s="750"/>
      <c r="AF2207" s="750"/>
      <c r="AG2207" s="750"/>
      <c r="AH2207" s="750"/>
      <c r="AI2207" s="750"/>
      <c r="AJ2207" s="750"/>
      <c r="AK2207" s="750"/>
      <c r="AL2207" s="750"/>
      <c r="AM2207" s="750"/>
      <c r="AN2207" s="750"/>
      <c r="AO2207" s="750"/>
      <c r="AP2207" s="750"/>
      <c r="AQ2207" s="750"/>
      <c r="AR2207" s="750"/>
      <c r="AS2207" s="750"/>
      <c r="AT2207" s="750"/>
      <c r="BC2207" s="745" t="s">
        <v>1708</v>
      </c>
      <c r="BD2207" s="745">
        <f>(SUM(BD2202:BD2205)*BD2206)+SUM(BD2202:BD2205)</f>
        <v>4807.0240782455539</v>
      </c>
    </row>
    <row r="2208" spans="13:59" s="29" customFormat="1" x14ac:dyDescent="0.25">
      <c r="M2208" s="107"/>
      <c r="N2208" s="107"/>
      <c r="O2208" s="107"/>
      <c r="P2208" s="107"/>
      <c r="Q2208" s="107"/>
      <c r="R2208" s="578"/>
      <c r="S2208" s="578"/>
      <c r="T2208" s="578"/>
      <c r="U2208" s="578"/>
      <c r="V2208" s="578"/>
      <c r="W2208" s="107"/>
      <c r="X2208" s="107"/>
      <c r="Y2208" s="107"/>
      <c r="Z2208" s="578"/>
      <c r="AA2208" s="578"/>
      <c r="AB2208" s="578"/>
      <c r="AC2208" s="578"/>
      <c r="AD2208" s="578"/>
      <c r="AE2208" s="578"/>
      <c r="AF2208" s="578"/>
      <c r="AG2208" s="578"/>
      <c r="AH2208" s="578"/>
      <c r="AI2208" s="578"/>
      <c r="AJ2208" s="578"/>
      <c r="AK2208" s="578"/>
      <c r="AL2208" s="578"/>
      <c r="AM2208" s="578"/>
      <c r="AN2208" s="578"/>
      <c r="AO2208" s="578"/>
      <c r="AP2208" s="578"/>
      <c r="AQ2208" s="578"/>
      <c r="AR2208" s="578"/>
      <c r="AS2208" s="578"/>
      <c r="AT2208" s="578"/>
      <c r="BC2208" s="745" t="s">
        <v>2130</v>
      </c>
      <c r="BD2208" s="745">
        <f>BD2207*0.08</f>
        <v>384.56192625964434</v>
      </c>
    </row>
    <row r="2209" spans="3:59" s="29" customFormat="1" x14ac:dyDescent="0.25">
      <c r="M2209" s="107"/>
      <c r="N2209" s="107"/>
      <c r="O2209" s="107"/>
      <c r="P2209" s="107"/>
      <c r="Q2209" s="107"/>
      <c r="R2209" s="578"/>
      <c r="S2209" s="578"/>
      <c r="T2209" s="578"/>
      <c r="U2209" s="578"/>
      <c r="V2209" s="578"/>
      <c r="W2209" s="578"/>
      <c r="X2209" s="578"/>
      <c r="Y2209" s="578"/>
      <c r="Z2209" s="578"/>
      <c r="AA2209" s="578"/>
      <c r="AB2209" s="578"/>
      <c r="AC2209" s="578"/>
      <c r="AD2209" s="578"/>
      <c r="AE2209" s="578"/>
      <c r="AF2209" s="578"/>
      <c r="AG2209" s="578"/>
      <c r="AH2209" s="578"/>
      <c r="AI2209" s="578"/>
      <c r="AJ2209" s="578"/>
      <c r="AK2209" s="578"/>
      <c r="AL2209" s="578"/>
      <c r="AM2209" s="578"/>
      <c r="AN2209" s="578"/>
      <c r="AO2209" s="578"/>
      <c r="AP2209" s="578"/>
      <c r="AQ2209" s="578"/>
      <c r="AR2209" s="578"/>
      <c r="AS2209" s="578"/>
      <c r="AT2209" s="578"/>
      <c r="BC2209" s="745" t="s">
        <v>1686</v>
      </c>
      <c r="BD2209" s="745">
        <f>SUM(BD2207+BD2208)</f>
        <v>5191.5860045051986</v>
      </c>
    </row>
    <row r="2210" spans="3:59" s="29" customFormat="1" x14ac:dyDescent="0.25">
      <c r="M2210" s="578"/>
      <c r="N2210" s="578"/>
      <c r="O2210" s="578"/>
      <c r="P2210" s="578"/>
      <c r="Q2210" s="578"/>
      <c r="R2210" s="578"/>
      <c r="S2210" s="578"/>
      <c r="T2210" s="578"/>
      <c r="U2210" s="578"/>
      <c r="V2210" s="578"/>
      <c r="W2210" s="578"/>
      <c r="X2210" s="578"/>
      <c r="Y2210" s="578"/>
      <c r="Z2210" s="578"/>
      <c r="AA2210" s="578"/>
      <c r="AB2210" s="578"/>
      <c r="AC2210" s="578"/>
      <c r="AD2210" s="578"/>
      <c r="AE2210" s="578"/>
      <c r="AF2210" s="578"/>
      <c r="AG2210" s="578"/>
      <c r="AH2210" s="578"/>
      <c r="AI2210" s="578"/>
      <c r="AJ2210" s="578"/>
      <c r="AK2210" s="578"/>
      <c r="AL2210" s="578"/>
      <c r="AM2210" s="578"/>
      <c r="AN2210" s="578"/>
      <c r="AO2210" s="578"/>
      <c r="AP2210" s="578"/>
      <c r="AQ2210" s="578"/>
      <c r="AR2210" s="578"/>
      <c r="AS2210" s="578"/>
      <c r="AT2210" s="578"/>
    </row>
    <row r="2211" spans="3:59" s="29" customFormat="1" x14ac:dyDescent="0.25">
      <c r="C2211" s="115" t="s">
        <v>357</v>
      </c>
      <c r="D2211" s="115" t="s">
        <v>358</v>
      </c>
      <c r="E2211" s="115" t="s">
        <v>359</v>
      </c>
      <c r="F2211" s="115" t="s">
        <v>360</v>
      </c>
      <c r="G2211" s="115" t="s">
        <v>361</v>
      </c>
      <c r="M2211" s="750" t="s">
        <v>336</v>
      </c>
      <c r="N2211" s="750" t="s">
        <v>174</v>
      </c>
      <c r="O2211" s="750" t="s">
        <v>248</v>
      </c>
      <c r="P2211" s="750" t="s">
        <v>176</v>
      </c>
      <c r="Q2211" s="750" t="s">
        <v>337</v>
      </c>
      <c r="R2211" s="750" t="s">
        <v>1641</v>
      </c>
      <c r="S2211" s="750" t="s">
        <v>1642</v>
      </c>
      <c r="T2211" s="750" t="s">
        <v>1643</v>
      </c>
      <c r="U2211" s="750" t="s">
        <v>1644</v>
      </c>
      <c r="V2211" s="750" t="s">
        <v>1919</v>
      </c>
      <c r="W2211" s="750" t="s">
        <v>1920</v>
      </c>
      <c r="X2211" s="750" t="s">
        <v>1921</v>
      </c>
      <c r="Y2211" s="750" t="s">
        <v>1922</v>
      </c>
      <c r="Z2211" s="750" t="s">
        <v>1924</v>
      </c>
      <c r="AA2211" s="750" t="s">
        <v>1923</v>
      </c>
      <c r="AB2211" s="750" t="s">
        <v>1925</v>
      </c>
      <c r="AC2211" s="750" t="s">
        <v>1926</v>
      </c>
      <c r="AD2211" s="750" t="s">
        <v>1927</v>
      </c>
      <c r="AE2211" s="750" t="s">
        <v>1928</v>
      </c>
      <c r="AF2211" s="750" t="s">
        <v>1929</v>
      </c>
      <c r="AG2211" s="750" t="s">
        <v>1872</v>
      </c>
      <c r="AH2211" s="750" t="s">
        <v>1873</v>
      </c>
      <c r="AI2211" s="750" t="s">
        <v>1780</v>
      </c>
      <c r="AJ2211" s="750" t="s">
        <v>2035</v>
      </c>
      <c r="AK2211" s="750" t="s">
        <v>2036</v>
      </c>
      <c r="AL2211" s="750" t="s">
        <v>2037</v>
      </c>
      <c r="AM2211" s="750" t="s">
        <v>2038</v>
      </c>
      <c r="AN2211" s="750" t="s">
        <v>2039</v>
      </c>
      <c r="AO2211" s="750" t="s">
        <v>2040</v>
      </c>
      <c r="AP2211" s="750" t="s">
        <v>2041</v>
      </c>
      <c r="AQ2211" s="750" t="s">
        <v>2042</v>
      </c>
      <c r="AR2211" s="750" t="s">
        <v>2043</v>
      </c>
      <c r="AS2211" s="750" t="s">
        <v>2045</v>
      </c>
      <c r="AT2211" s="750" t="s">
        <v>2044</v>
      </c>
    </row>
    <row r="2212" spans="3:59" s="29" customFormat="1" ht="38.25" x14ac:dyDescent="0.25">
      <c r="C2212" s="1002" t="s">
        <v>362</v>
      </c>
      <c r="D2212" s="116" t="s">
        <v>373</v>
      </c>
      <c r="E2212" s="116" t="s">
        <v>1023</v>
      </c>
      <c r="F2212" s="116" t="s">
        <v>364</v>
      </c>
      <c r="G2212" s="116" t="s">
        <v>365</v>
      </c>
      <c r="M2212" s="750" t="s">
        <v>344</v>
      </c>
      <c r="N2212" s="750"/>
      <c r="O2212" s="750" t="s">
        <v>342</v>
      </c>
      <c r="P2212" s="750">
        <v>100</v>
      </c>
      <c r="Q2212" s="750">
        <f t="shared" ref="Q2212:Q2219" si="599">N2212*P2212</f>
        <v>0</v>
      </c>
      <c r="R2212" s="750">
        <v>0</v>
      </c>
      <c r="S2212" s="750">
        <f>P2212*R2212</f>
        <v>0</v>
      </c>
      <c r="T2212" s="750">
        <f>P2212-S2212</f>
        <v>100</v>
      </c>
      <c r="U2212" s="750">
        <f>Q2212+((S2212*Q2212)/P2212)</f>
        <v>0</v>
      </c>
      <c r="V2212" s="750"/>
      <c r="W2212" s="750"/>
      <c r="X2212" s="750"/>
      <c r="Y2212" s="750"/>
      <c r="Z2212" s="750"/>
      <c r="AA2212" s="750"/>
      <c r="AB2212" s="750"/>
      <c r="AC2212" s="750"/>
      <c r="AD2212" s="750"/>
      <c r="AE2212" s="750"/>
      <c r="AF2212" s="750"/>
      <c r="AG2212" s="750">
        <f>$AO$27/4</f>
        <v>18.899999999999999</v>
      </c>
      <c r="AH2212" s="750">
        <f t="shared" ref="AH2212:AH2237" si="600">$AO$29</f>
        <v>1547.3435977313275</v>
      </c>
      <c r="AI2212" s="750">
        <v>0.6</v>
      </c>
      <c r="AJ2212" s="750">
        <f>(((U2212+V2212+AG2212+AH2212)*AI2212)+(U2212+V2212+AG2212+AH2212))*1.08</f>
        <v>2706.4689368797344</v>
      </c>
      <c r="AK2212" s="750">
        <f>(((U2212+W2212+AG2212+AH2212)*AI2212)+(U2212+W2212+AG2212+AH2212))*1.08</f>
        <v>2706.4689368797344</v>
      </c>
      <c r="AL2212" s="750">
        <f>(((U2212+X2212+AG2212+AH2212)*AI2212)+(U2212+X2212+AG2212+AH2212))*1.08</f>
        <v>2706.4689368797344</v>
      </c>
      <c r="AM2212" s="750">
        <f t="shared" ref="AM2212:AM2222" si="601">(((U2212+Y2212+AG2212+AH2212)*AI2212)+(U2212+Y2212+AG2212+AH2212))*1.08</f>
        <v>2706.4689368797344</v>
      </c>
      <c r="AN2212" s="750">
        <f t="shared" ref="AN2212:AN2222" si="602">(((U2212+Z2212+AG2212+AH2212)*AI2212)+(U2212+Z2212+AG2212+AH2212))*1.08</f>
        <v>2706.4689368797344</v>
      </c>
      <c r="AO2212" s="750">
        <f t="shared" ref="AO2212:AO2222" si="603">(((U2212+AA2212+AG2212+AH2212)*AI2212)+(U2212+AA2212+AG2212+AH2212))*1.08</f>
        <v>2706.4689368797344</v>
      </c>
      <c r="AP2212" s="750">
        <f>(((U2212+AB2212+AG2212+AH2212)*AI2212)+(U2212+AB2212+AG2212+AH2212))*1.08</f>
        <v>2706.4689368797344</v>
      </c>
      <c r="AQ2212" s="750">
        <f>(((U2212+AC2212+AG2212+AH2212)*AI2212)+(U2212+AC2212+AG2212+AH2212))*1.08</f>
        <v>2706.4689368797344</v>
      </c>
      <c r="AR2212" s="750">
        <f>(((U2212+AD2212+AG2212+AH2212)*AI2212)+(U2212+AD2212+AG2212+AH2212))*1.08</f>
        <v>2706.4689368797344</v>
      </c>
      <c r="AS2212" s="750">
        <f>(((U2212+AE2212+AG2212+AH2212)*AI2212)+(U2212+AE2212+AG2212+AH2212))*1.08</f>
        <v>2706.4689368797344</v>
      </c>
      <c r="AT2212" s="750">
        <f>(((U2212+AF2212+AG2212+AH2212)*AI2212)+(U2212+AF2212+AG2212+AH2212))*1.08</f>
        <v>2706.4689368797344</v>
      </c>
    </row>
    <row r="2213" spans="3:59" s="29" customFormat="1" ht="38.25" x14ac:dyDescent="0.25">
      <c r="C2213" s="1002"/>
      <c r="D2213" s="116" t="s">
        <v>366</v>
      </c>
      <c r="E2213" s="116" t="s">
        <v>1024</v>
      </c>
      <c r="F2213" s="116" t="s">
        <v>364</v>
      </c>
      <c r="G2213" s="116" t="s">
        <v>365</v>
      </c>
      <c r="M2213" s="750" t="s">
        <v>359</v>
      </c>
      <c r="N2213" s="750"/>
      <c r="O2213" s="750" t="s">
        <v>342</v>
      </c>
      <c r="P2213" s="750">
        <v>120</v>
      </c>
      <c r="Q2213" s="750">
        <f t="shared" si="599"/>
        <v>0</v>
      </c>
      <c r="R2213" s="750">
        <v>0</v>
      </c>
      <c r="S2213" s="750">
        <f t="shared" ref="S2213:S2233" si="604">P2213*R2213</f>
        <v>0</v>
      </c>
      <c r="T2213" s="750">
        <f t="shared" ref="T2213:T2233" si="605">P2213-S2213</f>
        <v>120</v>
      </c>
      <c r="U2213" s="750">
        <f t="shared" ref="U2213:U2233" si="606">Q2213+((S2213*Q2213)/P2213)</f>
        <v>0</v>
      </c>
      <c r="V2213" s="750"/>
      <c r="W2213" s="750"/>
      <c r="X2213" s="750"/>
      <c r="Y2213" s="750"/>
      <c r="Z2213" s="750"/>
      <c r="AA2213" s="750"/>
      <c r="AB2213" s="750"/>
      <c r="AC2213" s="750"/>
      <c r="AD2213" s="750"/>
      <c r="AE2213" s="750"/>
      <c r="AF2213" s="750"/>
      <c r="AG2213" s="750">
        <f t="shared" ref="AG2213:AG2237" si="607">$AO$27/4</f>
        <v>18.899999999999999</v>
      </c>
      <c r="AH2213" s="750">
        <f t="shared" si="600"/>
        <v>1547.3435977313275</v>
      </c>
      <c r="AI2213" s="750">
        <v>0.6</v>
      </c>
      <c r="AJ2213" s="750">
        <f>(((U2213+V2213+AG2213+AH2213)*AI2213)+(U2213+V2213+AG2213+AH2213))*1.08</f>
        <v>2706.4689368797344</v>
      </c>
      <c r="AK2213" s="750">
        <f>(((U2213+W2213+AG2213+AH2213)*AI2213)+(U2213+W2213+AG2213+AH2213))*1.08</f>
        <v>2706.4689368797344</v>
      </c>
      <c r="AL2213" s="750">
        <f>(((U2213+X2213+AG2213+AH2213)*AI2213)+(U2213+X2213+AG2213+AH2213))*1.08</f>
        <v>2706.4689368797344</v>
      </c>
      <c r="AM2213" s="750">
        <f t="shared" si="601"/>
        <v>2706.4689368797344</v>
      </c>
      <c r="AN2213" s="750">
        <f t="shared" si="602"/>
        <v>2706.4689368797344</v>
      </c>
      <c r="AO2213" s="750">
        <f t="shared" si="603"/>
        <v>2706.4689368797344</v>
      </c>
      <c r="AP2213" s="750">
        <f>(((U2213+AB2213+AG2213+AH2213)*AI2213)+(U2213+AB2213+AG2213+AH2213))*1.08</f>
        <v>2706.4689368797344</v>
      </c>
      <c r="AQ2213" s="750">
        <f>(((U2213+AC2213+AG2213+AH2213)*AI2213)+(U2213+AC2213+AG2213+AH2213))*1.08</f>
        <v>2706.4689368797344</v>
      </c>
      <c r="AR2213" s="750">
        <f>(((U2213+AD2213+AG2213+AH2213)*AI2213)+(U2213+AD2213+AG2213+AH2213))*1.08</f>
        <v>2706.4689368797344</v>
      </c>
      <c r="AS2213" s="750">
        <f>(((U2213+AE2213+AG2213+AH2213)*AI2213)+(U2213+AE2213+AG2213+AH2213))*1.08</f>
        <v>2706.4689368797344</v>
      </c>
      <c r="AT2213" s="750">
        <f>(((U2213+AF2213+AG2213+AH2213)*AI2213)+(U2213+AF2213+AG2213+AH2213))*1.08</f>
        <v>2706.4689368797344</v>
      </c>
      <c r="AU2213" s="30"/>
    </row>
    <row r="2214" spans="3:59" s="29" customFormat="1" ht="76.5" x14ac:dyDescent="0.25">
      <c r="C2214" s="1002" t="s">
        <v>367</v>
      </c>
      <c r="D2214" s="116" t="s">
        <v>374</v>
      </c>
      <c r="E2214" s="116" t="s">
        <v>1025</v>
      </c>
      <c r="F2214" s="116" t="s">
        <v>1035</v>
      </c>
      <c r="G2214" s="116" t="s">
        <v>1026</v>
      </c>
      <c r="M2214" s="750" t="s">
        <v>427</v>
      </c>
      <c r="N2214" s="750">
        <f>S8</f>
        <v>59</v>
      </c>
      <c r="O2214" s="750" t="str">
        <f>R8</f>
        <v>g</v>
      </c>
      <c r="P2214" s="750">
        <v>80</v>
      </c>
      <c r="Q2214" s="750">
        <f t="shared" si="599"/>
        <v>4720</v>
      </c>
      <c r="R2214" s="750">
        <f>AN4</f>
        <v>0.41</v>
      </c>
      <c r="S2214" s="750">
        <f t="shared" si="604"/>
        <v>32.799999999999997</v>
      </c>
      <c r="T2214" s="750">
        <f t="shared" si="605"/>
        <v>47.2</v>
      </c>
      <c r="U2214" s="750">
        <f>Q2214+((S2214*Q2214)/P2214)</f>
        <v>6655.2</v>
      </c>
      <c r="V2214" s="577">
        <f>$AR$8</f>
        <v>267.22379169571428</v>
      </c>
      <c r="W2214" s="577">
        <f>$AR$9</f>
        <v>178.14919446380952</v>
      </c>
      <c r="X2214" s="577">
        <f>$AR$10</f>
        <v>267.22379169571428</v>
      </c>
      <c r="Y2214" s="577">
        <f>$AR$11</f>
        <v>267.22379169571428</v>
      </c>
      <c r="Z2214" s="577">
        <f>$AR$12</f>
        <v>267.22379169571428</v>
      </c>
      <c r="AA2214" s="577">
        <f>$AR$13</f>
        <v>178.14919446380952</v>
      </c>
      <c r="AB2214" s="577">
        <f>$AR$14</f>
        <v>178.14919446380952</v>
      </c>
      <c r="AC2214" s="577">
        <f>$AR$15</f>
        <v>267.22379169571428</v>
      </c>
      <c r="AD2214" s="577" t="s">
        <v>1963</v>
      </c>
      <c r="AE2214" s="577" t="s">
        <v>1963</v>
      </c>
      <c r="AF2214" s="577" t="s">
        <v>1963</v>
      </c>
      <c r="AG2214" s="750">
        <f t="shared" si="607"/>
        <v>18.899999999999999</v>
      </c>
      <c r="AH2214" s="750">
        <f t="shared" si="600"/>
        <v>1547.3435977313275</v>
      </c>
      <c r="AI2214" s="750">
        <v>0.6</v>
      </c>
      <c r="AJ2214" s="750">
        <f>(((U2214+V2214+AG2214+AH2214)*AI2214)+(U2214+V2214+AG2214+AH2214))*1.08</f>
        <v>14668.417248929929</v>
      </c>
      <c r="AK2214" s="750">
        <f>(((U2214+W2214+AG2214+AH2214)*AI2214)+(U2214+W2214+AG2214+AH2214))*1.08</f>
        <v>14514.496344913199</v>
      </c>
      <c r="AL2214" s="750">
        <f>(((U2214+X2214+AG2214+AH2214)*AI2214)+(U2214+X2214+AG2214+AH2214))*1.08</f>
        <v>14668.417248929929</v>
      </c>
      <c r="AM2214" s="750">
        <f t="shared" si="601"/>
        <v>14668.417248929929</v>
      </c>
      <c r="AN2214" s="750">
        <f t="shared" si="602"/>
        <v>14668.417248929929</v>
      </c>
      <c r="AO2214" s="750">
        <f t="shared" si="603"/>
        <v>14514.496344913199</v>
      </c>
      <c r="AP2214" s="750">
        <f>(((U2214+AB2214+AG2214+AH2214)*AI2214)+(U2214+AB2214+AG2214+AH2214))*1.08</f>
        <v>14514.496344913199</v>
      </c>
      <c r="AQ2214" s="750">
        <f>(((U2214+AC2214+AG2214+AH2214)*AI2214)+(U2214+AC2214+AG2214+AH2214))*1.08</f>
        <v>14668.417248929929</v>
      </c>
      <c r="AR2214" s="750"/>
      <c r="AS2214" s="750"/>
      <c r="AT2214" s="750"/>
      <c r="AU2214" s="107"/>
    </row>
    <row r="2215" spans="3:59" s="29" customFormat="1" ht="76.5" x14ac:dyDescent="0.25">
      <c r="C2215" s="1002"/>
      <c r="D2215" s="116" t="s">
        <v>375</v>
      </c>
      <c r="E2215" s="116" t="s">
        <v>1027</v>
      </c>
      <c r="F2215" s="116" t="s">
        <v>1019</v>
      </c>
      <c r="G2215" s="116" t="s">
        <v>1028</v>
      </c>
      <c r="M2215" s="750" t="s">
        <v>484</v>
      </c>
      <c r="N2215" s="750">
        <f>S7</f>
        <v>54</v>
      </c>
      <c r="O2215" s="750" t="str">
        <f>R7</f>
        <v>g</v>
      </c>
      <c r="P2215" s="750">
        <v>80</v>
      </c>
      <c r="Q2215" s="750">
        <f t="shared" si="599"/>
        <v>4320</v>
      </c>
      <c r="R2215" s="750">
        <f>AN2</f>
        <v>0.33</v>
      </c>
      <c r="S2215" s="750">
        <f t="shared" si="604"/>
        <v>26.400000000000002</v>
      </c>
      <c r="T2215" s="750">
        <f t="shared" si="605"/>
        <v>53.599999999999994</v>
      </c>
      <c r="U2215" s="750">
        <f t="shared" si="606"/>
        <v>5745.6</v>
      </c>
      <c r="V2215" s="577" t="s">
        <v>1963</v>
      </c>
      <c r="W2215" s="577" t="s">
        <v>1963</v>
      </c>
      <c r="X2215" s="577" t="s">
        <v>1963</v>
      </c>
      <c r="Y2215" s="577">
        <f t="shared" ref="Y2215:Y2217" si="608">$AR$11</f>
        <v>267.22379169571428</v>
      </c>
      <c r="Z2215" s="577">
        <f t="shared" ref="Z2215:Z2218" si="609">$AR$12</f>
        <v>267.22379169571428</v>
      </c>
      <c r="AA2215" s="577">
        <f t="shared" ref="AA2215:AA2216" si="610">$AR$13</f>
        <v>178.14919446380952</v>
      </c>
      <c r="AB2215" s="577">
        <f t="shared" ref="AB2215:AB2216" si="611">$AR$14</f>
        <v>178.14919446380952</v>
      </c>
      <c r="AC2215" s="577" t="s">
        <v>1963</v>
      </c>
      <c r="AD2215" s="577" t="s">
        <v>1963</v>
      </c>
      <c r="AE2215" s="577" t="s">
        <v>1963</v>
      </c>
      <c r="AF2215" s="577">
        <f>AR18</f>
        <v>178.14919446380952</v>
      </c>
      <c r="AG2215" s="750">
        <f t="shared" si="607"/>
        <v>18.899999999999999</v>
      </c>
      <c r="AH2215" s="750">
        <f t="shared" si="600"/>
        <v>1547.3435977313275</v>
      </c>
      <c r="AI2215" s="750">
        <v>0.6</v>
      </c>
      <c r="AJ2215" s="750"/>
      <c r="AK2215" s="750"/>
      <c r="AL2215" s="750"/>
      <c r="AM2215" s="750">
        <f t="shared" si="601"/>
        <v>13096.628448929929</v>
      </c>
      <c r="AN2215" s="750">
        <f t="shared" si="602"/>
        <v>13096.628448929929</v>
      </c>
      <c r="AO2215" s="750">
        <f t="shared" si="603"/>
        <v>12942.707544913197</v>
      </c>
      <c r="AP2215" s="750">
        <f>(((U2215+AB2215+AG2215+AH2215)*AI2215)+(U2215+AB2215+AG2215+AH2215))*1.08</f>
        <v>12942.707544913197</v>
      </c>
      <c r="AQ2215" s="750"/>
      <c r="AR2215" s="750"/>
      <c r="AS2215" s="750"/>
      <c r="AT2215" s="750">
        <f>(((U2215+AF2215+AG2215+AH2215)*AI2215)+(U2215+AF2215+AG2215+AH2215))*1.08</f>
        <v>12942.707544913197</v>
      </c>
      <c r="AU2215" s="107"/>
    </row>
    <row r="2216" spans="3:59" s="29" customFormat="1" ht="51" x14ac:dyDescent="0.25">
      <c r="C2216" s="1002" t="s">
        <v>370</v>
      </c>
      <c r="D2216" s="116" t="s">
        <v>376</v>
      </c>
      <c r="E2216" s="116" t="s">
        <v>1029</v>
      </c>
      <c r="F2216" s="116" t="s">
        <v>1030</v>
      </c>
      <c r="G2216" s="116" t="s">
        <v>1031</v>
      </c>
      <c r="H2216" s="110"/>
      <c r="M2216" s="750" t="s">
        <v>349</v>
      </c>
      <c r="N2216" s="750">
        <f>S15</f>
        <v>41</v>
      </c>
      <c r="O2216" s="750" t="str">
        <f>R15</f>
        <v>g</v>
      </c>
      <c r="P2216" s="750">
        <v>80</v>
      </c>
      <c r="Q2216" s="750">
        <f t="shared" si="599"/>
        <v>3280</v>
      </c>
      <c r="R2216" s="750">
        <f>AN3</f>
        <v>0.47</v>
      </c>
      <c r="S2216" s="750">
        <f t="shared" si="604"/>
        <v>37.599999999999994</v>
      </c>
      <c r="T2216" s="750">
        <f t="shared" si="605"/>
        <v>42.400000000000006</v>
      </c>
      <c r="U2216" s="750">
        <f t="shared" si="606"/>
        <v>4821.6000000000004</v>
      </c>
      <c r="V2216" s="577">
        <f t="shared" ref="V2216" si="612">$AR$8</f>
        <v>267.22379169571428</v>
      </c>
      <c r="W2216" s="577">
        <f t="shared" ref="W2216" si="613">$AR$9</f>
        <v>178.14919446380952</v>
      </c>
      <c r="X2216" s="577">
        <f t="shared" ref="X2216" si="614">$AR$10</f>
        <v>267.22379169571428</v>
      </c>
      <c r="Y2216" s="577">
        <f t="shared" si="608"/>
        <v>267.22379169571428</v>
      </c>
      <c r="Z2216" s="577">
        <f t="shared" si="609"/>
        <v>267.22379169571428</v>
      </c>
      <c r="AA2216" s="577">
        <f t="shared" si="610"/>
        <v>178.14919446380952</v>
      </c>
      <c r="AB2216" s="577">
        <f t="shared" si="611"/>
        <v>178.14919446380952</v>
      </c>
      <c r="AC2216" s="577">
        <f t="shared" ref="AC2216" si="615">$AR$15</f>
        <v>267.22379169571428</v>
      </c>
      <c r="AD2216" s="577" t="s">
        <v>1963</v>
      </c>
      <c r="AE2216" s="577" t="s">
        <v>1963</v>
      </c>
      <c r="AF2216" s="577" t="s">
        <v>1963</v>
      </c>
      <c r="AG2216" s="750">
        <f t="shared" si="607"/>
        <v>18.899999999999999</v>
      </c>
      <c r="AH2216" s="750">
        <f t="shared" si="600"/>
        <v>1547.3435977313275</v>
      </c>
      <c r="AI2216" s="750">
        <v>0.6</v>
      </c>
      <c r="AJ2216" s="750">
        <f>(((U2216+V2216+AG2216+AH2216)*AI2216)+(U2216+V2216+AG2216+AH2216))*1.08</f>
        <v>11499.95644892993</v>
      </c>
      <c r="AK2216" s="750">
        <f>(((U2216+W2216+AG2216+AH2216)*AI2216)+(U2216+W2216+AG2216+AH2216))*1.08</f>
        <v>11346.035544913197</v>
      </c>
      <c r="AL2216" s="750">
        <f>(((U2216+X2216+AG2216+AH2216)*AI2216)+(U2216+X2216+AG2216+AH2216))*1.08</f>
        <v>11499.95644892993</v>
      </c>
      <c r="AM2216" s="750">
        <f t="shared" si="601"/>
        <v>11499.95644892993</v>
      </c>
      <c r="AN2216" s="750">
        <f t="shared" si="602"/>
        <v>11499.95644892993</v>
      </c>
      <c r="AO2216" s="750">
        <f t="shared" si="603"/>
        <v>11346.035544913197</v>
      </c>
      <c r="AP2216" s="750">
        <f>(((U2216+AB2216+AG2216+AH2216)*AI2216)+(U2216+AB2216+AG2216+AH2216))*1.08</f>
        <v>11346.035544913197</v>
      </c>
      <c r="AQ2216" s="750">
        <f>(((U2216+AC2216+AG2216+AH2216)*AI2216)+(U2216+AC2216+AG2216+AH2216))*1.08</f>
        <v>11499.95644892993</v>
      </c>
      <c r="AR2216" s="750"/>
      <c r="AS2216" s="750"/>
      <c r="AT2216" s="750"/>
      <c r="AU2216" s="107"/>
      <c r="AY2216" s="1053" t="s">
        <v>2124</v>
      </c>
      <c r="AZ2216" s="1054"/>
      <c r="BA2216" s="1054"/>
      <c r="BB2216" s="1054"/>
      <c r="BC2216" s="1054"/>
      <c r="BD2216" s="1054"/>
      <c r="BE2216" s="1054"/>
      <c r="BF2216" s="1054"/>
      <c r="BG2216" s="1055"/>
    </row>
    <row r="2217" spans="3:59" s="29" customFormat="1" ht="16.5" customHeight="1" x14ac:dyDescent="0.25">
      <c r="C2217" s="1002"/>
      <c r="D2217" s="116" t="s">
        <v>377</v>
      </c>
      <c r="E2217" s="116" t="s">
        <v>1032</v>
      </c>
      <c r="F2217" s="116" t="s">
        <v>1033</v>
      </c>
      <c r="G2217" s="116" t="s">
        <v>1034</v>
      </c>
      <c r="H2217" s="109"/>
      <c r="M2217" s="750" t="s">
        <v>458</v>
      </c>
      <c r="N2217" s="750">
        <f>S10</f>
        <v>32.46</v>
      </c>
      <c r="O2217" s="750" t="str">
        <f>R10</f>
        <v>g</v>
      </c>
      <c r="P2217" s="750">
        <v>80</v>
      </c>
      <c r="Q2217" s="750">
        <f t="shared" si="599"/>
        <v>2596.8000000000002</v>
      </c>
      <c r="R2217" s="750">
        <v>0</v>
      </c>
      <c r="S2217" s="750">
        <f t="shared" si="604"/>
        <v>0</v>
      </c>
      <c r="T2217" s="750">
        <f t="shared" si="605"/>
        <v>80</v>
      </c>
      <c r="U2217" s="750">
        <f t="shared" si="606"/>
        <v>2596.8000000000002</v>
      </c>
      <c r="V2217" s="577" t="s">
        <v>1963</v>
      </c>
      <c r="W2217" s="577" t="s">
        <v>1963</v>
      </c>
      <c r="X2217" s="577" t="s">
        <v>1963</v>
      </c>
      <c r="Y2217" s="577">
        <f t="shared" si="608"/>
        <v>267.22379169571428</v>
      </c>
      <c r="Z2217" s="577">
        <f t="shared" si="609"/>
        <v>267.22379169571428</v>
      </c>
      <c r="AA2217" s="577" t="s">
        <v>1963</v>
      </c>
      <c r="AB2217" s="577" t="s">
        <v>1963</v>
      </c>
      <c r="AC2217" s="577" t="s">
        <v>1963</v>
      </c>
      <c r="AD2217" s="577" t="s">
        <v>1963</v>
      </c>
      <c r="AE2217" s="577" t="s">
        <v>1963</v>
      </c>
      <c r="AF2217" s="577" t="s">
        <v>1963</v>
      </c>
      <c r="AG2217" s="750">
        <f t="shared" si="607"/>
        <v>18.899999999999999</v>
      </c>
      <c r="AH2217" s="750">
        <f t="shared" si="600"/>
        <v>1547.3435977313275</v>
      </c>
      <c r="AI2217" s="750">
        <v>0.6</v>
      </c>
      <c r="AJ2217" s="750"/>
      <c r="AK2217" s="750"/>
      <c r="AL2217" s="750"/>
      <c r="AM2217" s="750">
        <f t="shared" si="601"/>
        <v>7655.5020489299286</v>
      </c>
      <c r="AN2217" s="750">
        <f t="shared" si="602"/>
        <v>7655.5020489299286</v>
      </c>
      <c r="AO2217" s="750" t="e">
        <f t="shared" si="603"/>
        <v>#VALUE!</v>
      </c>
      <c r="AP2217" s="750"/>
      <c r="AQ2217" s="750"/>
      <c r="AR2217" s="750"/>
      <c r="AS2217" s="750"/>
      <c r="AT2217" s="750"/>
      <c r="AU2217" s="107"/>
      <c r="AY2217" s="739" t="s">
        <v>336</v>
      </c>
      <c r="AZ2217" s="739" t="s">
        <v>174</v>
      </c>
      <c r="BA2217" s="739" t="s">
        <v>248</v>
      </c>
      <c r="BB2217" s="739" t="s">
        <v>176</v>
      </c>
      <c r="BC2217" s="739" t="s">
        <v>337</v>
      </c>
      <c r="BD2217" s="739" t="s">
        <v>1641</v>
      </c>
      <c r="BE2217" s="739" t="s">
        <v>1642</v>
      </c>
      <c r="BF2217" s="739" t="s">
        <v>1643</v>
      </c>
      <c r="BG2217" s="739" t="s">
        <v>1644</v>
      </c>
    </row>
    <row r="2218" spans="3:59" s="29" customFormat="1" ht="16.5" customHeight="1" x14ac:dyDescent="0.25">
      <c r="C2218" s="108"/>
      <c r="D2218" s="109"/>
      <c r="E2218" s="109"/>
      <c r="F2218" s="109"/>
      <c r="G2218" s="109"/>
      <c r="H2218" s="109"/>
      <c r="M2218" s="750" t="s">
        <v>459</v>
      </c>
      <c r="N2218" s="750">
        <f>S6</f>
        <v>30</v>
      </c>
      <c r="O2218" s="750" t="str">
        <f>R6</f>
        <v>g</v>
      </c>
      <c r="P2218" s="750">
        <v>70</v>
      </c>
      <c r="Q2218" s="750">
        <f t="shared" si="599"/>
        <v>2100</v>
      </c>
      <c r="R2218" s="750">
        <f>AN6</f>
        <v>0</v>
      </c>
      <c r="S2218" s="750">
        <f t="shared" si="604"/>
        <v>0</v>
      </c>
      <c r="T2218" s="750">
        <f t="shared" si="605"/>
        <v>70</v>
      </c>
      <c r="U2218" s="750">
        <f t="shared" si="606"/>
        <v>2100</v>
      </c>
      <c r="V2218" s="577" t="s">
        <v>1963</v>
      </c>
      <c r="W2218" s="577">
        <f t="shared" ref="W2218:W2219" si="616">$AR$9</f>
        <v>178.14919446380952</v>
      </c>
      <c r="X2218" s="577" t="s">
        <v>1963</v>
      </c>
      <c r="Y2218" s="577" t="s">
        <v>1963</v>
      </c>
      <c r="Z2218" s="577">
        <f t="shared" si="609"/>
        <v>267.22379169571428</v>
      </c>
      <c r="AA2218" s="577" t="s">
        <v>1963</v>
      </c>
      <c r="AB2218" s="577" t="s">
        <v>1963</v>
      </c>
      <c r="AC2218" s="577" t="s">
        <v>1963</v>
      </c>
      <c r="AD2218" s="577" t="s">
        <v>1963</v>
      </c>
      <c r="AE2218" s="577" t="s">
        <v>1963</v>
      </c>
      <c r="AF2218" s="577">
        <f t="shared" ref="AF2218:AF2219" si="617">$AR$18</f>
        <v>178.14919446380952</v>
      </c>
      <c r="AG2218" s="750">
        <f t="shared" si="607"/>
        <v>18.899999999999999</v>
      </c>
      <c r="AH2218" s="750">
        <f t="shared" si="600"/>
        <v>1547.3435977313275</v>
      </c>
      <c r="AI2218" s="750">
        <v>0.6</v>
      </c>
      <c r="AJ2218" s="750"/>
      <c r="AK2218" s="750">
        <f>(((U2218+W2218+AG2218+AH2218)*AI2218)+(U2218+W2218+AG2218+AH2218))*1.08</f>
        <v>6643.1107449131969</v>
      </c>
      <c r="AL2218" s="750"/>
      <c r="AM2218" s="750" t="e">
        <f t="shared" si="601"/>
        <v>#VALUE!</v>
      </c>
      <c r="AN2218" s="750">
        <f t="shared" si="602"/>
        <v>6797.0316489299285</v>
      </c>
      <c r="AO2218" s="750" t="e">
        <f t="shared" si="603"/>
        <v>#VALUE!</v>
      </c>
      <c r="AP2218" s="750"/>
      <c r="AQ2218" s="750"/>
      <c r="AR2218" s="750"/>
      <c r="AS2218" s="750"/>
      <c r="AT2218" s="750">
        <f>(((U2218+AF2218+AG2218+AH2218)*AI2218)+(U2218+AF2218+AG2218+AH2218))*1.08</f>
        <v>6643.1107449131969</v>
      </c>
      <c r="AU2218" s="107"/>
      <c r="AY2218" s="746" t="s">
        <v>737</v>
      </c>
      <c r="AZ2218" s="749">
        <f>AB2</f>
        <v>98.4</v>
      </c>
      <c r="BA2218" s="746" t="str">
        <f>AA2</f>
        <v>g</v>
      </c>
      <c r="BB2218" s="746">
        <v>50</v>
      </c>
      <c r="BC2218" s="746">
        <f>AZ2218</f>
        <v>98.4</v>
      </c>
      <c r="BD2218" s="746">
        <v>0</v>
      </c>
      <c r="BE2218" s="746">
        <f>BB2218*BD2218</f>
        <v>0</v>
      </c>
      <c r="BF2218" s="746">
        <f>BB2218-BE2218</f>
        <v>50</v>
      </c>
      <c r="BG2218" s="746">
        <f>BC2218+((BE2218*BC2218)/BB2218)</f>
        <v>98.4</v>
      </c>
    </row>
    <row r="2219" spans="3:59" s="29" customFormat="1" ht="16.5" customHeight="1" x14ac:dyDescent="0.25">
      <c r="C2219" s="108"/>
      <c r="D2219" s="109"/>
      <c r="E2219" s="109"/>
      <c r="F2219" s="109"/>
      <c r="G2219" s="109"/>
      <c r="H2219" s="109"/>
      <c r="M2219" s="750" t="s">
        <v>469</v>
      </c>
      <c r="N2219" s="750">
        <f>S17</f>
        <v>153.78</v>
      </c>
      <c r="O2219" s="750" t="str">
        <f>R17</f>
        <v>g</v>
      </c>
      <c r="P2219" s="750">
        <v>80</v>
      </c>
      <c r="Q2219" s="750">
        <f t="shared" si="599"/>
        <v>12302.4</v>
      </c>
      <c r="R2219" s="750">
        <f>AN9</f>
        <v>0.52</v>
      </c>
      <c r="S2219" s="750">
        <f t="shared" si="604"/>
        <v>41.6</v>
      </c>
      <c r="T2219" s="750">
        <f t="shared" si="605"/>
        <v>38.4</v>
      </c>
      <c r="U2219" s="750">
        <f t="shared" si="606"/>
        <v>18699.648000000001</v>
      </c>
      <c r="V2219" s="577" t="s">
        <v>1963</v>
      </c>
      <c r="W2219" s="577">
        <f t="shared" si="616"/>
        <v>178.14919446380952</v>
      </c>
      <c r="X2219" s="577" t="s">
        <v>1963</v>
      </c>
      <c r="Y2219" s="577">
        <f t="shared" ref="Y2219" si="618">$AR$11</f>
        <v>267.22379169571428</v>
      </c>
      <c r="Z2219" s="577" t="s">
        <v>1963</v>
      </c>
      <c r="AA2219" s="577" t="s">
        <v>1963</v>
      </c>
      <c r="AB2219" s="577" t="s">
        <v>1963</v>
      </c>
      <c r="AC2219" s="577" t="s">
        <v>1963</v>
      </c>
      <c r="AD2219" s="577">
        <f t="shared" ref="AD2219" si="619">$AR$16</f>
        <v>178.14919446380952</v>
      </c>
      <c r="AE2219" s="577">
        <f t="shared" ref="AE2219" si="620">$AR$17</f>
        <v>178.14919446380952</v>
      </c>
      <c r="AF2219" s="577">
        <f t="shared" si="617"/>
        <v>178.14919446380952</v>
      </c>
      <c r="AG2219" s="750">
        <f t="shared" si="607"/>
        <v>18.899999999999999</v>
      </c>
      <c r="AH2219" s="750">
        <f t="shared" si="600"/>
        <v>1547.3435977313275</v>
      </c>
      <c r="AI2219" s="750">
        <v>0.6</v>
      </c>
      <c r="AJ2219" s="750"/>
      <c r="AK2219" s="750">
        <f>(((U2219+W2219+AG2219+AH2219)*AI2219)+(U2219+W2219+AG2219+AH2219))*1.08</f>
        <v>35327.302488913207</v>
      </c>
      <c r="AL2219" s="750"/>
      <c r="AM2219" s="750">
        <f t="shared" si="601"/>
        <v>35481.223392929933</v>
      </c>
      <c r="AN2219" s="750" t="e">
        <f t="shared" si="602"/>
        <v>#VALUE!</v>
      </c>
      <c r="AO2219" s="750" t="e">
        <f t="shared" si="603"/>
        <v>#VALUE!</v>
      </c>
      <c r="AP2219" s="750"/>
      <c r="AQ2219" s="750"/>
      <c r="AR2219" s="750">
        <f>(((U2219+AD2219+AG2219+AH2219)*AI2219)+(U2219+AD2219+AG2219+AH2219))*1.08</f>
        <v>35327.302488913207</v>
      </c>
      <c r="AS2219" s="750">
        <f>(((U2219+AE2219+AG2219+AH2219)*AI2219)+(U2219+AE2219+AG2219+AH2219))*1.08</f>
        <v>35327.302488913207</v>
      </c>
      <c r="AT2219" s="750">
        <f>(((U2219+AF2219+AG2219+AH2219)*AI2219)+(U2219+AF2219+AG2219+AH2219))*1.08</f>
        <v>35327.302488913207</v>
      </c>
      <c r="AU2219" s="107"/>
      <c r="AY2219" s="746" t="s">
        <v>2125</v>
      </c>
      <c r="AZ2219" s="749">
        <f>AE10</f>
        <v>8.15</v>
      </c>
      <c r="BA2219" s="746" t="str">
        <f>AD10</f>
        <v>g</v>
      </c>
      <c r="BB2219" s="746">
        <v>10</v>
      </c>
      <c r="BC2219" s="746">
        <f t="shared" ref="BC2219:BC2222" si="621">AZ2219*BB2219</f>
        <v>81.5</v>
      </c>
      <c r="BD2219" s="746">
        <v>0</v>
      </c>
      <c r="BE2219" s="746">
        <f t="shared" ref="BE2219:BE2220" si="622">BB2219*BD2219</f>
        <v>0</v>
      </c>
      <c r="BF2219" s="746">
        <f t="shared" ref="BF2219:BF2222" si="623">BB2219-BE2219</f>
        <v>10</v>
      </c>
      <c r="BG2219" s="746">
        <f t="shared" ref="BG2219:BG2222" si="624">BC2219+((BE2219*BC2219)/BB2219)</f>
        <v>81.5</v>
      </c>
    </row>
    <row r="2220" spans="3:59" s="29" customFormat="1" ht="16.5" customHeight="1" x14ac:dyDescent="0.25">
      <c r="H2220" s="109"/>
      <c r="M2220" s="750" t="s">
        <v>485</v>
      </c>
      <c r="N2220" s="750">
        <f>V12</f>
        <v>25.98</v>
      </c>
      <c r="O2220" s="750" t="str">
        <f>U12</f>
        <v>g</v>
      </c>
      <c r="P2220" s="750">
        <v>30</v>
      </c>
      <c r="Q2220" s="750">
        <f t="shared" ref="Q2220:Q2233" si="625">N2220*P2220</f>
        <v>779.4</v>
      </c>
      <c r="R2220" s="750">
        <v>0</v>
      </c>
      <c r="S2220" s="750">
        <f t="shared" si="604"/>
        <v>0</v>
      </c>
      <c r="T2220" s="750">
        <f t="shared" si="605"/>
        <v>30</v>
      </c>
      <c r="U2220" s="750">
        <f t="shared" si="606"/>
        <v>779.4</v>
      </c>
      <c r="V2220" s="577" t="s">
        <v>1963</v>
      </c>
      <c r="W2220" s="577" t="s">
        <v>1963</v>
      </c>
      <c r="X2220" s="577" t="s">
        <v>1963</v>
      </c>
      <c r="Y2220" s="577">
        <f>AO26</f>
        <v>953.74829894127811</v>
      </c>
      <c r="Z2220" s="577" t="s">
        <v>1963</v>
      </c>
      <c r="AA2220" s="577">
        <f>AO26</f>
        <v>953.74829894127811</v>
      </c>
      <c r="AB2220" s="577" t="s">
        <v>1963</v>
      </c>
      <c r="AC2220" s="577" t="s">
        <v>1963</v>
      </c>
      <c r="AD2220" s="577" t="s">
        <v>1963</v>
      </c>
      <c r="AE2220" s="577" t="s">
        <v>1963</v>
      </c>
      <c r="AF2220" s="750" t="s">
        <v>1963</v>
      </c>
      <c r="AG2220" s="750">
        <f t="shared" si="607"/>
        <v>18.899999999999999</v>
      </c>
      <c r="AH2220" s="750">
        <f t="shared" si="600"/>
        <v>1547.3435977313275</v>
      </c>
      <c r="AI2220" s="750">
        <v>0.6</v>
      </c>
      <c r="AJ2220" s="750"/>
      <c r="AK2220" s="750"/>
      <c r="AL2220" s="750"/>
      <c r="AM2220" s="750">
        <f t="shared" si="601"/>
        <v>5701.3491974502631</v>
      </c>
      <c r="AN2220" s="750" t="e">
        <f t="shared" si="602"/>
        <v>#VALUE!</v>
      </c>
      <c r="AO2220" s="750">
        <f t="shared" si="603"/>
        <v>5701.3491974502631</v>
      </c>
      <c r="AP2220" s="750"/>
      <c r="AQ2220" s="750"/>
      <c r="AR2220" s="750"/>
      <c r="AS2220" s="750"/>
      <c r="AT2220" s="750"/>
      <c r="AU2220" s="107"/>
      <c r="AY2220" s="746" t="s">
        <v>430</v>
      </c>
      <c r="AZ2220" s="749">
        <f>P10</f>
        <v>0.7</v>
      </c>
      <c r="BA2220" s="746" t="str">
        <f>O10</f>
        <v>g</v>
      </c>
      <c r="BB2220" s="746">
        <v>20</v>
      </c>
      <c r="BC2220" s="746">
        <f t="shared" si="621"/>
        <v>14</v>
      </c>
      <c r="BD2220" s="746">
        <f>AJ7</f>
        <v>0.15</v>
      </c>
      <c r="BE2220" s="746">
        <f t="shared" si="622"/>
        <v>3</v>
      </c>
      <c r="BF2220" s="746">
        <f t="shared" si="623"/>
        <v>17</v>
      </c>
      <c r="BG2220" s="746">
        <f t="shared" si="624"/>
        <v>16.100000000000001</v>
      </c>
    </row>
    <row r="2221" spans="3:59" s="29" customFormat="1" ht="16.5" customHeight="1" x14ac:dyDescent="0.25">
      <c r="H2221" s="109"/>
      <c r="M2221" s="750" t="s">
        <v>454</v>
      </c>
      <c r="N2221" s="750">
        <f>P14</f>
        <v>18.86</v>
      </c>
      <c r="O2221" s="750" t="str">
        <f>O14</f>
        <v>g</v>
      </c>
      <c r="P2221" s="750">
        <v>30</v>
      </c>
      <c r="Q2221" s="750">
        <f t="shared" si="625"/>
        <v>565.79999999999995</v>
      </c>
      <c r="R2221" s="750">
        <v>0</v>
      </c>
      <c r="S2221" s="750">
        <f t="shared" si="604"/>
        <v>0</v>
      </c>
      <c r="T2221" s="750">
        <f t="shared" si="605"/>
        <v>30</v>
      </c>
      <c r="U2221" s="750">
        <f t="shared" si="606"/>
        <v>565.79999999999995</v>
      </c>
      <c r="V2221" s="577" t="s">
        <v>1963</v>
      </c>
      <c r="W2221" s="577" t="s">
        <v>1963</v>
      </c>
      <c r="X2221" s="577" t="s">
        <v>1963</v>
      </c>
      <c r="Y2221" s="577" t="s">
        <v>1963</v>
      </c>
      <c r="Z2221" s="577" t="s">
        <v>1963</v>
      </c>
      <c r="AA2221" s="577" t="s">
        <v>1963</v>
      </c>
      <c r="AB2221" s="577" t="s">
        <v>1963</v>
      </c>
      <c r="AC2221" s="577" t="s">
        <v>1963</v>
      </c>
      <c r="AD2221" s="577" t="s">
        <v>1963</v>
      </c>
      <c r="AE2221" s="577">
        <f t="shared" ref="AE2221:AE2236" si="626">$AR$17</f>
        <v>178.14919446380952</v>
      </c>
      <c r="AF2221" s="577">
        <f>AR18</f>
        <v>178.14919446380952</v>
      </c>
      <c r="AG2221" s="750">
        <f t="shared" si="607"/>
        <v>18.899999999999999</v>
      </c>
      <c r="AH2221" s="750">
        <f t="shared" si="600"/>
        <v>1547.3435977313275</v>
      </c>
      <c r="AI2221" s="750">
        <v>0.6</v>
      </c>
      <c r="AJ2221" s="750"/>
      <c r="AK2221" s="750"/>
      <c r="AL2221" s="750"/>
      <c r="AM2221" s="750" t="e">
        <f t="shared" si="601"/>
        <v>#VALUE!</v>
      </c>
      <c r="AN2221" s="750" t="e">
        <f t="shared" si="602"/>
        <v>#VALUE!</v>
      </c>
      <c r="AO2221" s="750" t="e">
        <f t="shared" si="603"/>
        <v>#VALUE!</v>
      </c>
      <c r="AP2221" s="750"/>
      <c r="AQ2221" s="750"/>
      <c r="AR2221" s="750"/>
      <c r="AS2221" s="750">
        <f>(((U2221+AE2221+AG2221+AH2221)*AI2221)+(U2221+AE2221+AG2221+AH2221))*1.08</f>
        <v>3992.0131449131968</v>
      </c>
      <c r="AT2221" s="750">
        <f>(((U2221+AF2221+AG2221+AH2221)*AI2221)+(U2221+AF2221+AG2221+AH2221))*1.08</f>
        <v>3992.0131449131968</v>
      </c>
      <c r="AU2221" s="107"/>
      <c r="AY2221" s="746" t="s">
        <v>346</v>
      </c>
      <c r="AZ2221" s="749">
        <f>V37</f>
        <v>0</v>
      </c>
      <c r="BA2221" s="749" t="str">
        <f>O3</f>
        <v>g</v>
      </c>
      <c r="BB2221" s="746">
        <v>10</v>
      </c>
      <c r="BC2221" s="746">
        <f t="shared" si="621"/>
        <v>0</v>
      </c>
      <c r="BD2221" s="746">
        <f>AJ2</f>
        <v>0.23</v>
      </c>
      <c r="BE2221" s="746">
        <f>BB2221*BD2221</f>
        <v>2.3000000000000003</v>
      </c>
      <c r="BF2221" s="746">
        <f t="shared" si="623"/>
        <v>7.6999999999999993</v>
      </c>
      <c r="BG2221" s="746">
        <f t="shared" si="624"/>
        <v>0</v>
      </c>
    </row>
    <row r="2222" spans="3:59" s="29" customFormat="1" ht="16.5" customHeight="1" x14ac:dyDescent="0.25">
      <c r="H2222" s="109"/>
      <c r="M2222" s="750" t="s">
        <v>541</v>
      </c>
      <c r="N2222" s="750">
        <f>V16</f>
        <v>54.41</v>
      </c>
      <c r="O2222" s="750" t="str">
        <f>U16</f>
        <v>g</v>
      </c>
      <c r="P2222" s="750">
        <v>40</v>
      </c>
      <c r="Q2222" s="750">
        <f t="shared" si="625"/>
        <v>2176.3999999999996</v>
      </c>
      <c r="R2222" s="750">
        <v>0</v>
      </c>
      <c r="S2222" s="750">
        <f t="shared" si="604"/>
        <v>0</v>
      </c>
      <c r="T2222" s="750">
        <f t="shared" si="605"/>
        <v>40</v>
      </c>
      <c r="U2222" s="750">
        <f t="shared" si="606"/>
        <v>2176.3999999999996</v>
      </c>
      <c r="V2222" s="577" t="s">
        <v>1963</v>
      </c>
      <c r="W2222" s="577" t="s">
        <v>1963</v>
      </c>
      <c r="X2222" s="577" t="s">
        <v>1963</v>
      </c>
      <c r="Y2222" s="577">
        <f>AO26</f>
        <v>953.74829894127811</v>
      </c>
      <c r="Z2222" s="577" t="s">
        <v>1963</v>
      </c>
      <c r="AA2222" s="577">
        <f>AO26</f>
        <v>953.74829894127811</v>
      </c>
      <c r="AB2222" s="577" t="s">
        <v>1963</v>
      </c>
      <c r="AC2222" s="577" t="s">
        <v>1963</v>
      </c>
      <c r="AD2222" s="577" t="s">
        <v>1963</v>
      </c>
      <c r="AE2222" s="577" t="s">
        <v>1963</v>
      </c>
      <c r="AF2222" s="577" t="s">
        <v>1963</v>
      </c>
      <c r="AG2222" s="750">
        <f t="shared" si="607"/>
        <v>18.899999999999999</v>
      </c>
      <c r="AH2222" s="750">
        <f t="shared" si="600"/>
        <v>1547.3435977313275</v>
      </c>
      <c r="AI2222" s="750">
        <v>0.6</v>
      </c>
      <c r="AJ2222" s="750"/>
      <c r="AK2222" s="750"/>
      <c r="AL2222" s="750"/>
      <c r="AM2222" s="750">
        <f t="shared" si="601"/>
        <v>8115.3651974502618</v>
      </c>
      <c r="AN2222" s="750" t="e">
        <f t="shared" si="602"/>
        <v>#VALUE!</v>
      </c>
      <c r="AO2222" s="750">
        <f t="shared" si="603"/>
        <v>8115.3651974502618</v>
      </c>
      <c r="AP2222" s="750"/>
      <c r="AQ2222" s="750"/>
      <c r="AR2222" s="750"/>
      <c r="AS2222" s="750"/>
      <c r="AT2222" s="750"/>
      <c r="AU2222" s="107"/>
      <c r="AY2222" s="746" t="s">
        <v>2126</v>
      </c>
      <c r="AZ2222" s="749">
        <f>AE15</f>
        <v>51.96</v>
      </c>
      <c r="BA2222" s="746" t="str">
        <f>AD15</f>
        <v>mL</v>
      </c>
      <c r="BB2222" s="746">
        <v>10</v>
      </c>
      <c r="BC2222" s="746">
        <f t="shared" si="621"/>
        <v>519.6</v>
      </c>
      <c r="BD2222" s="746">
        <v>0</v>
      </c>
      <c r="BE2222" s="746">
        <f t="shared" ref="BE2222" si="627">BB2222*BD2222</f>
        <v>0</v>
      </c>
      <c r="BF2222" s="746">
        <f t="shared" si="623"/>
        <v>10</v>
      </c>
      <c r="BG2222" s="746">
        <f t="shared" si="624"/>
        <v>519.6</v>
      </c>
    </row>
    <row r="2223" spans="3:59" s="29" customFormat="1" ht="16.5" customHeight="1" x14ac:dyDescent="0.25">
      <c r="H2223" s="109"/>
      <c r="M2223" s="750" t="s">
        <v>531</v>
      </c>
      <c r="N2223" s="750">
        <f>AB6</f>
        <v>5.18</v>
      </c>
      <c r="O2223" s="750" t="str">
        <f>AA6</f>
        <v>g</v>
      </c>
      <c r="P2223" s="750">
        <v>120</v>
      </c>
      <c r="Q2223" s="750">
        <f t="shared" si="625"/>
        <v>621.59999999999991</v>
      </c>
      <c r="R2223" s="750">
        <v>0</v>
      </c>
      <c r="S2223" s="750">
        <f t="shared" si="604"/>
        <v>0</v>
      </c>
      <c r="T2223" s="750">
        <f t="shared" si="605"/>
        <v>120</v>
      </c>
      <c r="U2223" s="750">
        <f t="shared" si="606"/>
        <v>621.59999999999991</v>
      </c>
      <c r="V2223" s="577" t="s">
        <v>1963</v>
      </c>
      <c r="W2223" s="577" t="s">
        <v>1963</v>
      </c>
      <c r="X2223" s="577">
        <f t="shared" ref="X2223:X2233" si="628">$AR$10</f>
        <v>267.22379169571428</v>
      </c>
      <c r="Y2223" s="577" t="s">
        <v>1963</v>
      </c>
      <c r="Z2223" s="577" t="s">
        <v>1963</v>
      </c>
      <c r="AA2223" s="577" t="s">
        <v>1963</v>
      </c>
      <c r="AB2223" s="577" t="s">
        <v>1963</v>
      </c>
      <c r="AC2223" s="577" t="s">
        <v>1963</v>
      </c>
      <c r="AD2223" s="577" t="s">
        <v>1963</v>
      </c>
      <c r="AE2223" s="577">
        <f t="shared" si="626"/>
        <v>178.14919446380952</v>
      </c>
      <c r="AF2223" s="750" t="s">
        <v>1963</v>
      </c>
      <c r="AG2223" s="750">
        <f t="shared" si="607"/>
        <v>18.899999999999999</v>
      </c>
      <c r="AH2223" s="750">
        <f t="shared" si="600"/>
        <v>1547.3435977313275</v>
      </c>
      <c r="AI2223" s="750">
        <v>0.6</v>
      </c>
      <c r="AJ2223" s="750"/>
      <c r="AK2223" s="750"/>
      <c r="AL2223" s="750">
        <f>(((U2223+X2223+AG2223+AH2223)*AI2223)+(U2223+X2223+AG2223+AH2223))*1.08</f>
        <v>4242.3564489299279</v>
      </c>
      <c r="AM2223" s="750"/>
      <c r="AN2223" s="750"/>
      <c r="AO2223" s="750"/>
      <c r="AP2223" s="750"/>
      <c r="AQ2223" s="750"/>
      <c r="AR2223" s="750"/>
      <c r="AS2223" s="750">
        <f t="shared" ref="AS2223:AS2236" si="629">(((U2223+AE2223+AG2223+AH2223)*AI2223)+(U2223+AE2223+AG2223+AH2223))*1.08</f>
        <v>4088.4355449131967</v>
      </c>
      <c r="AT2223" s="750"/>
      <c r="AU2223" s="107"/>
      <c r="AY2223" s="746"/>
      <c r="AZ2223" s="749"/>
      <c r="BA2223" s="746"/>
      <c r="BB2223" s="746"/>
      <c r="BC2223" s="746"/>
      <c r="BD2223" s="746"/>
      <c r="BE2223" s="746"/>
      <c r="BF2223" s="746"/>
      <c r="BG2223" s="746"/>
    </row>
    <row r="2224" spans="3:59" s="29" customFormat="1" ht="16.5" customHeight="1" x14ac:dyDescent="0.25">
      <c r="H2224" s="109"/>
      <c r="M2224" s="750" t="s">
        <v>436</v>
      </c>
      <c r="N2224" s="750">
        <f>P31</f>
        <v>2.6</v>
      </c>
      <c r="O2224" s="750" t="str">
        <f>O31</f>
        <v>g</v>
      </c>
      <c r="P2224" s="750">
        <v>50</v>
      </c>
      <c r="Q2224" s="750">
        <f t="shared" si="625"/>
        <v>130</v>
      </c>
      <c r="R2224" s="750">
        <f>AJ19</f>
        <v>0.37</v>
      </c>
      <c r="S2224" s="750">
        <f t="shared" si="604"/>
        <v>18.5</v>
      </c>
      <c r="T2224" s="750">
        <f t="shared" si="605"/>
        <v>31.5</v>
      </c>
      <c r="U2224" s="750">
        <f t="shared" si="606"/>
        <v>178.1</v>
      </c>
      <c r="V2224" s="577" t="s">
        <v>1963</v>
      </c>
      <c r="W2224" s="577" t="s">
        <v>1963</v>
      </c>
      <c r="X2224" s="577" t="s">
        <v>1963</v>
      </c>
      <c r="Y2224" s="577" t="s">
        <v>1963</v>
      </c>
      <c r="Z2224" s="577" t="s">
        <v>1963</v>
      </c>
      <c r="AA2224" s="577" t="s">
        <v>1963</v>
      </c>
      <c r="AB2224" s="577" t="s">
        <v>1963</v>
      </c>
      <c r="AC2224" s="577" t="s">
        <v>1963</v>
      </c>
      <c r="AD2224" s="577" t="s">
        <v>1963</v>
      </c>
      <c r="AE2224" s="577">
        <f t="shared" si="626"/>
        <v>178.14919446380952</v>
      </c>
      <c r="AF2224" s="577">
        <f>AR18</f>
        <v>178.14919446380952</v>
      </c>
      <c r="AG2224" s="750">
        <f t="shared" si="607"/>
        <v>18.899999999999999</v>
      </c>
      <c r="AH2224" s="750">
        <f t="shared" si="600"/>
        <v>1547.3435977313275</v>
      </c>
      <c r="AI2224" s="750">
        <v>0.6</v>
      </c>
      <c r="AJ2224" s="750"/>
      <c r="AK2224" s="750"/>
      <c r="AL2224" s="750"/>
      <c r="AM2224" s="750"/>
      <c r="AN2224" s="750"/>
      <c r="AO2224" s="750"/>
      <c r="AP2224" s="750"/>
      <c r="AQ2224" s="750"/>
      <c r="AR2224" s="750"/>
      <c r="AS2224" s="750">
        <f t="shared" si="629"/>
        <v>3322.0675449131973</v>
      </c>
      <c r="AT2224" s="750">
        <f>(((U2224+AF2224+AG2224+AH2224)*AI2224)+(U2224+AF2224+AG2224+AH2224))*1.08</f>
        <v>3322.0675449131973</v>
      </c>
      <c r="AU2224" s="107"/>
      <c r="AY2224" s="746"/>
      <c r="AZ2224" s="749"/>
      <c r="BA2224" s="746"/>
      <c r="BB2224" s="746"/>
      <c r="BC2224" s="746"/>
      <c r="BD2224" s="746"/>
      <c r="BE2224" s="746"/>
      <c r="BF2224" s="746"/>
      <c r="BG2224" s="746"/>
    </row>
    <row r="2225" spans="8:59" s="29" customFormat="1" ht="16.5" customHeight="1" x14ac:dyDescent="0.25">
      <c r="H2225" s="109"/>
      <c r="M2225" s="750" t="s">
        <v>539</v>
      </c>
      <c r="N2225" s="750">
        <f>P7</f>
        <v>2.5</v>
      </c>
      <c r="O2225" s="750" t="str">
        <f>O7</f>
        <v>g</v>
      </c>
      <c r="P2225" s="750">
        <v>50</v>
      </c>
      <c r="Q2225" s="750">
        <f t="shared" si="625"/>
        <v>125</v>
      </c>
      <c r="R2225" s="750">
        <f>AJ5</f>
        <v>0.13</v>
      </c>
      <c r="S2225" s="750">
        <f t="shared" si="604"/>
        <v>6.5</v>
      </c>
      <c r="T2225" s="750">
        <f t="shared" si="605"/>
        <v>43.5</v>
      </c>
      <c r="U2225" s="750">
        <f t="shared" si="606"/>
        <v>141.25</v>
      </c>
      <c r="V2225" s="577" t="s">
        <v>1963</v>
      </c>
      <c r="W2225" s="577" t="s">
        <v>1963</v>
      </c>
      <c r="X2225" s="577" t="s">
        <v>1963</v>
      </c>
      <c r="Y2225" s="577" t="s">
        <v>1963</v>
      </c>
      <c r="Z2225" s="577" t="s">
        <v>1963</v>
      </c>
      <c r="AA2225" s="577" t="s">
        <v>1963</v>
      </c>
      <c r="AB2225" s="577" t="s">
        <v>1963</v>
      </c>
      <c r="AC2225" s="577" t="s">
        <v>1963</v>
      </c>
      <c r="AD2225" s="577" t="s">
        <v>1963</v>
      </c>
      <c r="AE2225" s="577">
        <f t="shared" si="626"/>
        <v>178.14919446380952</v>
      </c>
      <c r="AF2225" s="577">
        <f>AR18</f>
        <v>178.14919446380952</v>
      </c>
      <c r="AG2225" s="750">
        <f t="shared" si="607"/>
        <v>18.899999999999999</v>
      </c>
      <c r="AH2225" s="750">
        <f t="shared" si="600"/>
        <v>1547.3435977313275</v>
      </c>
      <c r="AI2225" s="750">
        <v>0.6</v>
      </c>
      <c r="AJ2225" s="750"/>
      <c r="AK2225" s="750"/>
      <c r="AL2225" s="750"/>
      <c r="AM2225" s="750"/>
      <c r="AN2225" s="750"/>
      <c r="AO2225" s="750"/>
      <c r="AP2225" s="750"/>
      <c r="AQ2225" s="750"/>
      <c r="AR2225" s="750"/>
      <c r="AS2225" s="750">
        <f t="shared" si="629"/>
        <v>3258.3907449131971</v>
      </c>
      <c r="AT2225" s="750">
        <f>(((U2225+AF2225+AG2225+AH2225)*AI2225)+(U2225+AF2225+AG2225+AH2225))*1.08</f>
        <v>3258.3907449131971</v>
      </c>
      <c r="AU2225" s="107"/>
      <c r="AY2225" s="746" t="s">
        <v>337</v>
      </c>
      <c r="AZ2225" s="746">
        <f>SUM(AZ2218:AZ2223)</f>
        <v>159.21</v>
      </c>
      <c r="BA2225" s="746"/>
      <c r="BB2225" s="746">
        <f>SUM(BB2218:BB2224)</f>
        <v>100</v>
      </c>
      <c r="BC2225" s="746">
        <f>SUM(BC2218:BC2223)</f>
        <v>713.5</v>
      </c>
      <c r="BD2225" s="746"/>
      <c r="BE2225" s="746"/>
      <c r="BF2225" s="746"/>
      <c r="BG2225" s="746">
        <f>SUM(BG2218:BG2224)</f>
        <v>715.6</v>
      </c>
    </row>
    <row r="2226" spans="8:59" s="29" customFormat="1" ht="16.5" customHeight="1" x14ac:dyDescent="0.25">
      <c r="H2226" s="109"/>
      <c r="M2226" s="750" t="s">
        <v>672</v>
      </c>
      <c r="N2226" s="750">
        <f>P8</f>
        <v>3.3330000000000002</v>
      </c>
      <c r="O2226" s="750" t="str">
        <f>O8</f>
        <v>g</v>
      </c>
      <c r="P2226" s="750">
        <v>80</v>
      </c>
      <c r="Q2226" s="750">
        <f t="shared" si="625"/>
        <v>266.64</v>
      </c>
      <c r="R2226" s="750">
        <f>AJ6</f>
        <v>0.5</v>
      </c>
      <c r="S2226" s="750">
        <f t="shared" si="604"/>
        <v>40</v>
      </c>
      <c r="T2226" s="750">
        <f t="shared" si="605"/>
        <v>40</v>
      </c>
      <c r="U2226" s="750">
        <f t="shared" si="606"/>
        <v>399.96</v>
      </c>
      <c r="V2226" s="577" t="s">
        <v>1963</v>
      </c>
      <c r="W2226" s="577" t="s">
        <v>1963</v>
      </c>
      <c r="X2226" s="577" t="s">
        <v>1963</v>
      </c>
      <c r="Y2226" s="577" t="s">
        <v>1963</v>
      </c>
      <c r="Z2226" s="577" t="s">
        <v>1963</v>
      </c>
      <c r="AA2226" s="577" t="s">
        <v>1963</v>
      </c>
      <c r="AB2226" s="577" t="s">
        <v>1963</v>
      </c>
      <c r="AC2226" s="577" t="s">
        <v>1963</v>
      </c>
      <c r="AD2226" s="577" t="s">
        <v>1963</v>
      </c>
      <c r="AE2226" s="577">
        <f t="shared" si="626"/>
        <v>178.14919446380952</v>
      </c>
      <c r="AF2226" s="577">
        <f>AR18</f>
        <v>178.14919446380952</v>
      </c>
      <c r="AG2226" s="750">
        <f t="shared" si="607"/>
        <v>18.899999999999999</v>
      </c>
      <c r="AH2226" s="750">
        <f t="shared" si="600"/>
        <v>1547.3435977313275</v>
      </c>
      <c r="AI2226" s="750">
        <v>0.6</v>
      </c>
      <c r="AJ2226" s="750"/>
      <c r="AK2226" s="750"/>
      <c r="AL2226" s="750"/>
      <c r="AM2226" s="750"/>
      <c r="AN2226" s="750"/>
      <c r="AO2226" s="750"/>
      <c r="AP2226" s="750"/>
      <c r="AQ2226" s="750"/>
      <c r="AR2226" s="750"/>
      <c r="AS2226" s="750">
        <f t="shared" si="629"/>
        <v>3705.4416249131968</v>
      </c>
      <c r="AT2226" s="750">
        <f>(((U2226+AF2226+AG2226+AH2226)*AI2226)+(U2226+AF2226+AG2226+AH2226))*1.08</f>
        <v>3705.4416249131968</v>
      </c>
      <c r="AU2226" s="107"/>
    </row>
    <row r="2227" spans="8:59" s="29" customFormat="1" ht="16.5" customHeight="1" x14ac:dyDescent="0.25">
      <c r="H2227" s="109"/>
      <c r="M2227" s="750" t="s">
        <v>510</v>
      </c>
      <c r="N2227" s="750">
        <f>P21</f>
        <v>1.6</v>
      </c>
      <c r="O2227" s="750" t="str">
        <f>O21</f>
        <v>g</v>
      </c>
      <c r="P2227" s="750">
        <v>50</v>
      </c>
      <c r="Q2227" s="750">
        <f t="shared" si="625"/>
        <v>80</v>
      </c>
      <c r="R2227" s="750">
        <f>AJ12</f>
        <v>0</v>
      </c>
      <c r="S2227" s="750">
        <f t="shared" si="604"/>
        <v>0</v>
      </c>
      <c r="T2227" s="750">
        <f t="shared" si="605"/>
        <v>50</v>
      </c>
      <c r="U2227" s="750">
        <f t="shared" si="606"/>
        <v>80</v>
      </c>
      <c r="V2227" s="577" t="s">
        <v>1963</v>
      </c>
      <c r="W2227" s="577" t="s">
        <v>1963</v>
      </c>
      <c r="X2227" s="577">
        <f t="shared" si="628"/>
        <v>267.22379169571428</v>
      </c>
      <c r="Y2227" s="577" t="s">
        <v>1963</v>
      </c>
      <c r="Z2227" s="577" t="s">
        <v>1963</v>
      </c>
      <c r="AA2227" s="577" t="s">
        <v>1963</v>
      </c>
      <c r="AB2227" s="577" t="s">
        <v>1963</v>
      </c>
      <c r="AC2227" s="577" t="s">
        <v>1963</v>
      </c>
      <c r="AD2227" s="577" t="s">
        <v>1963</v>
      </c>
      <c r="AE2227" s="577">
        <f t="shared" si="626"/>
        <v>178.14919446380952</v>
      </c>
      <c r="AF2227" s="750" t="s">
        <v>1963</v>
      </c>
      <c r="AG2227" s="750">
        <f t="shared" si="607"/>
        <v>18.899999999999999</v>
      </c>
      <c r="AH2227" s="750">
        <f t="shared" si="600"/>
        <v>1547.3435977313275</v>
      </c>
      <c r="AI2227" s="750">
        <v>0.6</v>
      </c>
      <c r="AJ2227" s="750"/>
      <c r="AK2227" s="750"/>
      <c r="AL2227" s="750">
        <f>(((U2227+X2227+AG2227+AH2227)*AI2227)+(U2227+X2227+AG2227+AH2227))*1.08</f>
        <v>3306.4716489299285</v>
      </c>
      <c r="AM2227" s="750"/>
      <c r="AN2227" s="750"/>
      <c r="AO2227" s="750"/>
      <c r="AP2227" s="750"/>
      <c r="AQ2227" s="750"/>
      <c r="AR2227" s="750"/>
      <c r="AS2227" s="750">
        <f t="shared" si="629"/>
        <v>3152.5507449131969</v>
      </c>
      <c r="AT2227" s="750"/>
      <c r="AU2227" s="107"/>
      <c r="BC2227" s="745" t="s">
        <v>1681</v>
      </c>
      <c r="BD2227" s="745">
        <f>BG2225</f>
        <v>715.6</v>
      </c>
    </row>
    <row r="2228" spans="8:59" s="29" customFormat="1" ht="16.5" customHeight="1" x14ac:dyDescent="0.25">
      <c r="H2228" s="109"/>
      <c r="M2228" s="750" t="s">
        <v>1036</v>
      </c>
      <c r="N2228" s="750">
        <f>AB4</f>
        <v>4.8</v>
      </c>
      <c r="O2228" s="750" t="str">
        <f>AA4</f>
        <v>g</v>
      </c>
      <c r="P2228" s="750">
        <v>50</v>
      </c>
      <c r="Q2228" s="750">
        <f t="shared" si="625"/>
        <v>240</v>
      </c>
      <c r="R2228" s="750">
        <v>0</v>
      </c>
      <c r="S2228" s="750">
        <f t="shared" si="604"/>
        <v>0</v>
      </c>
      <c r="T2228" s="750">
        <f t="shared" si="605"/>
        <v>50</v>
      </c>
      <c r="U2228" s="750">
        <f t="shared" si="606"/>
        <v>240</v>
      </c>
      <c r="V2228" s="577" t="s">
        <v>1963</v>
      </c>
      <c r="W2228" s="577" t="s">
        <v>1963</v>
      </c>
      <c r="X2228" s="577">
        <f t="shared" si="628"/>
        <v>267.22379169571428</v>
      </c>
      <c r="Y2228" s="577" t="s">
        <v>1963</v>
      </c>
      <c r="Z2228" s="577" t="s">
        <v>1963</v>
      </c>
      <c r="AA2228" s="577" t="s">
        <v>1963</v>
      </c>
      <c r="AB2228" s="577" t="s">
        <v>1963</v>
      </c>
      <c r="AC2228" s="577" t="s">
        <v>1963</v>
      </c>
      <c r="AD2228" s="577" t="s">
        <v>1963</v>
      </c>
      <c r="AE2228" s="577">
        <f t="shared" si="626"/>
        <v>178.14919446380952</v>
      </c>
      <c r="AF2228" s="750" t="s">
        <v>1963</v>
      </c>
      <c r="AG2228" s="750">
        <f t="shared" si="607"/>
        <v>18.899999999999999</v>
      </c>
      <c r="AH2228" s="750">
        <f t="shared" si="600"/>
        <v>1547.3435977313275</v>
      </c>
      <c r="AI2228" s="750">
        <v>0.6</v>
      </c>
      <c r="AJ2228" s="750"/>
      <c r="AK2228" s="750"/>
      <c r="AL2228" s="750">
        <f>(((U2228+X2228+AG2228+AH2228)*AI2228)+(U2228+X2228+AG2228+AH2228))*1.08</f>
        <v>3582.9516489299285</v>
      </c>
      <c r="AM2228" s="750"/>
      <c r="AN2228" s="750"/>
      <c r="AO2228" s="750"/>
      <c r="AP2228" s="750"/>
      <c r="AQ2228" s="750"/>
      <c r="AR2228" s="750"/>
      <c r="AS2228" s="750">
        <f t="shared" si="629"/>
        <v>3429.0307449131969</v>
      </c>
      <c r="AT2228" s="750"/>
      <c r="AU2228" s="107"/>
      <c r="BC2228" s="745" t="s">
        <v>1682</v>
      </c>
      <c r="BD2228" s="745">
        <f>$AO$26/2</f>
        <v>476.87414947063905</v>
      </c>
    </row>
    <row r="2229" spans="8:59" s="29" customFormat="1" ht="16.5" customHeight="1" x14ac:dyDescent="0.25">
      <c r="H2229" s="109"/>
      <c r="M2229" s="750" t="s">
        <v>529</v>
      </c>
      <c r="N2229" s="750">
        <f>P32</f>
        <v>17.72</v>
      </c>
      <c r="O2229" s="750" t="str">
        <f>O32</f>
        <v>g</v>
      </c>
      <c r="P2229" s="750">
        <v>50</v>
      </c>
      <c r="Q2229" s="750">
        <f t="shared" si="625"/>
        <v>886</v>
      </c>
      <c r="R2229" s="750">
        <f>AJ20</f>
        <v>0.31</v>
      </c>
      <c r="S2229" s="750">
        <f t="shared" si="604"/>
        <v>15.5</v>
      </c>
      <c r="T2229" s="750">
        <f t="shared" si="605"/>
        <v>34.5</v>
      </c>
      <c r="U2229" s="750">
        <f t="shared" si="606"/>
        <v>1160.6600000000001</v>
      </c>
      <c r="V2229" s="577" t="s">
        <v>1963</v>
      </c>
      <c r="W2229" s="577" t="s">
        <v>1963</v>
      </c>
      <c r="X2229" s="577" t="s">
        <v>1963</v>
      </c>
      <c r="Y2229" s="577" t="s">
        <v>1963</v>
      </c>
      <c r="Z2229" s="577" t="s">
        <v>1963</v>
      </c>
      <c r="AA2229" s="577" t="s">
        <v>1963</v>
      </c>
      <c r="AB2229" s="577" t="s">
        <v>1963</v>
      </c>
      <c r="AC2229" s="577" t="s">
        <v>1963</v>
      </c>
      <c r="AD2229" s="577" t="s">
        <v>1963</v>
      </c>
      <c r="AE2229" s="577">
        <f t="shared" si="626"/>
        <v>178.14919446380952</v>
      </c>
      <c r="AF2229" s="577">
        <f>AR18</f>
        <v>178.14919446380952</v>
      </c>
      <c r="AG2229" s="750">
        <f t="shared" si="607"/>
        <v>18.899999999999999</v>
      </c>
      <c r="AH2229" s="750">
        <f t="shared" si="600"/>
        <v>1547.3435977313275</v>
      </c>
      <c r="AI2229" s="750">
        <v>0.6</v>
      </c>
      <c r="AJ2229" s="750"/>
      <c r="AK2229" s="750"/>
      <c r="AL2229" s="750"/>
      <c r="AM2229" s="750"/>
      <c r="AN2229" s="750"/>
      <c r="AO2229" s="750"/>
      <c r="AP2229" s="750"/>
      <c r="AQ2229" s="750"/>
      <c r="AR2229" s="750"/>
      <c r="AS2229" s="750">
        <f t="shared" si="629"/>
        <v>5019.9312249131972</v>
      </c>
      <c r="AT2229" s="750">
        <f>(((U2229+AF2229+AG2229+AH2229)*AI2229)+(U2229+AF2229+AG2229+AH2229))*1.08</f>
        <v>5019.9312249131972</v>
      </c>
      <c r="AU2229" s="107"/>
      <c r="BC2229" s="745" t="s">
        <v>1683</v>
      </c>
      <c r="BD2229" s="745">
        <f>$AO$27/4</f>
        <v>18.899999999999999</v>
      </c>
    </row>
    <row r="2230" spans="8:59" s="29" customFormat="1" ht="16.5" customHeight="1" x14ac:dyDescent="0.25">
      <c r="H2230" s="109"/>
      <c r="M2230" s="750" t="s">
        <v>1037</v>
      </c>
      <c r="N2230" s="750">
        <f>P35</f>
        <v>0.129</v>
      </c>
      <c r="O2230" s="750" t="str">
        <f>O35</f>
        <v>g</v>
      </c>
      <c r="P2230" s="750">
        <v>70</v>
      </c>
      <c r="Q2230" s="750">
        <f t="shared" si="625"/>
        <v>9.0300000000000011</v>
      </c>
      <c r="R2230" s="750">
        <f>AJ16</f>
        <v>0.23</v>
      </c>
      <c r="S2230" s="750">
        <f t="shared" si="604"/>
        <v>16.100000000000001</v>
      </c>
      <c r="T2230" s="750">
        <f t="shared" si="605"/>
        <v>53.9</v>
      </c>
      <c r="U2230" s="750">
        <f t="shared" si="606"/>
        <v>11.106900000000001</v>
      </c>
      <c r="V2230" s="577" t="s">
        <v>1963</v>
      </c>
      <c r="W2230" s="577" t="s">
        <v>1963</v>
      </c>
      <c r="X2230" s="577" t="s">
        <v>1963</v>
      </c>
      <c r="Y2230" s="577" t="s">
        <v>1963</v>
      </c>
      <c r="Z2230" s="577" t="s">
        <v>1963</v>
      </c>
      <c r="AA2230" s="577" t="s">
        <v>1963</v>
      </c>
      <c r="AB2230" s="577" t="s">
        <v>1963</v>
      </c>
      <c r="AC2230" s="577" t="s">
        <v>1963</v>
      </c>
      <c r="AD2230" s="577" t="s">
        <v>1963</v>
      </c>
      <c r="AE2230" s="577">
        <f>$AR$17</f>
        <v>178.14919446380952</v>
      </c>
      <c r="AF2230" s="577">
        <f>AR18</f>
        <v>178.14919446380952</v>
      </c>
      <c r="AG2230" s="750">
        <f t="shared" si="607"/>
        <v>18.899999999999999</v>
      </c>
      <c r="AH2230" s="750">
        <f t="shared" si="600"/>
        <v>1547.3435977313275</v>
      </c>
      <c r="AI2230" s="750">
        <v>0.6</v>
      </c>
      <c r="AJ2230" s="750"/>
      <c r="AK2230" s="750"/>
      <c r="AL2230" s="750"/>
      <c r="AM2230" s="750"/>
      <c r="AN2230" s="750"/>
      <c r="AO2230" s="750"/>
      <c r="AP2230" s="750"/>
      <c r="AQ2230" s="750"/>
      <c r="AR2230" s="750"/>
      <c r="AS2230" s="750">
        <f t="shared" si="629"/>
        <v>3033.5034681131965</v>
      </c>
      <c r="AT2230" s="750">
        <f>(((U2230+AF2230+AG2230+AH2230)*AI2230)+(U2230+AF2230+AG2230+AH2230))*1.08</f>
        <v>3033.5034681131965</v>
      </c>
      <c r="AU2230" s="107"/>
      <c r="BC2230" s="745" t="s">
        <v>1684</v>
      </c>
      <c r="BD2230" s="745">
        <f>$AO$29/4</f>
        <v>386.83589943283187</v>
      </c>
    </row>
    <row r="2231" spans="8:59" s="29" customFormat="1" ht="16.5" customHeight="1" x14ac:dyDescent="0.25">
      <c r="H2231" s="109"/>
      <c r="M2231" s="750" t="s">
        <v>540</v>
      </c>
      <c r="N2231" s="750">
        <f>P18</f>
        <v>5</v>
      </c>
      <c r="O2231" s="750" t="str">
        <f>O18</f>
        <v>g</v>
      </c>
      <c r="P2231" s="750">
        <v>50</v>
      </c>
      <c r="Q2231" s="750">
        <f t="shared" si="625"/>
        <v>250</v>
      </c>
      <c r="R2231" s="750">
        <f>AJ11</f>
        <v>0.23</v>
      </c>
      <c r="S2231" s="750">
        <f t="shared" si="604"/>
        <v>11.5</v>
      </c>
      <c r="T2231" s="750">
        <f t="shared" si="605"/>
        <v>38.5</v>
      </c>
      <c r="U2231" s="750">
        <f t="shared" si="606"/>
        <v>307.5</v>
      </c>
      <c r="V2231" s="577" t="s">
        <v>1963</v>
      </c>
      <c r="W2231" s="577" t="s">
        <v>1963</v>
      </c>
      <c r="X2231" s="577" t="s">
        <v>1963</v>
      </c>
      <c r="Y2231" s="577" t="s">
        <v>1963</v>
      </c>
      <c r="Z2231" s="577" t="s">
        <v>1963</v>
      </c>
      <c r="AA2231" s="577" t="s">
        <v>1963</v>
      </c>
      <c r="AB2231" s="577" t="s">
        <v>1963</v>
      </c>
      <c r="AC2231" s="577" t="s">
        <v>1963</v>
      </c>
      <c r="AD2231" s="577">
        <f>AR17</f>
        <v>178.14919446380952</v>
      </c>
      <c r="AE2231" s="577">
        <f>$AR$17</f>
        <v>178.14919446380952</v>
      </c>
      <c r="AF2231" s="577">
        <f>AR18</f>
        <v>178.14919446380952</v>
      </c>
      <c r="AG2231" s="750">
        <f t="shared" si="607"/>
        <v>18.899999999999999</v>
      </c>
      <c r="AH2231" s="750">
        <f t="shared" si="600"/>
        <v>1547.3435977313275</v>
      </c>
      <c r="AI2231" s="750">
        <v>0.6</v>
      </c>
      <c r="AJ2231" s="750"/>
      <c r="AK2231" s="750"/>
      <c r="AL2231" s="750"/>
      <c r="AM2231" s="750"/>
      <c r="AN2231" s="750"/>
      <c r="AO2231" s="750"/>
      <c r="AP2231" s="750"/>
      <c r="AQ2231" s="750"/>
      <c r="AR2231" s="750">
        <f>(((U2231+AD2231+AG2231+AH2231)*AI2231)+(U2231+AD2231+AG2231+AH2231))*1.08</f>
        <v>3545.6707449131973</v>
      </c>
      <c r="AS2231" s="750">
        <f t="shared" si="629"/>
        <v>3545.6707449131973</v>
      </c>
      <c r="AT2231" s="750">
        <f>(((U2231+AF2231+AG2231+AH2231)*AI2231)+(U2231+AF2231+AG2231+AH2231))*1.08</f>
        <v>3545.6707449131973</v>
      </c>
      <c r="AU2231" s="107"/>
      <c r="BC2231" s="745" t="s">
        <v>1780</v>
      </c>
      <c r="BD2231" s="745">
        <v>0.6</v>
      </c>
    </row>
    <row r="2232" spans="8:59" s="29" customFormat="1" ht="16.5" customHeight="1" x14ac:dyDescent="0.25">
      <c r="H2232" s="109"/>
      <c r="M2232" s="750" t="s">
        <v>665</v>
      </c>
      <c r="N2232" s="750">
        <f>P20</f>
        <v>4</v>
      </c>
      <c r="O2232" s="750" t="str">
        <f>O20</f>
        <v>g</v>
      </c>
      <c r="P2232" s="750">
        <v>80</v>
      </c>
      <c r="Q2232" s="750">
        <f t="shared" si="625"/>
        <v>320</v>
      </c>
      <c r="R2232" s="750">
        <v>0</v>
      </c>
      <c r="S2232" s="750">
        <f t="shared" si="604"/>
        <v>0</v>
      </c>
      <c r="T2232" s="750">
        <f t="shared" si="605"/>
        <v>80</v>
      </c>
      <c r="U2232" s="750">
        <f t="shared" si="606"/>
        <v>320</v>
      </c>
      <c r="V2232" s="577" t="s">
        <v>1963</v>
      </c>
      <c r="W2232" s="577" t="s">
        <v>1963</v>
      </c>
      <c r="X2232" s="577" t="s">
        <v>1963</v>
      </c>
      <c r="Y2232" s="577" t="s">
        <v>1963</v>
      </c>
      <c r="Z2232" s="577" t="s">
        <v>1963</v>
      </c>
      <c r="AA2232" s="577" t="s">
        <v>1963</v>
      </c>
      <c r="AB2232" s="577" t="s">
        <v>1963</v>
      </c>
      <c r="AC2232" s="577" t="s">
        <v>1963</v>
      </c>
      <c r="AD2232" s="577" t="s">
        <v>1963</v>
      </c>
      <c r="AE2232" s="577">
        <f t="shared" si="626"/>
        <v>178.14919446380952</v>
      </c>
      <c r="AF2232" s="577">
        <f>AR18</f>
        <v>178.14919446380952</v>
      </c>
      <c r="AG2232" s="750">
        <f t="shared" si="607"/>
        <v>18.899999999999999</v>
      </c>
      <c r="AH2232" s="750">
        <f t="shared" si="600"/>
        <v>1547.3435977313275</v>
      </c>
      <c r="AI2232" s="750">
        <v>0.6</v>
      </c>
      <c r="AJ2232" s="750"/>
      <c r="AK2232" s="750"/>
      <c r="AL2232" s="750"/>
      <c r="AM2232" s="750"/>
      <c r="AN2232" s="750"/>
      <c r="AO2232" s="750"/>
      <c r="AP2232" s="750"/>
      <c r="AQ2232" s="750"/>
      <c r="AR2232" s="750"/>
      <c r="AS2232" s="750">
        <f t="shared" si="629"/>
        <v>3567.2707449131972</v>
      </c>
      <c r="AT2232" s="750">
        <f>(((U2232+AF2232+AG2232+AH2232)*AI2232)+(U2232+AF2232+AG2232+AH2232))*1.08</f>
        <v>3567.2707449131972</v>
      </c>
      <c r="AU2232" s="107"/>
      <c r="BC2232" s="745" t="s">
        <v>1708</v>
      </c>
      <c r="BD2232" s="745">
        <f>(SUM(BD2227:BD2230)*BD2231)+SUM(BD2227:BD2230)</f>
        <v>2557.1360782455536</v>
      </c>
    </row>
    <row r="2233" spans="8:59" s="29" customFormat="1" x14ac:dyDescent="0.25">
      <c r="M2233" s="750" t="s">
        <v>515</v>
      </c>
      <c r="N2233" s="750">
        <f>P6</f>
        <v>7.8</v>
      </c>
      <c r="O2233" s="750" t="str">
        <f>O6</f>
        <v>g</v>
      </c>
      <c r="P2233" s="750">
        <v>30</v>
      </c>
      <c r="Q2233" s="750">
        <f t="shared" si="625"/>
        <v>234</v>
      </c>
      <c r="R2233" s="750">
        <f>AJ4</f>
        <v>0.55000000000000004</v>
      </c>
      <c r="S2233" s="750">
        <f t="shared" si="604"/>
        <v>16.5</v>
      </c>
      <c r="T2233" s="750">
        <f t="shared" si="605"/>
        <v>13.5</v>
      </c>
      <c r="U2233" s="750">
        <f t="shared" si="606"/>
        <v>362.7</v>
      </c>
      <c r="V2233" s="577" t="s">
        <v>1963</v>
      </c>
      <c r="W2233" s="577" t="s">
        <v>1963</v>
      </c>
      <c r="X2233" s="577">
        <f t="shared" si="628"/>
        <v>267.22379169571428</v>
      </c>
      <c r="Y2233" s="577" t="s">
        <v>1963</v>
      </c>
      <c r="Z2233" s="577" t="s">
        <v>1963</v>
      </c>
      <c r="AA2233" s="577" t="s">
        <v>1963</v>
      </c>
      <c r="AB2233" s="577" t="s">
        <v>1963</v>
      </c>
      <c r="AC2233" s="577" t="s">
        <v>1963</v>
      </c>
      <c r="AD2233" s="577" t="s">
        <v>1963</v>
      </c>
      <c r="AE2233" s="577">
        <f t="shared" si="626"/>
        <v>178.14919446380952</v>
      </c>
      <c r="AF2233" s="750" t="s">
        <v>1963</v>
      </c>
      <c r="AG2233" s="750">
        <f t="shared" si="607"/>
        <v>18.899999999999999</v>
      </c>
      <c r="AH2233" s="750">
        <f t="shared" si="600"/>
        <v>1547.3435977313275</v>
      </c>
      <c r="AI2233" s="750">
        <v>0.6</v>
      </c>
      <c r="AJ2233" s="750"/>
      <c r="AK2233" s="750"/>
      <c r="AL2233" s="750">
        <f>(((U2233+X2233+AG2233+AH2233)*AI2233)+(U2233+X2233+AG2233+AH2233))*1.08</f>
        <v>3794.977248929928</v>
      </c>
      <c r="AM2233" s="750"/>
      <c r="AN2233" s="750"/>
      <c r="AO2233" s="750"/>
      <c r="AP2233" s="750"/>
      <c r="AQ2233" s="750"/>
      <c r="AR2233" s="750"/>
      <c r="AS2233" s="750">
        <f t="shared" si="629"/>
        <v>3641.0563449131969</v>
      </c>
      <c r="AT2233" s="750"/>
      <c r="AU2233" s="107"/>
      <c r="BC2233" s="745" t="s">
        <v>2130</v>
      </c>
      <c r="BD2233" s="745">
        <f>BD2232*0.08</f>
        <v>204.57088625964428</v>
      </c>
    </row>
    <row r="2234" spans="8:59" s="29" customFormat="1" x14ac:dyDescent="0.25">
      <c r="M2234" s="750" t="s">
        <v>533</v>
      </c>
      <c r="N2234" s="750">
        <f>AB5</f>
        <v>3.6</v>
      </c>
      <c r="O2234" s="750" t="str">
        <f>AA5</f>
        <v>g</v>
      </c>
      <c r="P2234" s="750">
        <v>120</v>
      </c>
      <c r="Q2234" s="750">
        <f>N2234*P2234</f>
        <v>432</v>
      </c>
      <c r="R2234" s="750">
        <v>0</v>
      </c>
      <c r="S2234" s="750">
        <f>P2234*R2234</f>
        <v>0</v>
      </c>
      <c r="T2234" s="750">
        <f>P2234-S2234</f>
        <v>120</v>
      </c>
      <c r="U2234" s="750">
        <f t="shared" ref="U2234:U2237" si="630">Q2234+((S2234*Q2234)/P2234)</f>
        <v>432</v>
      </c>
      <c r="V2234" s="577" t="s">
        <v>1963</v>
      </c>
      <c r="W2234" s="577" t="s">
        <v>1963</v>
      </c>
      <c r="X2234" s="577">
        <f>$AR$10</f>
        <v>267.22379169571428</v>
      </c>
      <c r="Y2234" s="577" t="s">
        <v>1963</v>
      </c>
      <c r="Z2234" s="577" t="s">
        <v>1963</v>
      </c>
      <c r="AA2234" s="577" t="s">
        <v>1963</v>
      </c>
      <c r="AB2234" s="577" t="s">
        <v>1963</v>
      </c>
      <c r="AC2234" s="577" t="s">
        <v>1963</v>
      </c>
      <c r="AD2234" s="577" t="s">
        <v>1963</v>
      </c>
      <c r="AE2234" s="577">
        <f t="shared" si="626"/>
        <v>178.14919446380952</v>
      </c>
      <c r="AF2234" s="750" t="s">
        <v>1963</v>
      </c>
      <c r="AG2234" s="750">
        <f t="shared" si="607"/>
        <v>18.899999999999999</v>
      </c>
      <c r="AH2234" s="750">
        <f t="shared" si="600"/>
        <v>1547.3435977313275</v>
      </c>
      <c r="AI2234" s="750">
        <v>0.6</v>
      </c>
      <c r="AJ2234" s="750"/>
      <c r="AK2234" s="750"/>
      <c r="AL2234" s="750">
        <f>(((U2234+X2234+AG2234+AH2234)*AI2234)+(U2234+X2234+AG2234+AH2234))*1.08</f>
        <v>3914.7276489299284</v>
      </c>
      <c r="AM2234" s="750"/>
      <c r="AN2234" s="750"/>
      <c r="AO2234" s="750"/>
      <c r="AP2234" s="750"/>
      <c r="AQ2234" s="750"/>
      <c r="AR2234" s="750"/>
      <c r="AS2234" s="750">
        <f t="shared" si="629"/>
        <v>3760.8067449131968</v>
      </c>
      <c r="AT2234" s="750"/>
      <c r="AU2234" s="107"/>
      <c r="BC2234" s="745" t="s">
        <v>1686</v>
      </c>
      <c r="BD2234" s="745">
        <f>SUM(BD2232+BD2233)</f>
        <v>2761.7069645051979</v>
      </c>
    </row>
    <row r="2235" spans="8:59" s="29" customFormat="1" x14ac:dyDescent="0.25">
      <c r="M2235" s="750" t="s">
        <v>653</v>
      </c>
      <c r="N2235" s="750">
        <f>P17</f>
        <v>14.478999999999999</v>
      </c>
      <c r="O2235" s="750" t="str">
        <f>O17</f>
        <v>g</v>
      </c>
      <c r="P2235" s="750">
        <v>50</v>
      </c>
      <c r="Q2235" s="750">
        <f>N2235*P2235</f>
        <v>723.94999999999993</v>
      </c>
      <c r="R2235" s="750">
        <f>AJ10</f>
        <v>0</v>
      </c>
      <c r="S2235" s="750">
        <f>P2235*R2235</f>
        <v>0</v>
      </c>
      <c r="T2235" s="750">
        <f>P2235-S2235</f>
        <v>50</v>
      </c>
      <c r="U2235" s="750">
        <f t="shared" si="630"/>
        <v>723.94999999999993</v>
      </c>
      <c r="V2235" s="577" t="s">
        <v>1963</v>
      </c>
      <c r="W2235" s="577" t="s">
        <v>1963</v>
      </c>
      <c r="X2235" s="577" t="s">
        <v>1963</v>
      </c>
      <c r="Y2235" s="577" t="s">
        <v>1963</v>
      </c>
      <c r="Z2235" s="577" t="s">
        <v>1963</v>
      </c>
      <c r="AA2235" s="577" t="s">
        <v>1963</v>
      </c>
      <c r="AB2235" s="577" t="s">
        <v>1963</v>
      </c>
      <c r="AC2235" s="577" t="s">
        <v>1963</v>
      </c>
      <c r="AD2235" s="577" t="s">
        <v>1963</v>
      </c>
      <c r="AE2235" s="577">
        <f t="shared" si="626"/>
        <v>178.14919446380952</v>
      </c>
      <c r="AF2235" s="577">
        <f>AR18</f>
        <v>178.14919446380952</v>
      </c>
      <c r="AG2235" s="750">
        <f t="shared" si="607"/>
        <v>18.899999999999999</v>
      </c>
      <c r="AH2235" s="750">
        <f t="shared" si="600"/>
        <v>1547.3435977313275</v>
      </c>
      <c r="AI2235" s="750">
        <v>0.6</v>
      </c>
      <c r="AJ2235" s="750"/>
      <c r="AK2235" s="750"/>
      <c r="AL2235" s="750"/>
      <c r="AM2235" s="750"/>
      <c r="AN2235" s="750"/>
      <c r="AO2235" s="750"/>
      <c r="AP2235" s="750"/>
      <c r="AQ2235" s="750"/>
      <c r="AR2235" s="750"/>
      <c r="AS2235" s="750">
        <f t="shared" si="629"/>
        <v>4265.2963449131967</v>
      </c>
      <c r="AT2235" s="750">
        <f>(((U2235+AF2235+AG2235+AH2235)*AI2235)+(U2235+AF2235+AG2235+AH2235))*1.08</f>
        <v>4265.2963449131967</v>
      </c>
      <c r="AU2235" s="107"/>
    </row>
    <row r="2236" spans="8:59" s="29" customFormat="1" ht="16.5" customHeight="1" x14ac:dyDescent="0.25">
      <c r="M2236" s="750" t="s">
        <v>572</v>
      </c>
      <c r="N2236" s="750">
        <f>P30</f>
        <v>3</v>
      </c>
      <c r="O2236" s="750" t="str">
        <f>O30</f>
        <v>g</v>
      </c>
      <c r="P2236" s="750">
        <v>60</v>
      </c>
      <c r="Q2236" s="750">
        <f>N2236*P2236</f>
        <v>180</v>
      </c>
      <c r="R2236" s="750">
        <v>0</v>
      </c>
      <c r="S2236" s="750">
        <f>P2236*R2236</f>
        <v>0</v>
      </c>
      <c r="T2236" s="750">
        <f>P2236-S2236</f>
        <v>60</v>
      </c>
      <c r="U2236" s="750">
        <f t="shared" si="630"/>
        <v>180</v>
      </c>
      <c r="V2236" s="577" t="s">
        <v>1963</v>
      </c>
      <c r="W2236" s="577" t="s">
        <v>1963</v>
      </c>
      <c r="X2236" s="577" t="s">
        <v>1963</v>
      </c>
      <c r="Y2236" s="577" t="s">
        <v>1963</v>
      </c>
      <c r="Z2236" s="577" t="s">
        <v>1963</v>
      </c>
      <c r="AA2236" s="577" t="s">
        <v>1963</v>
      </c>
      <c r="AB2236" s="577" t="s">
        <v>1963</v>
      </c>
      <c r="AC2236" s="577" t="s">
        <v>1963</v>
      </c>
      <c r="AD2236" s="577" t="s">
        <v>1963</v>
      </c>
      <c r="AE2236" s="577">
        <f t="shared" si="626"/>
        <v>178.14919446380952</v>
      </c>
      <c r="AF2236" s="577">
        <f>AR18</f>
        <v>178.14919446380952</v>
      </c>
      <c r="AG2236" s="750">
        <f t="shared" si="607"/>
        <v>18.899999999999999</v>
      </c>
      <c r="AH2236" s="750">
        <f t="shared" si="600"/>
        <v>1547.3435977313275</v>
      </c>
      <c r="AI2236" s="750">
        <v>0.6</v>
      </c>
      <c r="AJ2236" s="750"/>
      <c r="AK2236" s="750"/>
      <c r="AL2236" s="750"/>
      <c r="AM2236" s="750"/>
      <c r="AN2236" s="750"/>
      <c r="AO2236" s="750"/>
      <c r="AP2236" s="750"/>
      <c r="AQ2236" s="750"/>
      <c r="AR2236" s="750"/>
      <c r="AS2236" s="750">
        <f t="shared" si="629"/>
        <v>3325.3507449131971</v>
      </c>
      <c r="AT2236" s="750">
        <f>(((U2236+AF2236+AG2236+AH2236)*AI2236)+(U2236+AF2236+AG2236+AH2236))*1.08</f>
        <v>3325.3507449131971</v>
      </c>
      <c r="AU2236" s="107"/>
    </row>
    <row r="2237" spans="8:59" s="29" customFormat="1" ht="16.5" customHeight="1" x14ac:dyDescent="0.25">
      <c r="M2237" s="750" t="s">
        <v>463</v>
      </c>
      <c r="N2237" s="750">
        <f>N2205</f>
        <v>1644.2</v>
      </c>
      <c r="O2237" s="750" t="str">
        <f>X21</f>
        <v>g</v>
      </c>
      <c r="P2237" s="750">
        <v>30</v>
      </c>
      <c r="Q2237" s="750">
        <f>N2237*P2237</f>
        <v>49326</v>
      </c>
      <c r="R2237" s="750">
        <v>0</v>
      </c>
      <c r="S2237" s="750">
        <f>P2237*R2237</f>
        <v>0</v>
      </c>
      <c r="T2237" s="750">
        <f>P2237-S2237</f>
        <v>30</v>
      </c>
      <c r="U2237" s="750">
        <f t="shared" si="630"/>
        <v>49326</v>
      </c>
      <c r="V2237" s="577" t="s">
        <v>1963</v>
      </c>
      <c r="W2237" s="577" t="s">
        <v>1963</v>
      </c>
      <c r="X2237" s="577" t="s">
        <v>1963</v>
      </c>
      <c r="Y2237" s="577" t="s">
        <v>1963</v>
      </c>
      <c r="Z2237" s="577" t="s">
        <v>1963</v>
      </c>
      <c r="AA2237" s="577" t="s">
        <v>1963</v>
      </c>
      <c r="AB2237" s="577" t="s">
        <v>1963</v>
      </c>
      <c r="AC2237" s="577" t="s">
        <v>1963</v>
      </c>
      <c r="AD2237" s="577" t="s">
        <v>1963</v>
      </c>
      <c r="AE2237" s="577" t="s">
        <v>1963</v>
      </c>
      <c r="AF2237" s="750" t="s">
        <v>1539</v>
      </c>
      <c r="AG2237" s="750">
        <f t="shared" si="607"/>
        <v>18.899999999999999</v>
      </c>
      <c r="AH2237" s="750">
        <f t="shared" si="600"/>
        <v>1547.3435977313275</v>
      </c>
      <c r="AI2237" s="750">
        <v>0.6</v>
      </c>
      <c r="AJ2237" s="750"/>
      <c r="AK2237" s="750"/>
      <c r="AL2237" s="750"/>
      <c r="AM2237" s="750"/>
      <c r="AN2237" s="750"/>
      <c r="AO2237" s="750"/>
      <c r="AP2237" s="750"/>
      <c r="AQ2237" s="750"/>
      <c r="AR2237" s="750"/>
      <c r="AS2237" s="750"/>
      <c r="AT2237" s="750"/>
      <c r="AU2237" s="30"/>
    </row>
    <row r="2238" spans="8:59" s="29" customFormat="1" ht="16.5" customHeight="1" x14ac:dyDescent="0.25">
      <c r="M2238" s="750"/>
      <c r="N2238" s="750"/>
      <c r="O2238" s="750"/>
      <c r="P2238" s="750"/>
      <c r="Q2238" s="750"/>
      <c r="R2238" s="750"/>
      <c r="S2238" s="750"/>
      <c r="T2238" s="750"/>
      <c r="U2238" s="750"/>
      <c r="V2238" s="750"/>
      <c r="W2238" s="750"/>
      <c r="X2238" s="750"/>
      <c r="Y2238" s="750"/>
      <c r="Z2238" s="750"/>
      <c r="AA2238" s="750"/>
      <c r="AB2238" s="750"/>
      <c r="AC2238" s="750"/>
      <c r="AD2238" s="750"/>
      <c r="AE2238" s="750"/>
      <c r="AF2238" s="750"/>
      <c r="AG2238" s="750"/>
      <c r="AH2238" s="750"/>
      <c r="AI2238" s="750"/>
      <c r="AJ2238" s="750"/>
      <c r="AK2238" s="750"/>
      <c r="AL2238" s="750"/>
      <c r="AM2238" s="750"/>
      <c r="AN2238" s="750"/>
      <c r="AO2238" s="750"/>
      <c r="AP2238" s="750"/>
      <c r="AQ2238" s="750"/>
      <c r="AR2238" s="750"/>
      <c r="AS2238" s="750"/>
      <c r="AT2238" s="750"/>
      <c r="AU2238" s="30"/>
    </row>
    <row r="2239" spans="8:59" s="29" customFormat="1" ht="16.5" customHeight="1" x14ac:dyDescent="0.25">
      <c r="M2239" s="750"/>
      <c r="N2239" s="750"/>
      <c r="O2239" s="750"/>
      <c r="P2239" s="750"/>
      <c r="Q2239" s="750"/>
      <c r="R2239" s="750"/>
      <c r="S2239" s="750"/>
      <c r="T2239" s="750"/>
      <c r="U2239" s="750"/>
      <c r="V2239" s="750"/>
      <c r="W2239" s="750"/>
      <c r="X2239" s="750"/>
      <c r="Y2239" s="750"/>
      <c r="Z2239" s="750"/>
      <c r="AA2239" s="750"/>
      <c r="AB2239" s="750"/>
      <c r="AC2239" s="750"/>
      <c r="AD2239" s="750"/>
      <c r="AE2239" s="750"/>
      <c r="AF2239" s="750"/>
      <c r="AG2239" s="750"/>
      <c r="AH2239" s="750"/>
      <c r="AI2239" s="750"/>
      <c r="AJ2239" s="750"/>
      <c r="AK2239" s="750"/>
      <c r="AL2239" s="750"/>
      <c r="AM2239" s="750"/>
      <c r="AN2239" s="750"/>
      <c r="AO2239" s="750"/>
      <c r="AP2239" s="750"/>
      <c r="AQ2239" s="750"/>
      <c r="AR2239" s="750"/>
      <c r="AS2239" s="750"/>
      <c r="AT2239" s="750"/>
    </row>
    <row r="2240" spans="8:59" s="29" customFormat="1" ht="16.5" customHeight="1" x14ac:dyDescent="0.25">
      <c r="M2240" s="750" t="s">
        <v>337</v>
      </c>
      <c r="N2240" s="750">
        <f>SUM(N2212:N2239)</f>
        <v>2189.431</v>
      </c>
      <c r="O2240" s="750"/>
      <c r="P2240" s="750">
        <f>SUM(P2212:P2239)</f>
        <v>1730</v>
      </c>
      <c r="Q2240" s="750">
        <f>SUM(Q2212:Q2239)</f>
        <v>86665.01999999999</v>
      </c>
      <c r="R2240" s="750"/>
      <c r="S2240" s="750"/>
      <c r="T2240" s="750"/>
      <c r="U2240" s="750">
        <f>SUM(U2212:U2239)</f>
        <v>98625.274899999989</v>
      </c>
      <c r="V2240" s="750"/>
      <c r="W2240" s="750"/>
      <c r="X2240" s="750"/>
      <c r="Y2240" s="750"/>
      <c r="Z2240" s="750"/>
      <c r="AA2240" s="750"/>
      <c r="AB2240" s="750"/>
      <c r="AC2240" s="750"/>
      <c r="AD2240" s="750"/>
      <c r="AE2240" s="750"/>
      <c r="AF2240" s="750"/>
      <c r="AG2240" s="750"/>
      <c r="AH2240" s="750"/>
      <c r="AI2240" s="750"/>
      <c r="AJ2240" s="750"/>
      <c r="AK2240" s="750"/>
      <c r="AL2240" s="750"/>
      <c r="AM2240" s="750"/>
      <c r="AN2240" s="750"/>
      <c r="AO2240" s="750"/>
      <c r="AP2240" s="750"/>
      <c r="AQ2240" s="750"/>
      <c r="AR2240" s="750"/>
      <c r="AS2240" s="750"/>
      <c r="AT2240" s="750"/>
    </row>
    <row r="2241" spans="3:47" s="29" customFormat="1" ht="16.5" customHeight="1" x14ac:dyDescent="0.25"/>
    <row r="2242" spans="3:47" s="29" customFormat="1" x14ac:dyDescent="0.25"/>
    <row r="2243" spans="3:47" s="29" customFormat="1" x14ac:dyDescent="0.25">
      <c r="M2243" s="107"/>
      <c r="N2243" s="107"/>
      <c r="O2243" s="107"/>
      <c r="P2243" s="107"/>
      <c r="Q2243" s="107"/>
      <c r="R2243" s="578"/>
      <c r="S2243" s="578"/>
      <c r="T2243" s="578"/>
      <c r="U2243" s="578"/>
      <c r="V2243" s="578"/>
      <c r="W2243" s="107"/>
      <c r="X2243" s="107"/>
      <c r="Y2243" s="107"/>
      <c r="Z2243" s="578"/>
      <c r="AA2243" s="578"/>
      <c r="AB2243" s="578"/>
      <c r="AC2243" s="578"/>
      <c r="AD2243" s="578"/>
      <c r="AE2243" s="578"/>
      <c r="AF2243" s="578"/>
      <c r="AG2243" s="578"/>
      <c r="AH2243" s="578"/>
      <c r="AI2243" s="578"/>
      <c r="AJ2243" s="578"/>
      <c r="AK2243" s="578"/>
      <c r="AL2243" s="578"/>
      <c r="AM2243" s="578"/>
      <c r="AN2243" s="578"/>
      <c r="AO2243" s="578"/>
      <c r="AP2243" s="578"/>
      <c r="AQ2243" s="578"/>
      <c r="AR2243" s="578"/>
      <c r="AS2243" s="578"/>
      <c r="AT2243" s="578"/>
    </row>
    <row r="2244" spans="3:47" s="29" customFormat="1" x14ac:dyDescent="0.25">
      <c r="M2244" s="107"/>
      <c r="N2244" s="107"/>
      <c r="O2244" s="107"/>
      <c r="P2244" s="107"/>
      <c r="Q2244" s="107"/>
      <c r="R2244" s="578"/>
      <c r="S2244" s="578"/>
      <c r="T2244" s="578"/>
      <c r="U2244" s="578"/>
      <c r="V2244" s="578"/>
      <c r="W2244" s="578"/>
      <c r="X2244" s="578"/>
      <c r="Y2244" s="578"/>
      <c r="Z2244" s="578"/>
      <c r="AA2244" s="578"/>
      <c r="AB2244" s="578"/>
      <c r="AC2244" s="578"/>
      <c r="AD2244" s="578"/>
      <c r="AE2244" s="578"/>
      <c r="AF2244" s="578"/>
      <c r="AG2244" s="578"/>
      <c r="AH2244" s="578"/>
      <c r="AI2244" s="578"/>
      <c r="AJ2244" s="578"/>
      <c r="AK2244" s="578"/>
      <c r="AL2244" s="578"/>
      <c r="AM2244" s="578"/>
      <c r="AN2244" s="578"/>
      <c r="AO2244" s="578"/>
      <c r="AP2244" s="578"/>
      <c r="AQ2244" s="578"/>
      <c r="AR2244" s="578"/>
      <c r="AS2244" s="578"/>
      <c r="AT2244" s="578"/>
    </row>
    <row r="2245" spans="3:47" s="29" customFormat="1" x14ac:dyDescent="0.25">
      <c r="M2245" s="107"/>
      <c r="N2245" s="107"/>
      <c r="O2245" s="107"/>
      <c r="P2245" s="107"/>
      <c r="Q2245" s="107"/>
      <c r="R2245" s="578"/>
      <c r="S2245" s="578"/>
      <c r="T2245" s="578"/>
      <c r="U2245" s="578"/>
      <c r="V2245" s="578"/>
      <c r="W2245" s="578"/>
      <c r="X2245" s="578"/>
      <c r="Y2245" s="578"/>
      <c r="Z2245" s="578"/>
      <c r="AA2245" s="578"/>
      <c r="AB2245" s="578"/>
      <c r="AC2245" s="578"/>
      <c r="AD2245" s="578"/>
      <c r="AE2245" s="578"/>
      <c r="AF2245" s="578"/>
      <c r="AG2245" s="578"/>
      <c r="AH2245" s="578"/>
      <c r="AI2245" s="578"/>
      <c r="AJ2245" s="578"/>
      <c r="AK2245" s="578"/>
      <c r="AL2245" s="578"/>
      <c r="AM2245" s="578"/>
      <c r="AN2245" s="578"/>
      <c r="AO2245" s="578"/>
      <c r="AP2245" s="578"/>
      <c r="AQ2245" s="578"/>
      <c r="AR2245" s="578"/>
      <c r="AS2245" s="578"/>
      <c r="AT2245" s="578"/>
    </row>
    <row r="2246" spans="3:47" s="29" customFormat="1" x14ac:dyDescent="0.25">
      <c r="C2246" s="115" t="s">
        <v>357</v>
      </c>
      <c r="D2246" s="115" t="s">
        <v>358</v>
      </c>
      <c r="E2246" s="115" t="s">
        <v>359</v>
      </c>
      <c r="F2246" s="115" t="s">
        <v>360</v>
      </c>
      <c r="G2246" s="115" t="s">
        <v>361</v>
      </c>
      <c r="M2246" s="750" t="s">
        <v>336</v>
      </c>
      <c r="N2246" s="750" t="s">
        <v>174</v>
      </c>
      <c r="O2246" s="750" t="s">
        <v>248</v>
      </c>
      <c r="P2246" s="750" t="s">
        <v>176</v>
      </c>
      <c r="Q2246" s="750" t="s">
        <v>337</v>
      </c>
      <c r="R2246" s="750" t="s">
        <v>1641</v>
      </c>
      <c r="S2246" s="750" t="s">
        <v>1642</v>
      </c>
      <c r="T2246" s="750" t="s">
        <v>1643</v>
      </c>
      <c r="U2246" s="750" t="s">
        <v>1644</v>
      </c>
      <c r="V2246" s="750" t="s">
        <v>1919</v>
      </c>
      <c r="W2246" s="750" t="s">
        <v>1920</v>
      </c>
      <c r="X2246" s="750" t="s">
        <v>1921</v>
      </c>
      <c r="Y2246" s="750" t="s">
        <v>1922</v>
      </c>
      <c r="Z2246" s="750" t="s">
        <v>1924</v>
      </c>
      <c r="AA2246" s="750" t="s">
        <v>1923</v>
      </c>
      <c r="AB2246" s="750" t="s">
        <v>1925</v>
      </c>
      <c r="AC2246" s="750" t="s">
        <v>1926</v>
      </c>
      <c r="AD2246" s="750" t="s">
        <v>1927</v>
      </c>
      <c r="AE2246" s="750" t="s">
        <v>1928</v>
      </c>
      <c r="AF2246" s="750" t="s">
        <v>1929</v>
      </c>
      <c r="AG2246" s="750" t="s">
        <v>1872</v>
      </c>
      <c r="AH2246" s="750" t="s">
        <v>1873</v>
      </c>
      <c r="AI2246" s="750" t="s">
        <v>1780</v>
      </c>
      <c r="AJ2246" s="750" t="s">
        <v>2035</v>
      </c>
      <c r="AK2246" s="750" t="s">
        <v>2036</v>
      </c>
      <c r="AL2246" s="750" t="s">
        <v>2037</v>
      </c>
      <c r="AM2246" s="750" t="s">
        <v>2038</v>
      </c>
      <c r="AN2246" s="750" t="s">
        <v>2039</v>
      </c>
      <c r="AO2246" s="750" t="s">
        <v>2040</v>
      </c>
      <c r="AP2246" s="750" t="s">
        <v>2041</v>
      </c>
      <c r="AQ2246" s="750" t="s">
        <v>2042</v>
      </c>
      <c r="AR2246" s="750" t="s">
        <v>2043</v>
      </c>
      <c r="AS2246" s="750" t="s">
        <v>2045</v>
      </c>
      <c r="AT2246" s="750" t="s">
        <v>2044</v>
      </c>
    </row>
    <row r="2247" spans="3:47" s="29" customFormat="1" ht="38.25" x14ac:dyDescent="0.25">
      <c r="C2247" s="1002" t="s">
        <v>362</v>
      </c>
      <c r="D2247" s="116" t="s">
        <v>373</v>
      </c>
      <c r="E2247" s="116" t="s">
        <v>1038</v>
      </c>
      <c r="F2247" s="116" t="s">
        <v>364</v>
      </c>
      <c r="G2247" s="116" t="s">
        <v>365</v>
      </c>
      <c r="M2247" s="750" t="s">
        <v>344</v>
      </c>
      <c r="N2247" s="750"/>
      <c r="O2247" s="750" t="s">
        <v>342</v>
      </c>
      <c r="P2247" s="750">
        <v>100</v>
      </c>
      <c r="Q2247" s="750">
        <f t="shared" ref="Q2247:Q2272" si="631">N2247*P2247</f>
        <v>0</v>
      </c>
      <c r="R2247" s="750">
        <v>0</v>
      </c>
      <c r="S2247" s="750">
        <f>P2247*R2247</f>
        <v>0</v>
      </c>
      <c r="T2247" s="750">
        <f>P2247-S2247</f>
        <v>100</v>
      </c>
      <c r="U2247" s="750">
        <f>Q2247+((S2247*Q2247)/P2247)</f>
        <v>0</v>
      </c>
      <c r="V2247" s="750"/>
      <c r="W2247" s="750"/>
      <c r="X2247" s="750"/>
      <c r="Y2247" s="750"/>
      <c r="Z2247" s="750"/>
      <c r="AA2247" s="750"/>
      <c r="AB2247" s="750"/>
      <c r="AC2247" s="750"/>
      <c r="AD2247" s="750"/>
      <c r="AE2247" s="750"/>
      <c r="AF2247" s="750"/>
      <c r="AG2247" s="750">
        <f>$AO$27/4</f>
        <v>18.899999999999999</v>
      </c>
      <c r="AH2247" s="750">
        <f t="shared" ref="AH2247:AH2272" si="632">$AO$29</f>
        <v>1547.3435977313275</v>
      </c>
      <c r="AI2247" s="750">
        <v>0.6</v>
      </c>
      <c r="AJ2247" s="750">
        <f>(((U2247+V2247+AG2247+AH2247)*AI2247)+(U2247+V2247+AG2247+AH2247))*1.08</f>
        <v>2706.4689368797344</v>
      </c>
      <c r="AK2247" s="750">
        <f>(((U2247+W2247+AG2247+AH2247)*AI2247)+(U2247+W2247+AG2247+AH2247))*1.08</f>
        <v>2706.4689368797344</v>
      </c>
      <c r="AL2247" s="750">
        <f>(((U2247+X2247+AG2247+AH2247)*AI2247)+(U2247+X2247+AG2247+AH2247))*1.08</f>
        <v>2706.4689368797344</v>
      </c>
      <c r="AM2247" s="750">
        <f t="shared" ref="AM2247:AM2252" si="633">(((U2247+Y2247+AG2247+AH2247)*AI2247)+(U2247+Y2247+AG2247+AH2247))*1.08</f>
        <v>2706.4689368797344</v>
      </c>
      <c r="AN2247" s="750">
        <f t="shared" ref="AN2247:AN2254" si="634">(((U2247+Z2247+AG2247+AH2247)*AI2247)+(U2247+Z2247+AG2247+AH2247))*1.08</f>
        <v>2706.4689368797344</v>
      </c>
      <c r="AO2247" s="750">
        <f>(((U2247+AA2247+AG2247+AH2247)*AI2247)+(U2247+AA2247+AG2247+AH2247))*1.08</f>
        <v>2706.4689368797344</v>
      </c>
      <c r="AP2247" s="750">
        <f>(((U2247+AB2247+AG2247+AH2247)*AI2247)+(U2247+AB2247+AG2247+AH2247))*1.08</f>
        <v>2706.4689368797344</v>
      </c>
      <c r="AQ2247" s="750">
        <f>(((U2247+AC2247+AG2247+AH2247)*AI2247)+(U2247+AC2247+AG2247+AH2247))*1.08</f>
        <v>2706.4689368797344</v>
      </c>
      <c r="AR2247" s="750">
        <f>(((U2247+AD2247+AG2247+AH2247)*AI2247)+(U2247+AD2247+AG2247+AH2247))*1.08</f>
        <v>2706.4689368797344</v>
      </c>
      <c r="AS2247" s="750">
        <f>(((U2247+AE2247+AG2247+AH2247)*AI2247)+(U2247+AE2247+AG2247+AH2247))*1.08</f>
        <v>2706.4689368797344</v>
      </c>
      <c r="AT2247" s="750">
        <f>(((U2247+AF2247+AG2247+AH2247)*AI2247)+(U2247+AF2247+AG2247+AH2247))*1.08</f>
        <v>2706.4689368797344</v>
      </c>
    </row>
    <row r="2248" spans="3:47" s="29" customFormat="1" ht="38.25" x14ac:dyDescent="0.25">
      <c r="C2248" s="1002"/>
      <c r="D2248" s="116" t="s">
        <v>378</v>
      </c>
      <c r="E2248" s="116" t="s">
        <v>1039</v>
      </c>
      <c r="F2248" s="116" t="s">
        <v>364</v>
      </c>
      <c r="G2248" s="116" t="s">
        <v>365</v>
      </c>
      <c r="M2248" s="750" t="s">
        <v>359</v>
      </c>
      <c r="N2248" s="750"/>
      <c r="O2248" s="750" t="s">
        <v>342</v>
      </c>
      <c r="P2248" s="750">
        <v>120</v>
      </c>
      <c r="Q2248" s="750">
        <f t="shared" si="631"/>
        <v>0</v>
      </c>
      <c r="R2248" s="750">
        <v>0</v>
      </c>
      <c r="S2248" s="750">
        <f t="shared" ref="S2248:S2272" si="635">P2248*R2248</f>
        <v>0</v>
      </c>
      <c r="T2248" s="750">
        <f t="shared" ref="T2248:T2272" si="636">P2248-S2248</f>
        <v>120</v>
      </c>
      <c r="U2248" s="750">
        <f t="shared" ref="U2248:U2269" si="637">Q2248+((S2248*Q2248)/P2248)</f>
        <v>0</v>
      </c>
      <c r="V2248" s="750"/>
      <c r="W2248" s="750"/>
      <c r="X2248" s="750"/>
      <c r="Y2248" s="750"/>
      <c r="Z2248" s="750"/>
      <c r="AA2248" s="750"/>
      <c r="AB2248" s="750"/>
      <c r="AC2248" s="750"/>
      <c r="AD2248" s="750"/>
      <c r="AE2248" s="750"/>
      <c r="AF2248" s="750"/>
      <c r="AG2248" s="750">
        <f t="shared" ref="AG2248:AG2272" si="638">$AO$27/4</f>
        <v>18.899999999999999</v>
      </c>
      <c r="AH2248" s="750">
        <f t="shared" si="632"/>
        <v>1547.3435977313275</v>
      </c>
      <c r="AI2248" s="750">
        <v>0.6</v>
      </c>
      <c r="AJ2248" s="750">
        <f>(((U2248+V2248+AG2248+AH2248)*AI2248)+(U2248+V2248+AG2248+AH2248))*1.08</f>
        <v>2706.4689368797344</v>
      </c>
      <c r="AK2248" s="750">
        <f>(((U2248+W2248+AG2248+AH2248)*AI2248)+(U2248+W2248+AG2248+AH2248))*1.08</f>
        <v>2706.4689368797344</v>
      </c>
      <c r="AL2248" s="750">
        <f>(((U2248+X2248+AG2248+AH2248)*AI2248)+(U2248+X2248+AG2248+AH2248))*1.08</f>
        <v>2706.4689368797344</v>
      </c>
      <c r="AM2248" s="750">
        <f t="shared" si="633"/>
        <v>2706.4689368797344</v>
      </c>
      <c r="AN2248" s="750">
        <f t="shared" si="634"/>
        <v>2706.4689368797344</v>
      </c>
      <c r="AO2248" s="750">
        <f>(((U2248+AA2248+AG2248+AH2248)*AI2248)+(U2248+AA2248+AG2248+AH2248))*1.08</f>
        <v>2706.4689368797344</v>
      </c>
      <c r="AP2248" s="750">
        <f>(((U2248+AB2248+AG2248+AH2248)*AI2248)+(U2248+AB2248+AG2248+AH2248))*1.08</f>
        <v>2706.4689368797344</v>
      </c>
      <c r="AQ2248" s="750">
        <f>(((U2248+AC2248+AG2248+AH2248)*AI2248)+(U2248+AC2248+AG2248+AH2248))*1.08</f>
        <v>2706.4689368797344</v>
      </c>
      <c r="AR2248" s="750">
        <f>(((U2248+AD2248+AG2248+AH2248)*AI2248)+(U2248+AD2248+AG2248+AH2248))*1.08</f>
        <v>2706.4689368797344</v>
      </c>
      <c r="AS2248" s="750">
        <f>(((U2248+AE2248+AG2248+AH2248)*AI2248)+(U2248+AE2248+AG2248+AH2248))*1.08</f>
        <v>2706.4689368797344</v>
      </c>
      <c r="AT2248" s="750">
        <f>(((U2248+AF2248+AG2248+AH2248)*AI2248)+(U2248+AF2248+AG2248+AH2248))*1.08</f>
        <v>2706.4689368797344</v>
      </c>
      <c r="AU2248" s="30"/>
    </row>
    <row r="2249" spans="3:47" s="29" customFormat="1" ht="63.75" x14ac:dyDescent="0.25">
      <c r="C2249" s="1002" t="s">
        <v>367</v>
      </c>
      <c r="D2249" s="116" t="s">
        <v>374</v>
      </c>
      <c r="E2249" s="116" t="s">
        <v>1040</v>
      </c>
      <c r="F2249" s="116" t="s">
        <v>1041</v>
      </c>
      <c r="G2249" s="116" t="s">
        <v>1042</v>
      </c>
      <c r="M2249" s="750" t="s">
        <v>427</v>
      </c>
      <c r="N2249" s="750">
        <f>S8</f>
        <v>59</v>
      </c>
      <c r="O2249" s="750" t="str">
        <f>R8</f>
        <v>g</v>
      </c>
      <c r="P2249" s="750">
        <v>80</v>
      </c>
      <c r="Q2249" s="750">
        <f t="shared" si="631"/>
        <v>4720</v>
      </c>
      <c r="R2249" s="750">
        <f>AN4</f>
        <v>0.41</v>
      </c>
      <c r="S2249" s="750">
        <f t="shared" si="635"/>
        <v>32.799999999999997</v>
      </c>
      <c r="T2249" s="750">
        <f t="shared" si="636"/>
        <v>47.2</v>
      </c>
      <c r="U2249" s="750">
        <f t="shared" si="637"/>
        <v>6655.2</v>
      </c>
      <c r="V2249" s="577">
        <f>$AR$8</f>
        <v>267.22379169571428</v>
      </c>
      <c r="W2249" s="577">
        <f>$AR$9</f>
        <v>178.14919446380952</v>
      </c>
      <c r="X2249" s="577">
        <f>$AR$10</f>
        <v>267.22379169571428</v>
      </c>
      <c r="Y2249" s="577">
        <f>$AR$11</f>
        <v>267.22379169571428</v>
      </c>
      <c r="Z2249" s="577">
        <f>$AR$12</f>
        <v>267.22379169571428</v>
      </c>
      <c r="AA2249" s="577">
        <f>$AR$13</f>
        <v>178.14919446380952</v>
      </c>
      <c r="AB2249" s="577">
        <f>$AR$14</f>
        <v>178.14919446380952</v>
      </c>
      <c r="AC2249" s="577">
        <f>$AR$15</f>
        <v>267.22379169571428</v>
      </c>
      <c r="AD2249" s="577" t="s">
        <v>1963</v>
      </c>
      <c r="AE2249" s="577" t="s">
        <v>1963</v>
      </c>
      <c r="AF2249" s="577" t="s">
        <v>1963</v>
      </c>
      <c r="AG2249" s="750">
        <f t="shared" si="638"/>
        <v>18.899999999999999</v>
      </c>
      <c r="AH2249" s="750">
        <f t="shared" si="632"/>
        <v>1547.3435977313275</v>
      </c>
      <c r="AI2249" s="750">
        <v>0.6</v>
      </c>
      <c r="AJ2249" s="750">
        <f>(((U2249+V2249+AG2249+AH2249)*AI2249)+(U2249+V2249+AG2249+AH2249))*1.08</f>
        <v>14668.417248929929</v>
      </c>
      <c r="AK2249" s="750">
        <f>(((U2249+W2249+AG2249+AH2249)*AI2249)+(U2249+W2249+AG2249+AH2249))*1.08</f>
        <v>14514.496344913199</v>
      </c>
      <c r="AL2249" s="750">
        <f>(((U2249+X2249+AG2249+AH2249)*AI2249)+(U2249+X2249+AG2249+AH2249))*1.08</f>
        <v>14668.417248929929</v>
      </c>
      <c r="AM2249" s="750">
        <f t="shared" si="633"/>
        <v>14668.417248929929</v>
      </c>
      <c r="AN2249" s="750">
        <f t="shared" si="634"/>
        <v>14668.417248929929</v>
      </c>
      <c r="AO2249" s="750">
        <f>(((U2249+AA2249+AG2249+AH2249)*AI2249)+(U2249+AA2249+AG2249+AH2249))*1.08</f>
        <v>14514.496344913199</v>
      </c>
      <c r="AP2249" s="750">
        <f>(((U2249+AB2249+AG2249+AH2249)*AI2249)+(U2249+AB2249+AG2249+AH2249))*1.08</f>
        <v>14514.496344913199</v>
      </c>
      <c r="AQ2249" s="750">
        <f>(((U2249+AC2249+AG2249+AH2249)*AI2249)+(U2249+AC2249+AG2249+AH2249))*1.08</f>
        <v>14668.417248929929</v>
      </c>
      <c r="AR2249" s="750"/>
      <c r="AS2249" s="750"/>
      <c r="AT2249" s="750"/>
      <c r="AU2249" s="107"/>
    </row>
    <row r="2250" spans="3:47" s="29" customFormat="1" ht="51" x14ac:dyDescent="0.25">
      <c r="C2250" s="1002"/>
      <c r="D2250" s="116" t="s">
        <v>379</v>
      </c>
      <c r="E2250" s="116" t="s">
        <v>1027</v>
      </c>
      <c r="F2250" s="116" t="s">
        <v>1049</v>
      </c>
      <c r="G2250" s="116" t="s">
        <v>1043</v>
      </c>
      <c r="M2250" s="750" t="s">
        <v>484</v>
      </c>
      <c r="N2250" s="750">
        <f>S7</f>
        <v>54</v>
      </c>
      <c r="O2250" s="750" t="str">
        <f>R7</f>
        <v>g</v>
      </c>
      <c r="P2250" s="750">
        <v>80</v>
      </c>
      <c r="Q2250" s="750">
        <f t="shared" si="631"/>
        <v>4320</v>
      </c>
      <c r="R2250" s="750">
        <f>AN2</f>
        <v>0.33</v>
      </c>
      <c r="S2250" s="750">
        <f t="shared" si="635"/>
        <v>26.400000000000002</v>
      </c>
      <c r="T2250" s="750">
        <f t="shared" si="636"/>
        <v>53.599999999999994</v>
      </c>
      <c r="U2250" s="750">
        <f t="shared" si="637"/>
        <v>5745.6</v>
      </c>
      <c r="V2250" s="577" t="s">
        <v>1963</v>
      </c>
      <c r="W2250" s="577" t="s">
        <v>1963</v>
      </c>
      <c r="X2250" s="577" t="s">
        <v>1963</v>
      </c>
      <c r="Y2250" s="577">
        <f t="shared" ref="Y2250:Y2252" si="639">$AR$11</f>
        <v>267.22379169571428</v>
      </c>
      <c r="Z2250" s="577">
        <f t="shared" ref="Z2250:Z2253" si="640">$AR$12</f>
        <v>267.22379169571428</v>
      </c>
      <c r="AA2250" s="577">
        <f t="shared" ref="AA2250:AA2251" si="641">$AR$13</f>
        <v>178.14919446380952</v>
      </c>
      <c r="AB2250" s="577">
        <f t="shared" ref="AB2250:AB2251" si="642">$AR$14</f>
        <v>178.14919446380952</v>
      </c>
      <c r="AC2250" s="577" t="s">
        <v>1963</v>
      </c>
      <c r="AD2250" s="577" t="s">
        <v>1963</v>
      </c>
      <c r="AE2250" s="577" t="s">
        <v>1963</v>
      </c>
      <c r="AF2250" s="577">
        <f>AR18</f>
        <v>178.14919446380952</v>
      </c>
      <c r="AG2250" s="750">
        <f t="shared" si="638"/>
        <v>18.899999999999999</v>
      </c>
      <c r="AH2250" s="750">
        <f t="shared" si="632"/>
        <v>1547.3435977313275</v>
      </c>
      <c r="AI2250" s="750">
        <v>0.6</v>
      </c>
      <c r="AJ2250" s="750"/>
      <c r="AK2250" s="750"/>
      <c r="AL2250" s="750"/>
      <c r="AM2250" s="750">
        <f t="shared" si="633"/>
        <v>13096.628448929929</v>
      </c>
      <c r="AN2250" s="750">
        <f t="shared" si="634"/>
        <v>13096.628448929929</v>
      </c>
      <c r="AO2250" s="750">
        <f>(((U2250+AA2250+AG2250+AH2250)*AI2250)+(U2250+AA2250+AG2250+AH2250))*1.08</f>
        <v>12942.707544913197</v>
      </c>
      <c r="AP2250" s="750">
        <f>(((U2250+AB2250+AG2250+AH2250)*AI2250)+(U2250+AB2250+AG2250+AH2250))*1.08</f>
        <v>12942.707544913197</v>
      </c>
      <c r="AQ2250" s="750"/>
      <c r="AR2250" s="750"/>
      <c r="AS2250" s="750"/>
      <c r="AT2250" s="750">
        <f>(((U2250+AF2250+AG2250+AH2250)*AI2250)+(U2250+AF2250+AG2250+AH2250))*1.08</f>
        <v>12942.707544913197</v>
      </c>
      <c r="AU2250" s="107"/>
    </row>
    <row r="2251" spans="3:47" s="29" customFormat="1" ht="76.5" x14ac:dyDescent="0.25">
      <c r="C2251" s="1002" t="s">
        <v>370</v>
      </c>
      <c r="D2251" s="116" t="s">
        <v>380</v>
      </c>
      <c r="E2251" s="116" t="s">
        <v>1044</v>
      </c>
      <c r="F2251" s="116" t="s">
        <v>1050</v>
      </c>
      <c r="G2251" s="116" t="s">
        <v>1045</v>
      </c>
      <c r="M2251" s="750" t="s">
        <v>349</v>
      </c>
      <c r="N2251" s="750">
        <f>S15</f>
        <v>41</v>
      </c>
      <c r="O2251" s="750" t="str">
        <f>R15</f>
        <v>g</v>
      </c>
      <c r="P2251" s="750">
        <v>80</v>
      </c>
      <c r="Q2251" s="750">
        <f t="shared" si="631"/>
        <v>3280</v>
      </c>
      <c r="R2251" s="750">
        <f>AN3</f>
        <v>0.47</v>
      </c>
      <c r="S2251" s="750">
        <f t="shared" si="635"/>
        <v>37.599999999999994</v>
      </c>
      <c r="T2251" s="750">
        <f t="shared" si="636"/>
        <v>42.400000000000006</v>
      </c>
      <c r="U2251" s="750">
        <f t="shared" si="637"/>
        <v>4821.6000000000004</v>
      </c>
      <c r="V2251" s="577">
        <f t="shared" ref="V2251" si="643">$AR$8</f>
        <v>267.22379169571428</v>
      </c>
      <c r="W2251" s="577">
        <f t="shared" ref="W2251" si="644">$AR$9</f>
        <v>178.14919446380952</v>
      </c>
      <c r="X2251" s="577">
        <f t="shared" ref="X2251" si="645">$AR$10</f>
        <v>267.22379169571428</v>
      </c>
      <c r="Y2251" s="577">
        <f t="shared" si="639"/>
        <v>267.22379169571428</v>
      </c>
      <c r="Z2251" s="577">
        <f t="shared" si="640"/>
        <v>267.22379169571428</v>
      </c>
      <c r="AA2251" s="577">
        <f t="shared" si="641"/>
        <v>178.14919446380952</v>
      </c>
      <c r="AB2251" s="577">
        <f t="shared" si="642"/>
        <v>178.14919446380952</v>
      </c>
      <c r="AC2251" s="577">
        <f t="shared" ref="AC2251" si="646">$AR$15</f>
        <v>267.22379169571428</v>
      </c>
      <c r="AD2251" s="577" t="s">
        <v>1963</v>
      </c>
      <c r="AE2251" s="577" t="s">
        <v>1963</v>
      </c>
      <c r="AF2251" s="577" t="s">
        <v>1963</v>
      </c>
      <c r="AG2251" s="750">
        <f t="shared" si="638"/>
        <v>18.899999999999999</v>
      </c>
      <c r="AH2251" s="750">
        <f t="shared" si="632"/>
        <v>1547.3435977313275</v>
      </c>
      <c r="AI2251" s="750">
        <v>0.6</v>
      </c>
      <c r="AJ2251" s="750">
        <f>(((U2251+V2251+AG2251+AH2251)*AI2251)+(U2251+V2251+AG2251+AH2251))*1.08</f>
        <v>11499.95644892993</v>
      </c>
      <c r="AK2251" s="750">
        <f>(((U2251+W2251+AG2251+AH2251)*AI2251)+(U2251+W2251+AG2251+AH2251))*1.08</f>
        <v>11346.035544913197</v>
      </c>
      <c r="AL2251" s="750">
        <f>(((U2251+X2251+AG2251+AH2251)*AI2251)+(U2251+X2251+AG2251+AH2251))*1.08</f>
        <v>11499.95644892993</v>
      </c>
      <c r="AM2251" s="750">
        <f t="shared" si="633"/>
        <v>11499.95644892993</v>
      </c>
      <c r="AN2251" s="750">
        <f t="shared" si="634"/>
        <v>11499.95644892993</v>
      </c>
      <c r="AO2251" s="750">
        <f>(((U2251+AA2251+AG2251+AH2251)*AI2251)+(U2251+AA2251+AG2251+AH2251))*1.08</f>
        <v>11346.035544913197</v>
      </c>
      <c r="AP2251" s="750">
        <f>(((U2251+AB2251+AG2251+AH2251)*AI2251)+(U2251+AB2251+AG2251+AH2251))*1.08</f>
        <v>11346.035544913197</v>
      </c>
      <c r="AQ2251" s="750">
        <f>(((U2251+AC2251+AG2251+AH2251)*AI2251)+(U2251+AC2251+AG2251+AH2251))*1.08</f>
        <v>11499.95644892993</v>
      </c>
      <c r="AR2251" s="750"/>
      <c r="AS2251" s="750"/>
      <c r="AT2251" s="750"/>
      <c r="AU2251" s="107"/>
    </row>
    <row r="2252" spans="3:47" s="29" customFormat="1" ht="76.5" x14ac:dyDescent="0.25">
      <c r="C2252" s="1002"/>
      <c r="D2252" s="116" t="s">
        <v>381</v>
      </c>
      <c r="E2252" s="116" t="s">
        <v>1046</v>
      </c>
      <c r="F2252" s="116" t="s">
        <v>1047</v>
      </c>
      <c r="G2252" s="116" t="s">
        <v>1048</v>
      </c>
      <c r="M2252" s="750" t="s">
        <v>458</v>
      </c>
      <c r="N2252" s="750">
        <f>S10</f>
        <v>32.46</v>
      </c>
      <c r="O2252" s="750" t="str">
        <f>R10</f>
        <v>g</v>
      </c>
      <c r="P2252" s="750">
        <v>80</v>
      </c>
      <c r="Q2252" s="750">
        <f t="shared" si="631"/>
        <v>2596.8000000000002</v>
      </c>
      <c r="R2252" s="750">
        <v>0</v>
      </c>
      <c r="S2252" s="750">
        <f t="shared" si="635"/>
        <v>0</v>
      </c>
      <c r="T2252" s="750">
        <f t="shared" si="636"/>
        <v>80</v>
      </c>
      <c r="U2252" s="750">
        <f t="shared" si="637"/>
        <v>2596.8000000000002</v>
      </c>
      <c r="V2252" s="577" t="s">
        <v>1963</v>
      </c>
      <c r="W2252" s="577" t="s">
        <v>1963</v>
      </c>
      <c r="X2252" s="577" t="s">
        <v>1963</v>
      </c>
      <c r="Y2252" s="577">
        <f t="shared" si="639"/>
        <v>267.22379169571428</v>
      </c>
      <c r="Z2252" s="577">
        <f t="shared" si="640"/>
        <v>267.22379169571428</v>
      </c>
      <c r="AA2252" s="577" t="s">
        <v>1963</v>
      </c>
      <c r="AB2252" s="577" t="s">
        <v>1963</v>
      </c>
      <c r="AC2252" s="577" t="s">
        <v>1963</v>
      </c>
      <c r="AD2252" s="577" t="s">
        <v>1963</v>
      </c>
      <c r="AE2252" s="577" t="s">
        <v>1963</v>
      </c>
      <c r="AF2252" s="577" t="s">
        <v>1963</v>
      </c>
      <c r="AG2252" s="750">
        <f t="shared" si="638"/>
        <v>18.899999999999999</v>
      </c>
      <c r="AH2252" s="750">
        <f t="shared" si="632"/>
        <v>1547.3435977313275</v>
      </c>
      <c r="AI2252" s="750">
        <v>0.6</v>
      </c>
      <c r="AJ2252" s="750"/>
      <c r="AK2252" s="750"/>
      <c r="AL2252" s="750"/>
      <c r="AM2252" s="750">
        <f t="shared" si="633"/>
        <v>7655.5020489299286</v>
      </c>
      <c r="AN2252" s="750">
        <f t="shared" si="634"/>
        <v>7655.5020489299286</v>
      </c>
      <c r="AO2252" s="750"/>
      <c r="AP2252" s="750"/>
      <c r="AQ2252" s="750"/>
      <c r="AR2252" s="750"/>
      <c r="AS2252" s="750"/>
      <c r="AT2252" s="750"/>
      <c r="AU2252" s="107"/>
    </row>
    <row r="2253" spans="3:47" s="29" customFormat="1" x14ac:dyDescent="0.25">
      <c r="M2253" s="750" t="s">
        <v>459</v>
      </c>
      <c r="N2253" s="750">
        <f>S6</f>
        <v>30</v>
      </c>
      <c r="O2253" s="750" t="str">
        <f>R6</f>
        <v>g</v>
      </c>
      <c r="P2253" s="750">
        <v>70</v>
      </c>
      <c r="Q2253" s="750">
        <f t="shared" si="631"/>
        <v>2100</v>
      </c>
      <c r="R2253" s="750">
        <f>AN6</f>
        <v>0</v>
      </c>
      <c r="S2253" s="750">
        <f t="shared" si="635"/>
        <v>0</v>
      </c>
      <c r="T2253" s="750">
        <f t="shared" si="636"/>
        <v>70</v>
      </c>
      <c r="U2253" s="750">
        <f t="shared" si="637"/>
        <v>2100</v>
      </c>
      <c r="V2253" s="577" t="s">
        <v>1963</v>
      </c>
      <c r="W2253" s="577">
        <f t="shared" ref="W2253" si="647">$AR$9</f>
        <v>178.14919446380952</v>
      </c>
      <c r="X2253" s="577" t="s">
        <v>1963</v>
      </c>
      <c r="Y2253" s="577" t="s">
        <v>1963</v>
      </c>
      <c r="Z2253" s="577">
        <f t="shared" si="640"/>
        <v>267.22379169571428</v>
      </c>
      <c r="AA2253" s="577" t="s">
        <v>1963</v>
      </c>
      <c r="AB2253" s="577" t="s">
        <v>1963</v>
      </c>
      <c r="AC2253" s="577" t="s">
        <v>1963</v>
      </c>
      <c r="AD2253" s="577" t="s">
        <v>1963</v>
      </c>
      <c r="AE2253" s="577" t="s">
        <v>1963</v>
      </c>
      <c r="AF2253" s="577">
        <f t="shared" ref="AF2253" si="648">$AR$18</f>
        <v>178.14919446380952</v>
      </c>
      <c r="AG2253" s="750">
        <f t="shared" si="638"/>
        <v>18.899999999999999</v>
      </c>
      <c r="AH2253" s="750">
        <f t="shared" si="632"/>
        <v>1547.3435977313275</v>
      </c>
      <c r="AI2253" s="750">
        <v>0.6</v>
      </c>
      <c r="AJ2253" s="750"/>
      <c r="AK2253" s="750">
        <f>(((U2253+W2253+AG2253+AH2253)*AI2253)+(U2253+W2253+AG2253+AH2253))*1.08</f>
        <v>6643.1107449131969</v>
      </c>
      <c r="AL2253" s="750"/>
      <c r="AM2253" s="750"/>
      <c r="AN2253" s="750">
        <f t="shared" si="634"/>
        <v>6797.0316489299285</v>
      </c>
      <c r="AO2253" s="750"/>
      <c r="AP2253" s="750"/>
      <c r="AQ2253" s="750"/>
      <c r="AR2253" s="750"/>
      <c r="AS2253" s="750"/>
      <c r="AT2253" s="750">
        <f>(((U2253+AF2253+AG2253+AH2253)*AI2253)+(U2253+AF2253+AG2253+AH2253))*1.08</f>
        <v>6643.1107449131969</v>
      </c>
      <c r="AU2253" s="107"/>
    </row>
    <row r="2254" spans="3:47" s="29" customFormat="1" x14ac:dyDescent="0.25">
      <c r="M2254" s="750" t="s">
        <v>487</v>
      </c>
      <c r="N2254" s="750">
        <f>S16</f>
        <v>31.23</v>
      </c>
      <c r="O2254" s="750" t="str">
        <f>R16</f>
        <v>g</v>
      </c>
      <c r="P2254" s="750">
        <v>70</v>
      </c>
      <c r="Q2254" s="750">
        <f t="shared" si="631"/>
        <v>2186.1</v>
      </c>
      <c r="R2254" s="750">
        <v>0</v>
      </c>
      <c r="S2254" s="750">
        <f t="shared" si="635"/>
        <v>0</v>
      </c>
      <c r="T2254" s="750">
        <f t="shared" si="636"/>
        <v>70</v>
      </c>
      <c r="U2254" s="750">
        <f t="shared" si="637"/>
        <v>2186.1</v>
      </c>
      <c r="V2254" s="577" t="s">
        <v>1963</v>
      </c>
      <c r="W2254" s="577" t="s">
        <v>1963</v>
      </c>
      <c r="X2254" s="577" t="s">
        <v>1963</v>
      </c>
      <c r="Y2254" s="577">
        <f t="shared" ref="Y2254:Y2255" si="649">$AR$11</f>
        <v>267.22379169571428</v>
      </c>
      <c r="Z2254" s="577">
        <f t="shared" ref="Z2254" si="650">$AR$12</f>
        <v>267.22379169571428</v>
      </c>
      <c r="AA2254" s="577" t="s">
        <v>1963</v>
      </c>
      <c r="AB2254" s="577" t="s">
        <v>1963</v>
      </c>
      <c r="AC2254" s="577" t="s">
        <v>1963</v>
      </c>
      <c r="AD2254" s="577" t="s">
        <v>1963</v>
      </c>
      <c r="AE2254" s="577" t="s">
        <v>1963</v>
      </c>
      <c r="AF2254" s="577" t="s">
        <v>1963</v>
      </c>
      <c r="AG2254" s="750">
        <f t="shared" si="638"/>
        <v>18.899999999999999</v>
      </c>
      <c r="AH2254" s="750">
        <f t="shared" si="632"/>
        <v>1547.3435977313275</v>
      </c>
      <c r="AI2254" s="750">
        <v>0.6</v>
      </c>
      <c r="AJ2254" s="750"/>
      <c r="AK2254" s="750"/>
      <c r="AL2254" s="750"/>
      <c r="AM2254" s="750">
        <f>(((U2254+Y2254+AG2254+AH2254)*AI2254)+(U2254+Y2254+AG2254+AH2254))*1.08</f>
        <v>6945.8124489299289</v>
      </c>
      <c r="AN2254" s="750">
        <f t="shared" si="634"/>
        <v>6945.8124489299289</v>
      </c>
      <c r="AO2254" s="750"/>
      <c r="AP2254" s="750"/>
      <c r="AQ2254" s="750"/>
      <c r="AR2254" s="750"/>
      <c r="AS2254" s="750"/>
      <c r="AT2254" s="750"/>
      <c r="AU2254" s="107"/>
    </row>
    <row r="2255" spans="3:47" s="29" customFormat="1" x14ac:dyDescent="0.25">
      <c r="M2255" s="750" t="s">
        <v>469</v>
      </c>
      <c r="N2255" s="750">
        <f>S17</f>
        <v>153.78</v>
      </c>
      <c r="O2255" s="750" t="str">
        <f>R17</f>
        <v>g</v>
      </c>
      <c r="P2255" s="750">
        <v>80</v>
      </c>
      <c r="Q2255" s="750">
        <f t="shared" si="631"/>
        <v>12302.4</v>
      </c>
      <c r="R2255" s="750">
        <f>AN9</f>
        <v>0.52</v>
      </c>
      <c r="S2255" s="750">
        <f t="shared" si="635"/>
        <v>41.6</v>
      </c>
      <c r="T2255" s="750">
        <f t="shared" si="636"/>
        <v>38.4</v>
      </c>
      <c r="U2255" s="750">
        <f t="shared" si="637"/>
        <v>18699.648000000001</v>
      </c>
      <c r="V2255" s="577" t="s">
        <v>1963</v>
      </c>
      <c r="W2255" s="577">
        <f t="shared" ref="W2255" si="651">$AR$9</f>
        <v>178.14919446380952</v>
      </c>
      <c r="X2255" s="577" t="s">
        <v>1963</v>
      </c>
      <c r="Y2255" s="577">
        <f t="shared" si="649"/>
        <v>267.22379169571428</v>
      </c>
      <c r="Z2255" s="577" t="s">
        <v>1963</v>
      </c>
      <c r="AA2255" s="577" t="s">
        <v>1963</v>
      </c>
      <c r="AB2255" s="577" t="s">
        <v>1963</v>
      </c>
      <c r="AC2255" s="577" t="s">
        <v>1963</v>
      </c>
      <c r="AD2255" s="577">
        <f t="shared" ref="AD2255" si="652">$AR$16</f>
        <v>178.14919446380952</v>
      </c>
      <c r="AE2255" s="577">
        <f t="shared" ref="AE2255:AE2271" si="653">$AR$17</f>
        <v>178.14919446380952</v>
      </c>
      <c r="AF2255" s="577">
        <f t="shared" ref="AF2255:AF2270" si="654">$AR$18</f>
        <v>178.14919446380952</v>
      </c>
      <c r="AG2255" s="750">
        <f t="shared" si="638"/>
        <v>18.899999999999999</v>
      </c>
      <c r="AH2255" s="750">
        <f t="shared" si="632"/>
        <v>1547.3435977313275</v>
      </c>
      <c r="AI2255" s="750">
        <v>0.6</v>
      </c>
      <c r="AJ2255" s="750"/>
      <c r="AK2255" s="750">
        <f>(((U2255+W2255+AG2255+AH2255)*AI2255)+(U2255+W2255+AG2255+AH2255))*1.08</f>
        <v>35327.302488913207</v>
      </c>
      <c r="AL2255" s="750"/>
      <c r="AM2255" s="750">
        <f>(((U2255+Y2255+AG2255+AH2255)*AI2255)+(U2255+Y2255+AG2255+AH2255))*1.08</f>
        <v>35481.223392929933</v>
      </c>
      <c r="AN2255" s="750"/>
      <c r="AO2255" s="750"/>
      <c r="AP2255" s="750"/>
      <c r="AQ2255" s="750"/>
      <c r="AR2255" s="750">
        <f>(((U2255+AD2255+AG2255+AH2255)*AI2255)+(U2255+AD2255+AG2255+AH2255))*1.08</f>
        <v>35327.302488913207</v>
      </c>
      <c r="AS2255" s="750">
        <f>(((U2255+AE2255+AG2255+AH2255)*AI2255)+(U2255+AE2255+AG2255+AH2255))*1.08</f>
        <v>35327.302488913207</v>
      </c>
      <c r="AT2255" s="750">
        <f>(((U2255+AF2255+AG2255+AH2255)*AI2255)+(U2255+AF2255+AG2255+AH2255))*1.08</f>
        <v>35327.302488913207</v>
      </c>
      <c r="AU2255" s="107"/>
    </row>
    <row r="2256" spans="3:47" s="29" customFormat="1" x14ac:dyDescent="0.25">
      <c r="M2256" s="750" t="s">
        <v>485</v>
      </c>
      <c r="N2256" s="750">
        <f>V12</f>
        <v>25.98</v>
      </c>
      <c r="O2256" s="750" t="str">
        <f>U12</f>
        <v>g</v>
      </c>
      <c r="P2256" s="750">
        <v>30</v>
      </c>
      <c r="Q2256" s="750">
        <f t="shared" si="631"/>
        <v>779.4</v>
      </c>
      <c r="R2256" s="750">
        <v>0</v>
      </c>
      <c r="S2256" s="750">
        <f t="shared" si="635"/>
        <v>0</v>
      </c>
      <c r="T2256" s="750">
        <f t="shared" si="636"/>
        <v>30</v>
      </c>
      <c r="U2256" s="750">
        <f t="shared" si="637"/>
        <v>779.4</v>
      </c>
      <c r="V2256" s="577" t="s">
        <v>1963</v>
      </c>
      <c r="W2256" s="577" t="s">
        <v>1963</v>
      </c>
      <c r="X2256" s="577" t="s">
        <v>1963</v>
      </c>
      <c r="Y2256" s="577">
        <f>AO26</f>
        <v>953.74829894127811</v>
      </c>
      <c r="Z2256" s="577" t="s">
        <v>1963</v>
      </c>
      <c r="AA2256" s="577">
        <f>AO26</f>
        <v>953.74829894127811</v>
      </c>
      <c r="AB2256" s="577" t="s">
        <v>1963</v>
      </c>
      <c r="AC2256" s="577" t="s">
        <v>1963</v>
      </c>
      <c r="AD2256" s="577" t="s">
        <v>1963</v>
      </c>
      <c r="AE2256" s="577" t="s">
        <v>1963</v>
      </c>
      <c r="AF2256" s="577" t="s">
        <v>1963</v>
      </c>
      <c r="AG2256" s="750">
        <f t="shared" si="638"/>
        <v>18.899999999999999</v>
      </c>
      <c r="AH2256" s="750">
        <f t="shared" si="632"/>
        <v>1547.3435977313275</v>
      </c>
      <c r="AI2256" s="750">
        <v>0.6</v>
      </c>
      <c r="AJ2256" s="750"/>
      <c r="AK2256" s="750"/>
      <c r="AL2256" s="750"/>
      <c r="AM2256" s="750">
        <f>(((U2256+Y2256+AG2256+AH2256)*AI2256)+(U2256+Y2256+AG2256+AH2256))*1.08</f>
        <v>5701.3491974502631</v>
      </c>
      <c r="AN2256" s="750"/>
      <c r="AO2256" s="750">
        <f>(((U2256+AA2256+AG2256+AH2256)*AI2256)+(U2256+AA2256+AG2256+AH2256))*1.08</f>
        <v>5701.3491974502631</v>
      </c>
      <c r="AP2256" s="750"/>
      <c r="AQ2256" s="750"/>
      <c r="AR2256" s="750"/>
      <c r="AS2256" s="750"/>
      <c r="AT2256" s="750"/>
      <c r="AU2256" s="107"/>
    </row>
    <row r="2257" spans="13:47" s="29" customFormat="1" x14ac:dyDescent="0.25">
      <c r="M2257" s="750" t="s">
        <v>454</v>
      </c>
      <c r="N2257" s="750">
        <f>P14</f>
        <v>18.86</v>
      </c>
      <c r="O2257" s="750" t="str">
        <f>O14</f>
        <v>g</v>
      </c>
      <c r="P2257" s="750">
        <v>30</v>
      </c>
      <c r="Q2257" s="750">
        <f t="shared" si="631"/>
        <v>565.79999999999995</v>
      </c>
      <c r="R2257" s="750">
        <v>0</v>
      </c>
      <c r="S2257" s="750">
        <f t="shared" si="635"/>
        <v>0</v>
      </c>
      <c r="T2257" s="750">
        <f t="shared" si="636"/>
        <v>30</v>
      </c>
      <c r="U2257" s="750">
        <f t="shared" si="637"/>
        <v>565.79999999999995</v>
      </c>
      <c r="V2257" s="577" t="s">
        <v>1963</v>
      </c>
      <c r="W2257" s="577" t="s">
        <v>1963</v>
      </c>
      <c r="X2257" s="577" t="s">
        <v>1963</v>
      </c>
      <c r="Y2257" s="577" t="s">
        <v>1963</v>
      </c>
      <c r="Z2257" s="577" t="s">
        <v>1963</v>
      </c>
      <c r="AA2257" s="577" t="s">
        <v>1963</v>
      </c>
      <c r="AB2257" s="577" t="s">
        <v>1963</v>
      </c>
      <c r="AC2257" s="577" t="s">
        <v>1963</v>
      </c>
      <c r="AD2257" s="577" t="s">
        <v>1963</v>
      </c>
      <c r="AE2257" s="577">
        <f t="shared" si="653"/>
        <v>178.14919446380952</v>
      </c>
      <c r="AF2257" s="577">
        <f t="shared" si="654"/>
        <v>178.14919446380952</v>
      </c>
      <c r="AG2257" s="750">
        <f t="shared" si="638"/>
        <v>18.899999999999999</v>
      </c>
      <c r="AH2257" s="750">
        <f t="shared" si="632"/>
        <v>1547.3435977313275</v>
      </c>
      <c r="AI2257" s="750">
        <v>0.6</v>
      </c>
      <c r="AJ2257" s="750"/>
      <c r="AK2257" s="750"/>
      <c r="AL2257" s="750"/>
      <c r="AM2257" s="750"/>
      <c r="AN2257" s="750"/>
      <c r="AO2257" s="750"/>
      <c r="AP2257" s="750"/>
      <c r="AQ2257" s="750"/>
      <c r="AR2257" s="750"/>
      <c r="AS2257" s="750">
        <f>(((U2257+AE2257+AG2257+AH2257)*AI2257)+(U2257+AE2257+AG2257+AH2257))*1.08</f>
        <v>3992.0131449131968</v>
      </c>
      <c r="AT2257" s="750">
        <f>(((U2257+AF2257+AG2257+AH2257)*AI2257)+(U2257+AF2257+AG2257+AH2257))*1.08</f>
        <v>3992.0131449131968</v>
      </c>
      <c r="AU2257" s="107"/>
    </row>
    <row r="2258" spans="13:47" s="29" customFormat="1" x14ac:dyDescent="0.25">
      <c r="M2258" s="750" t="s">
        <v>673</v>
      </c>
      <c r="N2258" s="750">
        <f>V16</f>
        <v>54.41</v>
      </c>
      <c r="O2258" s="750" t="str">
        <f>U16</f>
        <v>g</v>
      </c>
      <c r="P2258" s="750">
        <v>40</v>
      </c>
      <c r="Q2258" s="750">
        <f t="shared" si="631"/>
        <v>2176.3999999999996</v>
      </c>
      <c r="R2258" s="750">
        <v>0</v>
      </c>
      <c r="S2258" s="750">
        <f t="shared" si="635"/>
        <v>0</v>
      </c>
      <c r="T2258" s="750">
        <f t="shared" si="636"/>
        <v>40</v>
      </c>
      <c r="U2258" s="750">
        <f t="shared" si="637"/>
        <v>2176.3999999999996</v>
      </c>
      <c r="V2258" s="577" t="s">
        <v>1963</v>
      </c>
      <c r="W2258" s="577" t="s">
        <v>1963</v>
      </c>
      <c r="X2258" s="577" t="s">
        <v>1963</v>
      </c>
      <c r="Y2258" s="577">
        <f>AO26</f>
        <v>953.74829894127811</v>
      </c>
      <c r="Z2258" s="577" t="s">
        <v>1963</v>
      </c>
      <c r="AA2258" s="577">
        <f>AO26</f>
        <v>953.74829894127811</v>
      </c>
      <c r="AB2258" s="577" t="s">
        <v>1963</v>
      </c>
      <c r="AC2258" s="577" t="s">
        <v>1963</v>
      </c>
      <c r="AD2258" s="577" t="s">
        <v>1963</v>
      </c>
      <c r="AE2258" s="577" t="s">
        <v>1963</v>
      </c>
      <c r="AF2258" s="577" t="s">
        <v>1963</v>
      </c>
      <c r="AG2258" s="750">
        <f t="shared" si="638"/>
        <v>18.899999999999999</v>
      </c>
      <c r="AH2258" s="750">
        <f t="shared" si="632"/>
        <v>1547.3435977313275</v>
      </c>
      <c r="AI2258" s="750">
        <v>0.6</v>
      </c>
      <c r="AJ2258" s="750"/>
      <c r="AK2258" s="750"/>
      <c r="AL2258" s="750"/>
      <c r="AM2258" s="750">
        <f>(((U2258+Y2258+AG2258+AH2258)*AI2258)+(U2258+Y2258+AG2258+AH2258))*1.08</f>
        <v>8115.3651974502618</v>
      </c>
      <c r="AN2258" s="750"/>
      <c r="AO2258" s="750">
        <f>(((U2258+AA2258+AG2258+AH2258)*AI2258)+(U2258+AA2258+AG2258+AH2258))*1.08</f>
        <v>8115.3651974502618</v>
      </c>
      <c r="AP2258" s="750"/>
      <c r="AQ2258" s="750"/>
      <c r="AR2258" s="750"/>
      <c r="AS2258" s="750"/>
      <c r="AT2258" s="750"/>
      <c r="AU2258" s="107"/>
    </row>
    <row r="2259" spans="13:47" s="29" customFormat="1" x14ac:dyDescent="0.25">
      <c r="M2259" s="750" t="s">
        <v>482</v>
      </c>
      <c r="N2259" s="750">
        <f>P18</f>
        <v>5</v>
      </c>
      <c r="O2259" s="750" t="str">
        <f>O18</f>
        <v>g</v>
      </c>
      <c r="P2259" s="750">
        <v>50</v>
      </c>
      <c r="Q2259" s="750">
        <f t="shared" si="631"/>
        <v>250</v>
      </c>
      <c r="R2259" s="750">
        <f>AJ11</f>
        <v>0.23</v>
      </c>
      <c r="S2259" s="750">
        <f t="shared" si="635"/>
        <v>11.5</v>
      </c>
      <c r="T2259" s="750">
        <f t="shared" si="636"/>
        <v>38.5</v>
      </c>
      <c r="U2259" s="750">
        <f t="shared" si="637"/>
        <v>307.5</v>
      </c>
      <c r="V2259" s="577" t="s">
        <v>1963</v>
      </c>
      <c r="W2259" s="577" t="s">
        <v>1963</v>
      </c>
      <c r="X2259" s="577" t="s">
        <v>1963</v>
      </c>
      <c r="Y2259" s="577" t="s">
        <v>1963</v>
      </c>
      <c r="Z2259" s="577" t="s">
        <v>1963</v>
      </c>
      <c r="AA2259" s="577" t="s">
        <v>1963</v>
      </c>
      <c r="AB2259" s="577" t="s">
        <v>1963</v>
      </c>
      <c r="AC2259" s="577" t="s">
        <v>1963</v>
      </c>
      <c r="AD2259" s="577" t="s">
        <v>1963</v>
      </c>
      <c r="AE2259" s="577">
        <f t="shared" si="653"/>
        <v>178.14919446380952</v>
      </c>
      <c r="AF2259" s="577">
        <f t="shared" si="654"/>
        <v>178.14919446380952</v>
      </c>
      <c r="AG2259" s="750">
        <f t="shared" si="638"/>
        <v>18.899999999999999</v>
      </c>
      <c r="AH2259" s="750">
        <f t="shared" si="632"/>
        <v>1547.3435977313275</v>
      </c>
      <c r="AI2259" s="750">
        <v>0.6</v>
      </c>
      <c r="AJ2259" s="750"/>
      <c r="AK2259" s="750"/>
      <c r="AL2259" s="750"/>
      <c r="AM2259" s="750"/>
      <c r="AN2259" s="750"/>
      <c r="AO2259" s="750"/>
      <c r="AP2259" s="750"/>
      <c r="AQ2259" s="750"/>
      <c r="AR2259" s="750"/>
      <c r="AS2259" s="750">
        <f t="shared" ref="AS2259:AS2271" si="655">(((U2259+AE2259+AG2259+AH2259)*AI2259)+(U2259+AE2259+AG2259+AH2259))*1.08</f>
        <v>3545.6707449131973</v>
      </c>
      <c r="AT2259" s="750">
        <f>(((U2259+AF2259+AG2259+AH2259)*AI2259)+(U2259+AF2259+AG2259+AH2259))*1.08</f>
        <v>3545.6707449131973</v>
      </c>
      <c r="AU2259" s="107"/>
    </row>
    <row r="2260" spans="13:47" s="29" customFormat="1" ht="16.5" customHeight="1" x14ac:dyDescent="0.25">
      <c r="M2260" s="750" t="s">
        <v>510</v>
      </c>
      <c r="N2260" s="750">
        <f>P21</f>
        <v>1.6</v>
      </c>
      <c r="O2260" s="750" t="str">
        <f>O21</f>
        <v>g</v>
      </c>
      <c r="P2260" s="750">
        <v>50</v>
      </c>
      <c r="Q2260" s="750">
        <f t="shared" si="631"/>
        <v>80</v>
      </c>
      <c r="R2260" s="750">
        <f>AJ12</f>
        <v>0</v>
      </c>
      <c r="S2260" s="750">
        <f t="shared" si="635"/>
        <v>0</v>
      </c>
      <c r="T2260" s="750">
        <f t="shared" si="636"/>
        <v>50</v>
      </c>
      <c r="U2260" s="750">
        <f t="shared" si="637"/>
        <v>80</v>
      </c>
      <c r="V2260" s="577" t="s">
        <v>1963</v>
      </c>
      <c r="W2260" s="577" t="s">
        <v>1963</v>
      </c>
      <c r="X2260" s="577">
        <f t="shared" ref="X2260:X2271" si="656">$AR$10</f>
        <v>267.22379169571428</v>
      </c>
      <c r="Y2260" s="577" t="s">
        <v>1963</v>
      </c>
      <c r="Z2260" s="577" t="s">
        <v>1963</v>
      </c>
      <c r="AA2260" s="577" t="s">
        <v>1963</v>
      </c>
      <c r="AB2260" s="577" t="s">
        <v>1963</v>
      </c>
      <c r="AC2260" s="577" t="s">
        <v>1963</v>
      </c>
      <c r="AD2260" s="577" t="s">
        <v>1963</v>
      </c>
      <c r="AE2260" s="577">
        <f t="shared" si="653"/>
        <v>178.14919446380952</v>
      </c>
      <c r="AF2260" s="577" t="s">
        <v>1963</v>
      </c>
      <c r="AG2260" s="750">
        <f t="shared" si="638"/>
        <v>18.899999999999999</v>
      </c>
      <c r="AH2260" s="750">
        <f t="shared" si="632"/>
        <v>1547.3435977313275</v>
      </c>
      <c r="AI2260" s="750">
        <v>0.6</v>
      </c>
      <c r="AJ2260" s="750"/>
      <c r="AK2260" s="750"/>
      <c r="AL2260" s="750">
        <f>(((U2260+X2260+AG2260+AH2260)*AI2260)+(U2260+X2260+AG2260+AH2260))*1.08</f>
        <v>3306.4716489299285</v>
      </c>
      <c r="AM2260" s="750"/>
      <c r="AN2260" s="750"/>
      <c r="AO2260" s="750"/>
      <c r="AP2260" s="750"/>
      <c r="AQ2260" s="750"/>
      <c r="AR2260" s="750"/>
      <c r="AS2260" s="750">
        <f t="shared" si="655"/>
        <v>3152.5507449131969</v>
      </c>
      <c r="AT2260" s="750"/>
      <c r="AU2260" s="107"/>
    </row>
    <row r="2261" spans="13:47" s="29" customFormat="1" ht="16.5" customHeight="1" x14ac:dyDescent="0.25">
      <c r="M2261" s="750" t="s">
        <v>345</v>
      </c>
      <c r="N2261" s="750">
        <f>P23</f>
        <v>1.6</v>
      </c>
      <c r="O2261" s="750" t="str">
        <f>O23</f>
        <v>g</v>
      </c>
      <c r="P2261" s="750">
        <v>15</v>
      </c>
      <c r="Q2261" s="750">
        <f t="shared" si="631"/>
        <v>24</v>
      </c>
      <c r="R2261" s="750">
        <v>0</v>
      </c>
      <c r="S2261" s="750">
        <f t="shared" si="635"/>
        <v>0</v>
      </c>
      <c r="T2261" s="750">
        <f t="shared" si="636"/>
        <v>15</v>
      </c>
      <c r="U2261" s="750">
        <f t="shared" si="637"/>
        <v>24</v>
      </c>
      <c r="V2261" s="577" t="s">
        <v>1963</v>
      </c>
      <c r="W2261" s="577" t="s">
        <v>1963</v>
      </c>
      <c r="X2261" s="577" t="s">
        <v>1963</v>
      </c>
      <c r="Y2261" s="577" t="s">
        <v>1963</v>
      </c>
      <c r="Z2261" s="577" t="s">
        <v>1963</v>
      </c>
      <c r="AA2261" s="577" t="s">
        <v>1963</v>
      </c>
      <c r="AB2261" s="577" t="s">
        <v>1963</v>
      </c>
      <c r="AC2261" s="577" t="s">
        <v>1963</v>
      </c>
      <c r="AD2261" s="577" t="s">
        <v>1963</v>
      </c>
      <c r="AE2261" s="577">
        <f t="shared" si="653"/>
        <v>178.14919446380952</v>
      </c>
      <c r="AF2261" s="577">
        <f t="shared" si="654"/>
        <v>178.14919446380952</v>
      </c>
      <c r="AG2261" s="750">
        <f t="shared" si="638"/>
        <v>18.899999999999999</v>
      </c>
      <c r="AH2261" s="750">
        <f t="shared" si="632"/>
        <v>1547.3435977313275</v>
      </c>
      <c r="AI2261" s="750">
        <v>0.6</v>
      </c>
      <c r="AJ2261" s="750"/>
      <c r="AK2261" s="750"/>
      <c r="AL2261" s="750"/>
      <c r="AM2261" s="750"/>
      <c r="AN2261" s="750"/>
      <c r="AO2261" s="750"/>
      <c r="AP2261" s="750"/>
      <c r="AQ2261" s="750"/>
      <c r="AR2261" s="750"/>
      <c r="AS2261" s="750">
        <f t="shared" si="655"/>
        <v>3055.7827449131969</v>
      </c>
      <c r="AT2261" s="750">
        <f>(((U2261+AF2261+AG2261+AH2261)*AI2261)+(U2261+AF2261+AG2261+AH2261))*1.08</f>
        <v>3055.7827449131969</v>
      </c>
      <c r="AU2261" s="107"/>
    </row>
    <row r="2262" spans="13:47" s="29" customFormat="1" ht="16.5" customHeight="1" x14ac:dyDescent="0.25">
      <c r="M2262" s="750" t="s">
        <v>533</v>
      </c>
      <c r="N2262" s="750">
        <f>AB5</f>
        <v>3.6</v>
      </c>
      <c r="O2262" s="750" t="str">
        <f>AA5</f>
        <v>g</v>
      </c>
      <c r="P2262" s="750">
        <v>120</v>
      </c>
      <c r="Q2262" s="750">
        <f t="shared" si="631"/>
        <v>432</v>
      </c>
      <c r="R2262" s="750">
        <v>0</v>
      </c>
      <c r="S2262" s="750">
        <f t="shared" si="635"/>
        <v>0</v>
      </c>
      <c r="T2262" s="750">
        <f t="shared" si="636"/>
        <v>120</v>
      </c>
      <c r="U2262" s="750">
        <f t="shared" si="637"/>
        <v>432</v>
      </c>
      <c r="V2262" s="577" t="s">
        <v>1963</v>
      </c>
      <c r="W2262" s="577" t="s">
        <v>1963</v>
      </c>
      <c r="X2262" s="577">
        <f t="shared" si="656"/>
        <v>267.22379169571428</v>
      </c>
      <c r="Y2262" s="577" t="s">
        <v>1963</v>
      </c>
      <c r="Z2262" s="577" t="s">
        <v>1963</v>
      </c>
      <c r="AA2262" s="577" t="s">
        <v>1963</v>
      </c>
      <c r="AB2262" s="577" t="s">
        <v>1963</v>
      </c>
      <c r="AC2262" s="577" t="s">
        <v>1963</v>
      </c>
      <c r="AD2262" s="577" t="s">
        <v>1963</v>
      </c>
      <c r="AE2262" s="577">
        <f t="shared" si="653"/>
        <v>178.14919446380952</v>
      </c>
      <c r="AF2262" s="577" t="s">
        <v>1963</v>
      </c>
      <c r="AG2262" s="750">
        <f t="shared" si="638"/>
        <v>18.899999999999999</v>
      </c>
      <c r="AH2262" s="750">
        <f t="shared" si="632"/>
        <v>1547.3435977313275</v>
      </c>
      <c r="AI2262" s="750">
        <v>0.6</v>
      </c>
      <c r="AJ2262" s="750"/>
      <c r="AK2262" s="750"/>
      <c r="AL2262" s="750">
        <f>(((U2262+X2262+AG2262+AH2262)*AI2262)+(U2262+X2262+AG2262+AH2262))*1.08</f>
        <v>3914.7276489299284</v>
      </c>
      <c r="AM2262" s="750"/>
      <c r="AN2262" s="750"/>
      <c r="AO2262" s="750"/>
      <c r="AP2262" s="750"/>
      <c r="AQ2262" s="750"/>
      <c r="AR2262" s="750"/>
      <c r="AS2262" s="750">
        <f t="shared" si="655"/>
        <v>3760.8067449131968</v>
      </c>
      <c r="AT2262" s="750"/>
      <c r="AU2262" s="107"/>
    </row>
    <row r="2263" spans="13:47" s="29" customFormat="1" ht="16.5" customHeight="1" x14ac:dyDescent="0.25">
      <c r="M2263" s="750" t="s">
        <v>674</v>
      </c>
      <c r="N2263" s="750">
        <f>AB4</f>
        <v>4.8</v>
      </c>
      <c r="O2263" s="750" t="str">
        <f>AA4</f>
        <v>g</v>
      </c>
      <c r="P2263" s="750">
        <v>50</v>
      </c>
      <c r="Q2263" s="750">
        <f t="shared" si="631"/>
        <v>240</v>
      </c>
      <c r="R2263" s="750">
        <v>0</v>
      </c>
      <c r="S2263" s="750">
        <f t="shared" si="635"/>
        <v>0</v>
      </c>
      <c r="T2263" s="750">
        <f t="shared" si="636"/>
        <v>50</v>
      </c>
      <c r="U2263" s="750">
        <f t="shared" si="637"/>
        <v>240</v>
      </c>
      <c r="V2263" s="577" t="s">
        <v>1963</v>
      </c>
      <c r="W2263" s="577" t="s">
        <v>1963</v>
      </c>
      <c r="X2263" s="577">
        <f t="shared" si="656"/>
        <v>267.22379169571428</v>
      </c>
      <c r="Y2263" s="577" t="s">
        <v>1963</v>
      </c>
      <c r="Z2263" s="577" t="s">
        <v>1963</v>
      </c>
      <c r="AA2263" s="577" t="s">
        <v>1963</v>
      </c>
      <c r="AB2263" s="577" t="s">
        <v>1963</v>
      </c>
      <c r="AC2263" s="577" t="s">
        <v>1963</v>
      </c>
      <c r="AD2263" s="577" t="s">
        <v>1963</v>
      </c>
      <c r="AE2263" s="577">
        <f t="shared" si="653"/>
        <v>178.14919446380952</v>
      </c>
      <c r="AF2263" s="577" t="s">
        <v>1963</v>
      </c>
      <c r="AG2263" s="750">
        <f t="shared" si="638"/>
        <v>18.899999999999999</v>
      </c>
      <c r="AH2263" s="750">
        <f t="shared" si="632"/>
        <v>1547.3435977313275</v>
      </c>
      <c r="AI2263" s="750">
        <v>0.6</v>
      </c>
      <c r="AJ2263" s="750"/>
      <c r="AK2263" s="750"/>
      <c r="AL2263" s="750">
        <f>(((U2263+X2263+AG2263+AH2263)*AI2263)+(U2263+X2263+AG2263+AH2263))*1.08</f>
        <v>3582.9516489299285</v>
      </c>
      <c r="AM2263" s="750"/>
      <c r="AN2263" s="750"/>
      <c r="AO2263" s="750"/>
      <c r="AP2263" s="750"/>
      <c r="AQ2263" s="750"/>
      <c r="AR2263" s="750"/>
      <c r="AS2263" s="750">
        <f t="shared" si="655"/>
        <v>3429.0307449131969</v>
      </c>
      <c r="AT2263" s="750"/>
      <c r="AU2263" s="107"/>
    </row>
    <row r="2264" spans="13:47" s="29" customFormat="1" ht="16.5" customHeight="1" x14ac:dyDescent="0.25">
      <c r="M2264" s="750" t="s">
        <v>461</v>
      </c>
      <c r="N2264" s="750">
        <f>P8</f>
        <v>3.3330000000000002</v>
      </c>
      <c r="O2264" s="750" t="str">
        <f>O8</f>
        <v>g</v>
      </c>
      <c r="P2264" s="750">
        <v>80</v>
      </c>
      <c r="Q2264" s="750">
        <f t="shared" si="631"/>
        <v>266.64</v>
      </c>
      <c r="R2264" s="750">
        <f>AJ6</f>
        <v>0.5</v>
      </c>
      <c r="S2264" s="750">
        <f t="shared" si="635"/>
        <v>40</v>
      </c>
      <c r="T2264" s="750">
        <f t="shared" si="636"/>
        <v>40</v>
      </c>
      <c r="U2264" s="750">
        <f t="shared" si="637"/>
        <v>399.96</v>
      </c>
      <c r="V2264" s="577" t="s">
        <v>1963</v>
      </c>
      <c r="W2264" s="577" t="s">
        <v>1963</v>
      </c>
      <c r="X2264" s="577" t="s">
        <v>1963</v>
      </c>
      <c r="Y2264" s="577" t="s">
        <v>1963</v>
      </c>
      <c r="Z2264" s="577" t="s">
        <v>1963</v>
      </c>
      <c r="AA2264" s="577" t="s">
        <v>1963</v>
      </c>
      <c r="AB2264" s="577" t="s">
        <v>1963</v>
      </c>
      <c r="AC2264" s="577" t="s">
        <v>1963</v>
      </c>
      <c r="AD2264" s="577" t="s">
        <v>1963</v>
      </c>
      <c r="AE2264" s="577">
        <f t="shared" si="653"/>
        <v>178.14919446380952</v>
      </c>
      <c r="AF2264" s="577">
        <f t="shared" si="654"/>
        <v>178.14919446380952</v>
      </c>
      <c r="AG2264" s="750">
        <f t="shared" si="638"/>
        <v>18.899999999999999</v>
      </c>
      <c r="AH2264" s="750">
        <f t="shared" si="632"/>
        <v>1547.3435977313275</v>
      </c>
      <c r="AI2264" s="750">
        <v>0.6</v>
      </c>
      <c r="AJ2264" s="750"/>
      <c r="AK2264" s="750"/>
      <c r="AL2264" s="750"/>
      <c r="AM2264" s="750"/>
      <c r="AN2264" s="750"/>
      <c r="AO2264" s="750"/>
      <c r="AP2264" s="750"/>
      <c r="AQ2264" s="750"/>
      <c r="AR2264" s="750"/>
      <c r="AS2264" s="750">
        <f t="shared" si="655"/>
        <v>3705.4416249131968</v>
      </c>
      <c r="AT2264" s="750">
        <f>(((U2264+AF2264+AG2264+AH2264)*AI2264)+(U2264+AF2264+AG2264+AH2264))*1.08</f>
        <v>3705.4416249131968</v>
      </c>
      <c r="AU2264" s="107"/>
    </row>
    <row r="2265" spans="13:47" s="29" customFormat="1" ht="16.5" customHeight="1" x14ac:dyDescent="0.25">
      <c r="M2265" s="750" t="s">
        <v>572</v>
      </c>
      <c r="N2265" s="750">
        <f>P30</f>
        <v>3</v>
      </c>
      <c r="O2265" s="750" t="str">
        <f>O30</f>
        <v>g</v>
      </c>
      <c r="P2265" s="750">
        <v>60</v>
      </c>
      <c r="Q2265" s="750">
        <f t="shared" si="631"/>
        <v>180</v>
      </c>
      <c r="R2265" s="750">
        <v>0</v>
      </c>
      <c r="S2265" s="750">
        <f t="shared" si="635"/>
        <v>0</v>
      </c>
      <c r="T2265" s="750">
        <f t="shared" si="636"/>
        <v>60</v>
      </c>
      <c r="U2265" s="750">
        <f t="shared" si="637"/>
        <v>180</v>
      </c>
      <c r="V2265" s="577" t="s">
        <v>1963</v>
      </c>
      <c r="W2265" s="577" t="s">
        <v>1963</v>
      </c>
      <c r="X2265" s="577" t="s">
        <v>1963</v>
      </c>
      <c r="Y2265" s="577" t="s">
        <v>1963</v>
      </c>
      <c r="Z2265" s="577" t="s">
        <v>1963</v>
      </c>
      <c r="AA2265" s="577" t="s">
        <v>1963</v>
      </c>
      <c r="AB2265" s="577" t="s">
        <v>1963</v>
      </c>
      <c r="AC2265" s="577" t="s">
        <v>1963</v>
      </c>
      <c r="AD2265" s="577" t="s">
        <v>1963</v>
      </c>
      <c r="AE2265" s="577">
        <f t="shared" si="653"/>
        <v>178.14919446380952</v>
      </c>
      <c r="AF2265" s="577">
        <f t="shared" si="654"/>
        <v>178.14919446380952</v>
      </c>
      <c r="AG2265" s="750">
        <f t="shared" si="638"/>
        <v>18.899999999999999</v>
      </c>
      <c r="AH2265" s="750">
        <f t="shared" si="632"/>
        <v>1547.3435977313275</v>
      </c>
      <c r="AI2265" s="750">
        <v>0.6</v>
      </c>
      <c r="AJ2265" s="750"/>
      <c r="AK2265" s="750"/>
      <c r="AL2265" s="750"/>
      <c r="AM2265" s="750"/>
      <c r="AN2265" s="750"/>
      <c r="AO2265" s="750"/>
      <c r="AP2265" s="750"/>
      <c r="AQ2265" s="750"/>
      <c r="AR2265" s="750"/>
      <c r="AS2265" s="750">
        <f t="shared" si="655"/>
        <v>3325.3507449131971</v>
      </c>
      <c r="AT2265" s="750">
        <f>(((U2265+AF2265+AG2265+AH2265)*AI2265)+(U2265+AF2265+AG2265+AH2265))*1.08</f>
        <v>3325.3507449131971</v>
      </c>
      <c r="AU2265" s="107"/>
    </row>
    <row r="2266" spans="13:47" s="29" customFormat="1" ht="16.5" customHeight="1" x14ac:dyDescent="0.25">
      <c r="M2266" s="750" t="s">
        <v>475</v>
      </c>
      <c r="N2266" s="750">
        <f>P24</f>
        <v>3.5</v>
      </c>
      <c r="O2266" s="750" t="str">
        <f>O24</f>
        <v>g</v>
      </c>
      <c r="P2266" s="750">
        <v>50</v>
      </c>
      <c r="Q2266" s="750">
        <f t="shared" si="631"/>
        <v>175</v>
      </c>
      <c r="R2266" s="750">
        <f>AJ15</f>
        <v>0.26</v>
      </c>
      <c r="S2266" s="750">
        <f t="shared" si="635"/>
        <v>13</v>
      </c>
      <c r="T2266" s="750">
        <f t="shared" si="636"/>
        <v>37</v>
      </c>
      <c r="U2266" s="750">
        <f t="shared" si="637"/>
        <v>220.5</v>
      </c>
      <c r="V2266" s="577" t="s">
        <v>1963</v>
      </c>
      <c r="W2266" s="577" t="s">
        <v>1963</v>
      </c>
      <c r="X2266" s="577" t="s">
        <v>1963</v>
      </c>
      <c r="Y2266" s="577" t="s">
        <v>1963</v>
      </c>
      <c r="Z2266" s="577" t="s">
        <v>1963</v>
      </c>
      <c r="AA2266" s="577" t="s">
        <v>1963</v>
      </c>
      <c r="AB2266" s="577" t="s">
        <v>1963</v>
      </c>
      <c r="AC2266" s="577" t="s">
        <v>1963</v>
      </c>
      <c r="AD2266" s="577" t="s">
        <v>1963</v>
      </c>
      <c r="AE2266" s="577">
        <f t="shared" si="653"/>
        <v>178.14919446380952</v>
      </c>
      <c r="AF2266" s="577">
        <f t="shared" si="654"/>
        <v>178.14919446380952</v>
      </c>
      <c r="AG2266" s="750">
        <f t="shared" si="638"/>
        <v>18.899999999999999</v>
      </c>
      <c r="AH2266" s="750">
        <f t="shared" si="632"/>
        <v>1547.3435977313275</v>
      </c>
      <c r="AI2266" s="750">
        <v>0.6</v>
      </c>
      <c r="AJ2266" s="750"/>
      <c r="AK2266" s="750"/>
      <c r="AL2266" s="750"/>
      <c r="AM2266" s="750"/>
      <c r="AN2266" s="750"/>
      <c r="AO2266" s="750"/>
      <c r="AP2266" s="750"/>
      <c r="AQ2266" s="750"/>
      <c r="AR2266" s="750"/>
      <c r="AS2266" s="750">
        <f t="shared" si="655"/>
        <v>3395.3347449131966</v>
      </c>
      <c r="AT2266" s="750">
        <f>(((U2266+AF2266+AG2266+AH2266)*AI2266)+(U2266+AF2266+AG2266+AH2266))*1.08</f>
        <v>3395.3347449131966</v>
      </c>
      <c r="AU2266" s="107"/>
    </row>
    <row r="2267" spans="13:47" s="29" customFormat="1" ht="16.5" customHeight="1" x14ac:dyDescent="0.25">
      <c r="M2267" s="750" t="s">
        <v>691</v>
      </c>
      <c r="N2267" s="750">
        <f>P16</f>
        <v>1.5</v>
      </c>
      <c r="O2267" s="750" t="str">
        <f>O16</f>
        <v>g</v>
      </c>
      <c r="P2267" s="750">
        <v>70</v>
      </c>
      <c r="Q2267" s="750">
        <f t="shared" si="631"/>
        <v>105</v>
      </c>
      <c r="R2267" s="750">
        <f>AJ9</f>
        <v>0.55000000000000004</v>
      </c>
      <c r="S2267" s="750">
        <f t="shared" si="635"/>
        <v>38.5</v>
      </c>
      <c r="T2267" s="750">
        <f t="shared" si="636"/>
        <v>31.5</v>
      </c>
      <c r="U2267" s="750">
        <f t="shared" si="637"/>
        <v>162.75</v>
      </c>
      <c r="V2267" s="577" t="s">
        <v>1963</v>
      </c>
      <c r="W2267" s="577" t="s">
        <v>1963</v>
      </c>
      <c r="X2267" s="577" t="s">
        <v>1963</v>
      </c>
      <c r="Y2267" s="577" t="s">
        <v>1963</v>
      </c>
      <c r="Z2267" s="577" t="s">
        <v>1963</v>
      </c>
      <c r="AA2267" s="577" t="s">
        <v>1963</v>
      </c>
      <c r="AB2267" s="577" t="s">
        <v>1963</v>
      </c>
      <c r="AC2267" s="577" t="s">
        <v>1963</v>
      </c>
      <c r="AD2267" s="577" t="s">
        <v>1963</v>
      </c>
      <c r="AE2267" s="577">
        <f t="shared" si="653"/>
        <v>178.14919446380952</v>
      </c>
      <c r="AF2267" s="577">
        <f t="shared" si="654"/>
        <v>178.14919446380952</v>
      </c>
      <c r="AG2267" s="750">
        <f t="shared" si="638"/>
        <v>18.899999999999999</v>
      </c>
      <c r="AH2267" s="750">
        <f t="shared" si="632"/>
        <v>1547.3435977313275</v>
      </c>
      <c r="AI2267" s="750">
        <v>0.6</v>
      </c>
      <c r="AJ2267" s="750"/>
      <c r="AK2267" s="750"/>
      <c r="AL2267" s="750"/>
      <c r="AM2267" s="750"/>
      <c r="AN2267" s="750"/>
      <c r="AO2267" s="750"/>
      <c r="AP2267" s="750"/>
      <c r="AQ2267" s="750"/>
      <c r="AR2267" s="750"/>
      <c r="AS2267" s="750">
        <f t="shared" si="655"/>
        <v>3295.5427449131967</v>
      </c>
      <c r="AT2267" s="750">
        <f>(((U2267+AF2267+AG2267+AH2267)*AI2267)+(U2267+AF2267+AG2267+AH2267))*1.08</f>
        <v>3295.5427449131967</v>
      </c>
      <c r="AU2267" s="107"/>
    </row>
    <row r="2268" spans="13:47" s="29" customFormat="1" ht="16.5" customHeight="1" x14ac:dyDescent="0.25">
      <c r="M2268" s="750" t="s">
        <v>531</v>
      </c>
      <c r="N2268" s="750">
        <f>AB6</f>
        <v>5.18</v>
      </c>
      <c r="O2268" s="750" t="str">
        <f>AA6</f>
        <v>g</v>
      </c>
      <c r="P2268" s="750">
        <v>120</v>
      </c>
      <c r="Q2268" s="750">
        <f t="shared" si="631"/>
        <v>621.59999999999991</v>
      </c>
      <c r="R2268" s="750">
        <v>0</v>
      </c>
      <c r="S2268" s="750">
        <f t="shared" si="635"/>
        <v>0</v>
      </c>
      <c r="T2268" s="750">
        <f t="shared" si="636"/>
        <v>120</v>
      </c>
      <c r="U2268" s="750">
        <f t="shared" si="637"/>
        <v>621.59999999999991</v>
      </c>
      <c r="V2268" s="577" t="s">
        <v>1963</v>
      </c>
      <c r="W2268" s="577" t="s">
        <v>1963</v>
      </c>
      <c r="X2268" s="577">
        <f t="shared" si="656"/>
        <v>267.22379169571428</v>
      </c>
      <c r="Y2268" s="577" t="s">
        <v>1963</v>
      </c>
      <c r="Z2268" s="577" t="s">
        <v>1963</v>
      </c>
      <c r="AA2268" s="577" t="s">
        <v>1963</v>
      </c>
      <c r="AB2268" s="577" t="s">
        <v>1963</v>
      </c>
      <c r="AC2268" s="577" t="s">
        <v>1963</v>
      </c>
      <c r="AD2268" s="577" t="s">
        <v>1963</v>
      </c>
      <c r="AE2268" s="577">
        <f t="shared" si="653"/>
        <v>178.14919446380952</v>
      </c>
      <c r="AF2268" s="577" t="s">
        <v>1963</v>
      </c>
      <c r="AG2268" s="750">
        <f t="shared" si="638"/>
        <v>18.899999999999999</v>
      </c>
      <c r="AH2268" s="750">
        <f t="shared" si="632"/>
        <v>1547.3435977313275</v>
      </c>
      <c r="AI2268" s="750">
        <v>0.6</v>
      </c>
      <c r="AJ2268" s="750"/>
      <c r="AK2268" s="750"/>
      <c r="AL2268" s="750">
        <f>(((U2268+X2268+AG2268+AH2268)*AI2268)+(U2268+X2268+AG2268+AH2268))*1.08</f>
        <v>4242.3564489299279</v>
      </c>
      <c r="AM2268" s="750"/>
      <c r="AN2268" s="750"/>
      <c r="AO2268" s="750"/>
      <c r="AP2268" s="750"/>
      <c r="AQ2268" s="750"/>
      <c r="AR2268" s="750"/>
      <c r="AS2268" s="750">
        <f t="shared" si="655"/>
        <v>4088.4355449131967</v>
      </c>
      <c r="AT2268" s="750"/>
      <c r="AU2268" s="107"/>
    </row>
    <row r="2269" spans="13:47" s="29" customFormat="1" x14ac:dyDescent="0.25">
      <c r="M2269" s="750" t="s">
        <v>665</v>
      </c>
      <c r="N2269" s="750">
        <f>P20</f>
        <v>4</v>
      </c>
      <c r="O2269" s="750" t="str">
        <f>O20</f>
        <v>g</v>
      </c>
      <c r="P2269" s="750">
        <v>80</v>
      </c>
      <c r="Q2269" s="750">
        <f t="shared" si="631"/>
        <v>320</v>
      </c>
      <c r="R2269" s="750">
        <v>0</v>
      </c>
      <c r="S2269" s="750">
        <f t="shared" si="635"/>
        <v>0</v>
      </c>
      <c r="T2269" s="750">
        <f t="shared" si="636"/>
        <v>80</v>
      </c>
      <c r="U2269" s="750">
        <f t="shared" si="637"/>
        <v>320</v>
      </c>
      <c r="V2269" s="577" t="s">
        <v>1963</v>
      </c>
      <c r="W2269" s="577" t="s">
        <v>1963</v>
      </c>
      <c r="X2269" s="577" t="s">
        <v>1963</v>
      </c>
      <c r="Y2269" s="577" t="s">
        <v>1963</v>
      </c>
      <c r="Z2269" s="577" t="s">
        <v>1963</v>
      </c>
      <c r="AA2269" s="577" t="s">
        <v>1963</v>
      </c>
      <c r="AB2269" s="577" t="s">
        <v>1963</v>
      </c>
      <c r="AC2269" s="577" t="s">
        <v>1963</v>
      </c>
      <c r="AD2269" s="577" t="s">
        <v>1963</v>
      </c>
      <c r="AE2269" s="577">
        <f t="shared" si="653"/>
        <v>178.14919446380952</v>
      </c>
      <c r="AF2269" s="577">
        <f t="shared" si="654"/>
        <v>178.14919446380952</v>
      </c>
      <c r="AG2269" s="750">
        <f t="shared" si="638"/>
        <v>18.899999999999999</v>
      </c>
      <c r="AH2269" s="750">
        <f t="shared" si="632"/>
        <v>1547.3435977313275</v>
      </c>
      <c r="AI2269" s="750">
        <v>0.6</v>
      </c>
      <c r="AJ2269" s="750"/>
      <c r="AK2269" s="750"/>
      <c r="AL2269" s="750"/>
      <c r="AM2269" s="750"/>
      <c r="AN2269" s="750"/>
      <c r="AO2269" s="750"/>
      <c r="AP2269" s="750"/>
      <c r="AQ2269" s="750"/>
      <c r="AR2269" s="750"/>
      <c r="AS2269" s="750">
        <f t="shared" si="655"/>
        <v>3567.2707449131972</v>
      </c>
      <c r="AT2269" s="750">
        <f>(((U2269+AF2269+AG2269+AH2269)*AI2269)+(U2269+AF2269+AG2269+AH2269))*1.08</f>
        <v>3567.2707449131972</v>
      </c>
      <c r="AU2269" s="107"/>
    </row>
    <row r="2270" spans="13:47" s="29" customFormat="1" x14ac:dyDescent="0.25">
      <c r="M2270" s="750" t="s">
        <v>436</v>
      </c>
      <c r="N2270" s="750">
        <f>P31</f>
        <v>2.6</v>
      </c>
      <c r="O2270" s="750" t="str">
        <f>O31</f>
        <v>g</v>
      </c>
      <c r="P2270" s="750">
        <v>50</v>
      </c>
      <c r="Q2270" s="750">
        <f t="shared" si="631"/>
        <v>130</v>
      </c>
      <c r="R2270" s="750">
        <f>AJ19</f>
        <v>0.37</v>
      </c>
      <c r="S2270" s="750">
        <f t="shared" si="635"/>
        <v>18.5</v>
      </c>
      <c r="T2270" s="750">
        <f t="shared" si="636"/>
        <v>31.5</v>
      </c>
      <c r="U2270" s="750">
        <f>Q2270+((S2270*Q2270)/P2270)</f>
        <v>178.1</v>
      </c>
      <c r="V2270" s="577" t="s">
        <v>1963</v>
      </c>
      <c r="W2270" s="577" t="s">
        <v>1963</v>
      </c>
      <c r="X2270" s="577" t="s">
        <v>1963</v>
      </c>
      <c r="Y2270" s="577" t="s">
        <v>1963</v>
      </c>
      <c r="Z2270" s="577" t="s">
        <v>1963</v>
      </c>
      <c r="AA2270" s="577" t="s">
        <v>1963</v>
      </c>
      <c r="AB2270" s="577" t="s">
        <v>1963</v>
      </c>
      <c r="AC2270" s="577" t="s">
        <v>1963</v>
      </c>
      <c r="AD2270" s="577" t="s">
        <v>1963</v>
      </c>
      <c r="AE2270" s="577">
        <f t="shared" si="653"/>
        <v>178.14919446380952</v>
      </c>
      <c r="AF2270" s="577">
        <f t="shared" si="654"/>
        <v>178.14919446380952</v>
      </c>
      <c r="AG2270" s="750">
        <f t="shared" si="638"/>
        <v>18.899999999999999</v>
      </c>
      <c r="AH2270" s="750">
        <f t="shared" si="632"/>
        <v>1547.3435977313275</v>
      </c>
      <c r="AI2270" s="750">
        <v>0.6</v>
      </c>
      <c r="AJ2270" s="750"/>
      <c r="AK2270" s="750"/>
      <c r="AL2270" s="750"/>
      <c r="AM2270" s="750"/>
      <c r="AN2270" s="750"/>
      <c r="AO2270" s="750"/>
      <c r="AP2270" s="750"/>
      <c r="AQ2270" s="750"/>
      <c r="AR2270" s="750"/>
      <c r="AS2270" s="750">
        <f t="shared" si="655"/>
        <v>3322.0675449131973</v>
      </c>
      <c r="AT2270" s="750">
        <f>(((U2270+AF2270+AG2270+AH2270)*AI2270)+(U2270+AF2270+AG2270+AH2270))*1.08</f>
        <v>3322.0675449131973</v>
      </c>
      <c r="AU2270" s="107"/>
    </row>
    <row r="2271" spans="13:47" s="29" customFormat="1" x14ac:dyDescent="0.25">
      <c r="M2271" s="750" t="s">
        <v>515</v>
      </c>
      <c r="N2271" s="750">
        <f>P6</f>
        <v>7.8</v>
      </c>
      <c r="O2271" s="750" t="str">
        <f>O6</f>
        <v>g</v>
      </c>
      <c r="P2271" s="750">
        <v>30</v>
      </c>
      <c r="Q2271" s="750">
        <f t="shared" si="631"/>
        <v>234</v>
      </c>
      <c r="R2271" s="750">
        <f>AJ4</f>
        <v>0.55000000000000004</v>
      </c>
      <c r="S2271" s="750">
        <f t="shared" si="635"/>
        <v>16.5</v>
      </c>
      <c r="T2271" s="750">
        <f t="shared" si="636"/>
        <v>13.5</v>
      </c>
      <c r="U2271" s="750">
        <f t="shared" ref="U2271:U2272" si="657">Q2271+((S2271*Q2271)/P2271)</f>
        <v>362.7</v>
      </c>
      <c r="V2271" s="577" t="s">
        <v>1963</v>
      </c>
      <c r="W2271" s="577" t="s">
        <v>1963</v>
      </c>
      <c r="X2271" s="577">
        <f t="shared" si="656"/>
        <v>267.22379169571428</v>
      </c>
      <c r="Y2271" s="577" t="s">
        <v>1963</v>
      </c>
      <c r="Z2271" s="577" t="s">
        <v>1963</v>
      </c>
      <c r="AA2271" s="577" t="s">
        <v>1963</v>
      </c>
      <c r="AB2271" s="577" t="s">
        <v>1963</v>
      </c>
      <c r="AC2271" s="577" t="s">
        <v>1963</v>
      </c>
      <c r="AD2271" s="577" t="s">
        <v>1963</v>
      </c>
      <c r="AE2271" s="577">
        <f t="shared" si="653"/>
        <v>178.14919446380952</v>
      </c>
      <c r="AF2271" s="577" t="s">
        <v>1963</v>
      </c>
      <c r="AG2271" s="750">
        <f t="shared" si="638"/>
        <v>18.899999999999999</v>
      </c>
      <c r="AH2271" s="750">
        <f t="shared" si="632"/>
        <v>1547.3435977313275</v>
      </c>
      <c r="AI2271" s="750">
        <v>0.6</v>
      </c>
      <c r="AJ2271" s="750"/>
      <c r="AK2271" s="750"/>
      <c r="AL2271" s="750">
        <f>(((U2271+X2271+AG2271+AH2271)*AI2271)+(U2271+X2271+AG2271+AH2271))*1.08</f>
        <v>3794.977248929928</v>
      </c>
      <c r="AM2271" s="750"/>
      <c r="AN2271" s="750"/>
      <c r="AO2271" s="750"/>
      <c r="AP2271" s="750"/>
      <c r="AQ2271" s="750"/>
      <c r="AR2271" s="750"/>
      <c r="AS2271" s="750">
        <f t="shared" si="655"/>
        <v>3641.0563449131969</v>
      </c>
      <c r="AT2271" s="750"/>
      <c r="AU2271" s="107"/>
    </row>
    <row r="2272" spans="13:47" s="29" customFormat="1" ht="16.5" customHeight="1" x14ac:dyDescent="0.25">
      <c r="M2272" s="750" t="s">
        <v>463</v>
      </c>
      <c r="N2272" s="750">
        <f>Y18+Y12</f>
        <v>309.89999999999998</v>
      </c>
      <c r="O2272" s="750" t="str">
        <f>X12</f>
        <v>g</v>
      </c>
      <c r="P2272" s="750">
        <v>30</v>
      </c>
      <c r="Q2272" s="750">
        <f t="shared" si="631"/>
        <v>9297</v>
      </c>
      <c r="R2272" s="750">
        <v>0</v>
      </c>
      <c r="S2272" s="750">
        <f t="shared" si="635"/>
        <v>0</v>
      </c>
      <c r="T2272" s="750">
        <f t="shared" si="636"/>
        <v>30</v>
      </c>
      <c r="U2272" s="750">
        <f t="shared" si="657"/>
        <v>9297</v>
      </c>
      <c r="V2272" s="577" t="s">
        <v>1963</v>
      </c>
      <c r="W2272" s="577" t="s">
        <v>1963</v>
      </c>
      <c r="X2272" s="577" t="s">
        <v>1963</v>
      </c>
      <c r="Y2272" s="577" t="s">
        <v>1963</v>
      </c>
      <c r="Z2272" s="577" t="s">
        <v>1963</v>
      </c>
      <c r="AA2272" s="577" t="s">
        <v>1963</v>
      </c>
      <c r="AB2272" s="577" t="s">
        <v>1963</v>
      </c>
      <c r="AC2272" s="577" t="s">
        <v>1963</v>
      </c>
      <c r="AD2272" s="577" t="s">
        <v>1963</v>
      </c>
      <c r="AE2272" s="577" t="s">
        <v>1963</v>
      </c>
      <c r="AF2272" s="577" t="s">
        <v>1963</v>
      </c>
      <c r="AG2272" s="750">
        <f t="shared" si="638"/>
        <v>18.899999999999999</v>
      </c>
      <c r="AH2272" s="750">
        <f t="shared" si="632"/>
        <v>1547.3435977313275</v>
      </c>
      <c r="AI2272" s="750">
        <v>0.6</v>
      </c>
      <c r="AJ2272" s="750"/>
      <c r="AK2272" s="750"/>
      <c r="AL2272" s="750"/>
      <c r="AM2272" s="750"/>
      <c r="AN2272" s="750"/>
      <c r="AO2272" s="750"/>
      <c r="AP2272" s="750"/>
      <c r="AQ2272" s="750"/>
      <c r="AR2272" s="750"/>
      <c r="AS2272" s="750"/>
      <c r="AT2272" s="750"/>
      <c r="AU2272" s="30"/>
    </row>
    <row r="2273" spans="3:59" s="29" customFormat="1" ht="16.5" customHeight="1" x14ac:dyDescent="0.25">
      <c r="M2273" s="750"/>
      <c r="N2273" s="750"/>
      <c r="O2273" s="750"/>
      <c r="P2273" s="750"/>
      <c r="Q2273" s="750"/>
      <c r="R2273" s="750"/>
      <c r="S2273" s="750"/>
      <c r="T2273" s="750"/>
      <c r="U2273" s="750"/>
      <c r="V2273" s="750"/>
      <c r="W2273" s="750"/>
      <c r="X2273" s="750"/>
      <c r="Y2273" s="750"/>
      <c r="Z2273" s="750"/>
      <c r="AA2273" s="750"/>
      <c r="AB2273" s="750"/>
      <c r="AC2273" s="750"/>
      <c r="AD2273" s="750"/>
      <c r="AE2273" s="750"/>
      <c r="AF2273" s="750"/>
      <c r="AG2273" s="750"/>
      <c r="AH2273" s="750"/>
      <c r="AI2273" s="750"/>
      <c r="AJ2273" s="750"/>
      <c r="AK2273" s="750"/>
      <c r="AL2273" s="750"/>
      <c r="AM2273" s="750"/>
      <c r="AN2273" s="750"/>
      <c r="AO2273" s="750"/>
      <c r="AP2273" s="750"/>
      <c r="AQ2273" s="750"/>
      <c r="AR2273" s="750"/>
      <c r="AS2273" s="750"/>
      <c r="AT2273" s="750"/>
    </row>
    <row r="2274" spans="3:59" s="29" customFormat="1" ht="16.5" customHeight="1" x14ac:dyDescent="0.25">
      <c r="M2274" s="750" t="s">
        <v>337</v>
      </c>
      <c r="N2274" s="750">
        <f>SUM(N2247:N2272)</f>
        <v>858.13299999999992</v>
      </c>
      <c r="O2274" s="750"/>
      <c r="P2274" s="750">
        <f>SUM(P2247:P2272)</f>
        <v>1715</v>
      </c>
      <c r="Q2274" s="750">
        <f>SUM(Q2247:Q2272)</f>
        <v>47382.14</v>
      </c>
      <c r="R2274" s="750"/>
      <c r="S2274" s="750"/>
      <c r="T2274" s="750"/>
      <c r="U2274" s="750">
        <f>SUM(U2247:U2273)</f>
        <v>59152.658000000003</v>
      </c>
      <c r="V2274" s="750"/>
      <c r="W2274" s="750"/>
      <c r="X2274" s="750"/>
      <c r="Y2274" s="750"/>
      <c r="Z2274" s="750"/>
      <c r="AA2274" s="750"/>
      <c r="AB2274" s="750"/>
      <c r="AC2274" s="750"/>
      <c r="AD2274" s="750"/>
      <c r="AE2274" s="750"/>
      <c r="AF2274" s="750"/>
      <c r="AG2274" s="750"/>
      <c r="AH2274" s="750"/>
      <c r="AI2274" s="750"/>
      <c r="AJ2274" s="750"/>
      <c r="AK2274" s="750"/>
      <c r="AL2274" s="750"/>
      <c r="AM2274" s="750"/>
      <c r="AN2274" s="750"/>
      <c r="AO2274" s="750"/>
      <c r="AP2274" s="750"/>
      <c r="AQ2274" s="750"/>
      <c r="AR2274" s="750"/>
      <c r="AS2274" s="750"/>
      <c r="AT2274" s="750"/>
    </row>
    <row r="2275" spans="3:59" s="29" customFormat="1" ht="16.5" customHeight="1" x14ac:dyDescent="0.25">
      <c r="M2275" s="578"/>
      <c r="N2275" s="578"/>
      <c r="O2275" s="578"/>
      <c r="P2275" s="578"/>
      <c r="Q2275" s="578"/>
      <c r="R2275" s="578"/>
      <c r="S2275" s="578"/>
      <c r="T2275" s="578"/>
      <c r="U2275" s="578"/>
      <c r="V2275" s="578"/>
      <c r="W2275" s="578"/>
      <c r="X2275" s="578"/>
      <c r="Y2275" s="578"/>
      <c r="Z2275" s="578"/>
      <c r="AA2275" s="578"/>
      <c r="AB2275" s="578"/>
      <c r="AC2275" s="578"/>
      <c r="AD2275" s="578"/>
      <c r="AE2275" s="578"/>
      <c r="AF2275" s="578"/>
      <c r="AG2275" s="578"/>
      <c r="AH2275" s="578"/>
      <c r="AI2275" s="578"/>
      <c r="AJ2275" s="578"/>
      <c r="AK2275" s="578"/>
      <c r="AL2275" s="578"/>
      <c r="AM2275" s="578"/>
      <c r="AN2275" s="578"/>
      <c r="AO2275" s="578"/>
      <c r="AP2275" s="578"/>
      <c r="AQ2275" s="578"/>
      <c r="AR2275" s="578"/>
      <c r="AS2275" s="578"/>
      <c r="AT2275" s="578"/>
    </row>
    <row r="2276" spans="3:59" s="29" customFormat="1" ht="16.5" customHeight="1" x14ac:dyDescent="0.25">
      <c r="M2276" s="578"/>
      <c r="N2276" s="578"/>
      <c r="O2276" s="578"/>
      <c r="P2276" s="578"/>
      <c r="Q2276" s="578"/>
      <c r="R2276" s="578"/>
      <c r="S2276" s="578"/>
      <c r="T2276" s="578"/>
      <c r="U2276" s="578"/>
      <c r="V2276" s="578"/>
      <c r="W2276" s="578"/>
      <c r="X2276" s="578"/>
      <c r="Y2276" s="578"/>
      <c r="Z2276" s="578"/>
      <c r="AA2276" s="578"/>
      <c r="AB2276" s="578"/>
      <c r="AC2276" s="578"/>
      <c r="AD2276" s="578"/>
      <c r="AE2276" s="578"/>
      <c r="AF2276" s="578"/>
      <c r="AG2276" s="578"/>
      <c r="AH2276" s="578"/>
      <c r="AI2276" s="578"/>
      <c r="AJ2276" s="578"/>
      <c r="AK2276" s="578"/>
      <c r="AL2276" s="578"/>
      <c r="AM2276" s="578"/>
      <c r="AN2276" s="578"/>
      <c r="AO2276" s="578"/>
      <c r="AP2276" s="578"/>
      <c r="AQ2276" s="578"/>
      <c r="AR2276" s="578"/>
      <c r="AS2276" s="578"/>
      <c r="AT2276" s="578"/>
    </row>
    <row r="2277" spans="3:59" s="29" customFormat="1" ht="16.5" customHeight="1" x14ac:dyDescent="0.25">
      <c r="M2277" s="578"/>
      <c r="N2277" s="578"/>
      <c r="O2277" s="578"/>
      <c r="P2277" s="578"/>
      <c r="Q2277" s="578"/>
      <c r="R2277" s="578"/>
      <c r="S2277" s="578"/>
      <c r="T2277" s="578"/>
      <c r="U2277" s="578"/>
      <c r="V2277" s="578"/>
      <c r="W2277" s="578"/>
      <c r="X2277" s="578"/>
      <c r="Y2277" s="578"/>
      <c r="Z2277" s="578"/>
      <c r="AA2277" s="578"/>
      <c r="AB2277" s="578"/>
      <c r="AC2277" s="578"/>
      <c r="AD2277" s="578"/>
      <c r="AE2277" s="578"/>
      <c r="AF2277" s="578"/>
      <c r="AG2277" s="578"/>
      <c r="AH2277" s="578"/>
      <c r="AI2277" s="578"/>
      <c r="AJ2277" s="578"/>
      <c r="AK2277" s="578"/>
      <c r="AL2277" s="578"/>
      <c r="AM2277" s="578"/>
      <c r="AN2277" s="578"/>
      <c r="AO2277" s="578"/>
      <c r="AP2277" s="578"/>
      <c r="AQ2277" s="578"/>
      <c r="AR2277" s="578"/>
      <c r="AS2277" s="578"/>
      <c r="AT2277" s="578"/>
    </row>
    <row r="2278" spans="3:59" s="29" customFormat="1" ht="16.5" customHeight="1" x14ac:dyDescent="0.25">
      <c r="C2278" s="117" t="s">
        <v>357</v>
      </c>
      <c r="D2278" s="117" t="s">
        <v>358</v>
      </c>
      <c r="E2278" s="115" t="s">
        <v>359</v>
      </c>
      <c r="F2278" s="115" t="s">
        <v>360</v>
      </c>
      <c r="G2278" s="115" t="s">
        <v>361</v>
      </c>
      <c r="M2278" s="750" t="s">
        <v>336</v>
      </c>
      <c r="N2278" s="750" t="s">
        <v>174</v>
      </c>
      <c r="O2278" s="750" t="s">
        <v>248</v>
      </c>
      <c r="P2278" s="750" t="s">
        <v>176</v>
      </c>
      <c r="Q2278" s="750" t="s">
        <v>337</v>
      </c>
      <c r="R2278" s="750" t="s">
        <v>1641</v>
      </c>
      <c r="S2278" s="750" t="s">
        <v>1642</v>
      </c>
      <c r="T2278" s="750" t="s">
        <v>1643</v>
      </c>
      <c r="U2278" s="750" t="s">
        <v>1644</v>
      </c>
      <c r="V2278" s="750" t="s">
        <v>1919</v>
      </c>
      <c r="W2278" s="750" t="s">
        <v>1920</v>
      </c>
      <c r="X2278" s="750" t="s">
        <v>1921</v>
      </c>
      <c r="Y2278" s="750" t="s">
        <v>1922</v>
      </c>
      <c r="Z2278" s="750" t="s">
        <v>1924</v>
      </c>
      <c r="AA2278" s="750" t="s">
        <v>1923</v>
      </c>
      <c r="AB2278" s="750" t="s">
        <v>1925</v>
      </c>
      <c r="AC2278" s="750" t="s">
        <v>1926</v>
      </c>
      <c r="AD2278" s="750" t="s">
        <v>1927</v>
      </c>
      <c r="AE2278" s="750" t="s">
        <v>1928</v>
      </c>
      <c r="AF2278" s="750" t="s">
        <v>1929</v>
      </c>
      <c r="AG2278" s="750" t="s">
        <v>1872</v>
      </c>
      <c r="AH2278" s="750" t="s">
        <v>1873</v>
      </c>
      <c r="AI2278" s="750" t="s">
        <v>1780</v>
      </c>
      <c r="AJ2278" s="750" t="s">
        <v>2035</v>
      </c>
      <c r="AK2278" s="750" t="s">
        <v>2036</v>
      </c>
      <c r="AL2278" s="750" t="s">
        <v>2037</v>
      </c>
      <c r="AM2278" s="750" t="s">
        <v>2038</v>
      </c>
      <c r="AN2278" s="750" t="s">
        <v>2039</v>
      </c>
      <c r="AO2278" s="750" t="s">
        <v>2040</v>
      </c>
      <c r="AP2278" s="750" t="s">
        <v>2041</v>
      </c>
      <c r="AQ2278" s="750" t="s">
        <v>2042</v>
      </c>
      <c r="AR2278" s="750" t="s">
        <v>2043</v>
      </c>
      <c r="AS2278" s="750" t="s">
        <v>2045</v>
      </c>
      <c r="AT2278" s="750" t="s">
        <v>2044</v>
      </c>
    </row>
    <row r="2279" spans="3:59" s="29" customFormat="1" ht="38.25" x14ac:dyDescent="0.25">
      <c r="C2279" s="1002" t="s">
        <v>362</v>
      </c>
      <c r="D2279" s="116" t="s">
        <v>382</v>
      </c>
      <c r="E2279" s="116" t="s">
        <v>1051</v>
      </c>
      <c r="F2279" s="116" t="s">
        <v>364</v>
      </c>
      <c r="G2279" s="116" t="s">
        <v>365</v>
      </c>
      <c r="M2279" s="750" t="s">
        <v>344</v>
      </c>
      <c r="N2279" s="750"/>
      <c r="O2279" s="750" t="s">
        <v>342</v>
      </c>
      <c r="P2279" s="750">
        <v>100</v>
      </c>
      <c r="Q2279" s="750">
        <f t="shared" ref="Q2279:Q2307" si="658">N2279*P2279</f>
        <v>0</v>
      </c>
      <c r="R2279" s="750">
        <v>0</v>
      </c>
      <c r="S2279" s="750">
        <f>P2279*R2279</f>
        <v>0</v>
      </c>
      <c r="T2279" s="750">
        <f>P2279-S2279</f>
        <v>100</v>
      </c>
      <c r="U2279" s="750">
        <f>Q2279+((S2279*Q2279)/P2279)</f>
        <v>0</v>
      </c>
      <c r="V2279" s="750"/>
      <c r="W2279" s="750"/>
      <c r="X2279" s="750"/>
      <c r="Y2279" s="750"/>
      <c r="Z2279" s="750"/>
      <c r="AA2279" s="750"/>
      <c r="AB2279" s="750"/>
      <c r="AC2279" s="750"/>
      <c r="AD2279" s="750"/>
      <c r="AE2279" s="750"/>
      <c r="AF2279" s="750"/>
      <c r="AG2279" s="750">
        <f>$AO$27/4</f>
        <v>18.899999999999999</v>
      </c>
      <c r="AH2279" s="750">
        <f t="shared" ref="AH2279:AH2307" si="659">$AO$29</f>
        <v>1547.3435977313275</v>
      </c>
      <c r="AI2279" s="750">
        <v>0.6</v>
      </c>
      <c r="AJ2279" s="750">
        <f>(((U2279+V2279+AG2279+AH2279)*AI2279)+(U2279+V2279+AG2279+AH2279))*1.08</f>
        <v>2706.4689368797344</v>
      </c>
      <c r="AK2279" s="750">
        <f>(((U2279+W2279+AG2279+AH2279)*AI2279)+(U2279+W2279+AG2279+AH2279))*1.08</f>
        <v>2706.4689368797344</v>
      </c>
      <c r="AL2279" s="750">
        <f>(((U2279+X2279+AG2279+AH2279)*AI2279)+(U2279+X2279+AG2279+AH2279))*1.08</f>
        <v>2706.4689368797344</v>
      </c>
      <c r="AM2279" s="750">
        <f t="shared" ref="AM2279:AM2284" si="660">(((U2279+Y2279+AG2279+AH2279)*AI2279)+(U2279+Y2279+AG2279+AH2279))*1.08</f>
        <v>2706.4689368797344</v>
      </c>
      <c r="AN2279" s="750">
        <f t="shared" ref="AN2279:AN2285" si="661">(((U2279+Z2279+AG2279+AH2279)*AI2279)+(U2279+Z2279+AG2279+AH2279))*1.08</f>
        <v>2706.4689368797344</v>
      </c>
      <c r="AO2279" s="750">
        <f>(((U2279+AA2279+AG2279+AH2279)*AI2279)+(U2279+AA2279+AG2279+AH2279))*1.08</f>
        <v>2706.4689368797344</v>
      </c>
      <c r="AP2279" s="750">
        <f>(((U2279+AB2279+AG2279+AH2279)*AI2279)+(U2279+AB2279+AG2279+AH2279))*1.08</f>
        <v>2706.4689368797344</v>
      </c>
      <c r="AQ2279" s="750">
        <f>(((U2279+AC2279+AG2279+AH2279)*AI2279)+(U2279+AC2279+AG2279+AH2279))*1.08</f>
        <v>2706.4689368797344</v>
      </c>
      <c r="AR2279" s="750">
        <f>(((U2279+AD2279+AG2279+AH2279)*AI2279)+(U2279+AD2279+AG2279+AH2279))*1.08</f>
        <v>2706.4689368797344</v>
      </c>
      <c r="AS2279" s="750">
        <f>(((U2279+AE2279+AG2279+AH2279)*AI2279)+(U2279+AE2279+AG2279+AH2279))*1.08</f>
        <v>2706.4689368797344</v>
      </c>
      <c r="AT2279" s="750">
        <f>(((U2279+AF2279+AG2279+AH2279)*AI2279)+(U2279+AF2279+AG2279+AH2279))*1.08</f>
        <v>2706.4689368797344</v>
      </c>
    </row>
    <row r="2280" spans="3:59" s="29" customFormat="1" ht="38.25" x14ac:dyDescent="0.25">
      <c r="C2280" s="1002"/>
      <c r="D2280" s="116" t="s">
        <v>366</v>
      </c>
      <c r="E2280" s="116" t="s">
        <v>1052</v>
      </c>
      <c r="F2280" s="116" t="s">
        <v>364</v>
      </c>
      <c r="G2280" s="116" t="s">
        <v>365</v>
      </c>
      <c r="M2280" s="750" t="s">
        <v>359</v>
      </c>
      <c r="N2280" s="750"/>
      <c r="O2280" s="750" t="s">
        <v>342</v>
      </c>
      <c r="P2280" s="750">
        <v>120</v>
      </c>
      <c r="Q2280" s="750">
        <f t="shared" si="658"/>
        <v>0</v>
      </c>
      <c r="R2280" s="750">
        <v>0</v>
      </c>
      <c r="S2280" s="750">
        <f t="shared" ref="S2280:S2307" si="662">P2280*R2280</f>
        <v>0</v>
      </c>
      <c r="T2280" s="750">
        <f t="shared" ref="T2280:T2307" si="663">P2280-S2280</f>
        <v>120</v>
      </c>
      <c r="U2280" s="750">
        <f t="shared" ref="U2280:U2301" si="664">Q2280+((S2280*Q2280)/P2280)</f>
        <v>0</v>
      </c>
      <c r="V2280" s="750"/>
      <c r="W2280" s="750"/>
      <c r="X2280" s="750"/>
      <c r="Y2280" s="750"/>
      <c r="Z2280" s="750"/>
      <c r="AA2280" s="750"/>
      <c r="AB2280" s="750"/>
      <c r="AC2280" s="750"/>
      <c r="AD2280" s="750"/>
      <c r="AE2280" s="750"/>
      <c r="AF2280" s="750"/>
      <c r="AG2280" s="750">
        <f t="shared" ref="AG2280:AG2307" si="665">$AO$27/4</f>
        <v>18.899999999999999</v>
      </c>
      <c r="AH2280" s="750">
        <f t="shared" si="659"/>
        <v>1547.3435977313275</v>
      </c>
      <c r="AI2280" s="750">
        <v>0.6</v>
      </c>
      <c r="AJ2280" s="750">
        <f>(((U2280+V2280+AG2280+AH2280)*AI2280)+(U2280+V2280+AG2280+AH2280))*1.08</f>
        <v>2706.4689368797344</v>
      </c>
      <c r="AK2280" s="750">
        <f>(((U2280+W2280+AG2280+AH2280)*AI2280)+(U2280+W2280+AG2280+AH2280))*1.08</f>
        <v>2706.4689368797344</v>
      </c>
      <c r="AL2280" s="750">
        <f>(((U2280+X2280+AG2280+AH2280)*AI2280)+(U2280+X2280+AG2280+AH2280))*1.08</f>
        <v>2706.4689368797344</v>
      </c>
      <c r="AM2280" s="750">
        <f t="shared" si="660"/>
        <v>2706.4689368797344</v>
      </c>
      <c r="AN2280" s="750">
        <f t="shared" si="661"/>
        <v>2706.4689368797344</v>
      </c>
      <c r="AO2280" s="750">
        <f>(((U2280+AA2280+AG2280+AH2280)*AI2280)+(U2280+AA2280+AG2280+AH2280))*1.08</f>
        <v>2706.4689368797344</v>
      </c>
      <c r="AP2280" s="750">
        <f>(((U2280+AB2280+AG2280+AH2280)*AI2280)+(U2280+AB2280+AG2280+AH2280))*1.08</f>
        <v>2706.4689368797344</v>
      </c>
      <c r="AQ2280" s="750">
        <f>(((U2280+AC2280+AG2280+AH2280)*AI2280)+(U2280+AC2280+AG2280+AH2280))*1.08</f>
        <v>2706.4689368797344</v>
      </c>
      <c r="AR2280" s="750">
        <f>(((U2280+AD2280+AG2280+AH2280)*AI2280)+(U2280+AD2280+AG2280+AH2280))*1.08</f>
        <v>2706.4689368797344</v>
      </c>
      <c r="AS2280" s="750">
        <f>(((U2280+AE2280+AG2280+AH2280)*AI2280)+(U2280+AE2280+AG2280+AH2280))*1.08</f>
        <v>2706.4689368797344</v>
      </c>
      <c r="AT2280" s="750">
        <f>(((U2280+AF2280+AG2280+AH2280)*AI2280)+(U2280+AF2280+AG2280+AH2280))*1.08</f>
        <v>2706.4689368797344</v>
      </c>
      <c r="AU2280" s="30"/>
    </row>
    <row r="2281" spans="3:59" s="29" customFormat="1" ht="63.75" x14ac:dyDescent="0.25">
      <c r="C2281" s="1002" t="s">
        <v>367</v>
      </c>
      <c r="D2281" s="116" t="s">
        <v>374</v>
      </c>
      <c r="E2281" s="116" t="s">
        <v>1053</v>
      </c>
      <c r="F2281" s="116" t="s">
        <v>383</v>
      </c>
      <c r="G2281" s="116" t="s">
        <v>1054</v>
      </c>
      <c r="M2281" s="750" t="s">
        <v>427</v>
      </c>
      <c r="N2281" s="750">
        <f>S8</f>
        <v>59</v>
      </c>
      <c r="O2281" s="750" t="str">
        <f>R8</f>
        <v>g</v>
      </c>
      <c r="P2281" s="750">
        <v>80</v>
      </c>
      <c r="Q2281" s="750">
        <f t="shared" si="658"/>
        <v>4720</v>
      </c>
      <c r="R2281" s="750">
        <f>AN4</f>
        <v>0.41</v>
      </c>
      <c r="S2281" s="750">
        <f t="shared" si="662"/>
        <v>32.799999999999997</v>
      </c>
      <c r="T2281" s="750">
        <f t="shared" si="663"/>
        <v>47.2</v>
      </c>
      <c r="U2281" s="750">
        <f t="shared" si="664"/>
        <v>6655.2</v>
      </c>
      <c r="V2281" s="577">
        <f>$AR$8</f>
        <v>267.22379169571428</v>
      </c>
      <c r="W2281" s="577">
        <f>$AR$9</f>
        <v>178.14919446380952</v>
      </c>
      <c r="X2281" s="577">
        <f>$AR$10</f>
        <v>267.22379169571428</v>
      </c>
      <c r="Y2281" s="577">
        <f>$AR$11</f>
        <v>267.22379169571428</v>
      </c>
      <c r="Z2281" s="577">
        <f>$AR$12</f>
        <v>267.22379169571428</v>
      </c>
      <c r="AA2281" s="577">
        <f>$AR$13</f>
        <v>178.14919446380952</v>
      </c>
      <c r="AB2281" s="577">
        <f>$AR$14</f>
        <v>178.14919446380952</v>
      </c>
      <c r="AC2281" s="577">
        <f>$AR$15</f>
        <v>267.22379169571428</v>
      </c>
      <c r="AD2281" s="577" t="s">
        <v>1963</v>
      </c>
      <c r="AE2281" s="577" t="s">
        <v>1963</v>
      </c>
      <c r="AF2281" s="577" t="s">
        <v>1963</v>
      </c>
      <c r="AG2281" s="750">
        <f t="shared" si="665"/>
        <v>18.899999999999999</v>
      </c>
      <c r="AH2281" s="750">
        <f t="shared" si="659"/>
        <v>1547.3435977313275</v>
      </c>
      <c r="AI2281" s="750">
        <v>0.6</v>
      </c>
      <c r="AJ2281" s="750">
        <f>(((U2281+V2281+AG2281+AH2281)*AI2281)+(U2281+V2281+AG2281+AH2281))*1.08</f>
        <v>14668.417248929929</v>
      </c>
      <c r="AK2281" s="750">
        <f>(((U2281+W2281+AG2281+AH2281)*AI2281)+(U2281+W2281+AG2281+AH2281))*1.08</f>
        <v>14514.496344913199</v>
      </c>
      <c r="AL2281" s="750">
        <f>(((U2281+X2281+AG2281+AH2281)*AI2281)+(U2281+X2281+AG2281+AH2281))*1.08</f>
        <v>14668.417248929929</v>
      </c>
      <c r="AM2281" s="750">
        <f t="shared" si="660"/>
        <v>14668.417248929929</v>
      </c>
      <c r="AN2281" s="750">
        <f t="shared" si="661"/>
        <v>14668.417248929929</v>
      </c>
      <c r="AO2281" s="750">
        <f>(((U2281+AA2281+AG2281+AH2281)*AI2281)+(U2281+AA2281+AG2281+AH2281))*1.08</f>
        <v>14514.496344913199</v>
      </c>
      <c r="AP2281" s="750">
        <f>(((U2281+AB2281+AG2281+AH2281)*AI2281)+(U2281+AB2281+AG2281+AH2281))*1.08</f>
        <v>14514.496344913199</v>
      </c>
      <c r="AQ2281" s="750">
        <f>(((U2281+AC2281+AG2281+AH2281)*AI2281)+(U2281+AC2281+AG2281+AH2281))*1.08</f>
        <v>14668.417248929929</v>
      </c>
      <c r="AR2281" s="750"/>
      <c r="AS2281" s="750"/>
      <c r="AT2281" s="750"/>
      <c r="AU2281" s="107"/>
    </row>
    <row r="2282" spans="3:59" s="29" customFormat="1" ht="16.5" customHeight="1" x14ac:dyDescent="0.25">
      <c r="C2282" s="1002"/>
      <c r="D2282" s="116" t="s">
        <v>369</v>
      </c>
      <c r="E2282" s="116" t="s">
        <v>1055</v>
      </c>
      <c r="F2282" s="116" t="s">
        <v>1056</v>
      </c>
      <c r="G2282" s="116" t="s">
        <v>1057</v>
      </c>
      <c r="M2282" s="750" t="s">
        <v>484</v>
      </c>
      <c r="N2282" s="750">
        <f>S7</f>
        <v>54</v>
      </c>
      <c r="O2282" s="750" t="str">
        <f>R7</f>
        <v>g</v>
      </c>
      <c r="P2282" s="750">
        <v>80</v>
      </c>
      <c r="Q2282" s="750">
        <f t="shared" si="658"/>
        <v>4320</v>
      </c>
      <c r="R2282" s="750">
        <f>AN2</f>
        <v>0.33</v>
      </c>
      <c r="S2282" s="750">
        <f t="shared" si="662"/>
        <v>26.400000000000002</v>
      </c>
      <c r="T2282" s="750">
        <f t="shared" si="663"/>
        <v>53.599999999999994</v>
      </c>
      <c r="U2282" s="750">
        <f t="shared" si="664"/>
        <v>5745.6</v>
      </c>
      <c r="V2282" s="577" t="s">
        <v>1963</v>
      </c>
      <c r="W2282" s="577" t="s">
        <v>1963</v>
      </c>
      <c r="X2282" s="577" t="s">
        <v>1963</v>
      </c>
      <c r="Y2282" s="577">
        <f t="shared" ref="Y2282:Y2284" si="666">$AR$11</f>
        <v>267.22379169571428</v>
      </c>
      <c r="Z2282" s="577">
        <f t="shared" ref="Z2282:Z2285" si="667">$AR$12</f>
        <v>267.22379169571428</v>
      </c>
      <c r="AA2282" s="577">
        <f t="shared" ref="AA2282:AA2283" si="668">$AR$13</f>
        <v>178.14919446380952</v>
      </c>
      <c r="AB2282" s="577">
        <f t="shared" ref="AB2282:AB2283" si="669">$AR$14</f>
        <v>178.14919446380952</v>
      </c>
      <c r="AC2282" s="577" t="s">
        <v>1963</v>
      </c>
      <c r="AD2282" s="577" t="s">
        <v>1963</v>
      </c>
      <c r="AE2282" s="577" t="s">
        <v>1963</v>
      </c>
      <c r="AF2282" s="577">
        <f>AR18</f>
        <v>178.14919446380952</v>
      </c>
      <c r="AG2282" s="750">
        <f t="shared" si="665"/>
        <v>18.899999999999999</v>
      </c>
      <c r="AH2282" s="750">
        <f t="shared" si="659"/>
        <v>1547.3435977313275</v>
      </c>
      <c r="AI2282" s="750">
        <v>0.6</v>
      </c>
      <c r="AJ2282" s="750"/>
      <c r="AK2282" s="750"/>
      <c r="AL2282" s="750"/>
      <c r="AM2282" s="750">
        <f t="shared" si="660"/>
        <v>13096.628448929929</v>
      </c>
      <c r="AN2282" s="750">
        <f t="shared" si="661"/>
        <v>13096.628448929929</v>
      </c>
      <c r="AO2282" s="750">
        <f>(((U2282+AA2282+AG2282+AH2282)*AI2282)+(U2282+AA2282+AG2282+AH2282))*1.08</f>
        <v>12942.707544913197</v>
      </c>
      <c r="AP2282" s="750">
        <f>(((U2282+AB2282+AG2282+AH2282)*AI2282)+(U2282+AB2282+AG2282+AH2282))*1.08</f>
        <v>12942.707544913197</v>
      </c>
      <c r="AQ2282" s="750"/>
      <c r="AR2282" s="750"/>
      <c r="AS2282" s="750"/>
      <c r="AT2282" s="750">
        <f>(((U2282+AF2282+AG2282+AH2282)*AI2282)+(U2282+AF2282+AG2282+AH2282))*1.08</f>
        <v>12942.707544913197</v>
      </c>
      <c r="AU2282" s="107"/>
    </row>
    <row r="2283" spans="3:59" s="29" customFormat="1" ht="25.5" customHeight="1" x14ac:dyDescent="0.25">
      <c r="C2283" s="1002" t="s">
        <v>370</v>
      </c>
      <c r="D2283" s="116" t="s">
        <v>381</v>
      </c>
      <c r="E2283" s="116" t="s">
        <v>1058</v>
      </c>
      <c r="F2283" s="116" t="s">
        <v>807</v>
      </c>
      <c r="G2283" s="116" t="s">
        <v>1059</v>
      </c>
      <c r="M2283" s="750" t="s">
        <v>349</v>
      </c>
      <c r="N2283" s="750">
        <f>S15</f>
        <v>41</v>
      </c>
      <c r="O2283" s="750" t="str">
        <f>R15</f>
        <v>g</v>
      </c>
      <c r="P2283" s="750">
        <v>80</v>
      </c>
      <c r="Q2283" s="750">
        <f t="shared" si="658"/>
        <v>3280</v>
      </c>
      <c r="R2283" s="750">
        <f>AN3</f>
        <v>0.47</v>
      </c>
      <c r="S2283" s="750">
        <f t="shared" si="662"/>
        <v>37.599999999999994</v>
      </c>
      <c r="T2283" s="750">
        <f t="shared" si="663"/>
        <v>42.400000000000006</v>
      </c>
      <c r="U2283" s="750">
        <f t="shared" si="664"/>
        <v>4821.6000000000004</v>
      </c>
      <c r="V2283" s="577">
        <f t="shared" ref="V2283" si="670">$AR$8</f>
        <v>267.22379169571428</v>
      </c>
      <c r="W2283" s="577">
        <f t="shared" ref="W2283" si="671">$AR$9</f>
        <v>178.14919446380952</v>
      </c>
      <c r="X2283" s="577">
        <f t="shared" ref="X2283" si="672">$AR$10</f>
        <v>267.22379169571428</v>
      </c>
      <c r="Y2283" s="577">
        <f t="shared" si="666"/>
        <v>267.22379169571428</v>
      </c>
      <c r="Z2283" s="577">
        <f t="shared" si="667"/>
        <v>267.22379169571428</v>
      </c>
      <c r="AA2283" s="577">
        <f t="shared" si="668"/>
        <v>178.14919446380952</v>
      </c>
      <c r="AB2283" s="577">
        <f t="shared" si="669"/>
        <v>178.14919446380952</v>
      </c>
      <c r="AC2283" s="577">
        <f t="shared" ref="AC2283" si="673">$AR$15</f>
        <v>267.22379169571428</v>
      </c>
      <c r="AD2283" s="577" t="s">
        <v>1963</v>
      </c>
      <c r="AE2283" s="577" t="s">
        <v>1963</v>
      </c>
      <c r="AF2283" s="577" t="s">
        <v>1963</v>
      </c>
      <c r="AG2283" s="750">
        <f t="shared" si="665"/>
        <v>18.899999999999999</v>
      </c>
      <c r="AH2283" s="750">
        <f t="shared" si="659"/>
        <v>1547.3435977313275</v>
      </c>
      <c r="AI2283" s="750">
        <v>0.6</v>
      </c>
      <c r="AJ2283" s="750">
        <f>(((U2283+V2283+AG2283+AH2283)*AI2283)+(U2283+V2283+AG2283+AH2283))*1.08</f>
        <v>11499.95644892993</v>
      </c>
      <c r="AK2283" s="750">
        <f>(((U2283+W2283+AG2283+AH2283)*AI2283)+(U2283+W2283+AG2283+AH2283))*1.08</f>
        <v>11346.035544913197</v>
      </c>
      <c r="AL2283" s="750">
        <f>(((U2283+X2283+AG2283+AH2283)*AI2283)+(U2283+X2283+AG2283+AH2283))*1.08</f>
        <v>11499.95644892993</v>
      </c>
      <c r="AM2283" s="750">
        <f t="shared" si="660"/>
        <v>11499.95644892993</v>
      </c>
      <c r="AN2283" s="750">
        <f t="shared" si="661"/>
        <v>11499.95644892993</v>
      </c>
      <c r="AO2283" s="750">
        <f>(((U2283+AA2283+AG2283+AH2283)*AI2283)+(U2283+AA2283+AG2283+AH2283))*1.08</f>
        <v>11346.035544913197</v>
      </c>
      <c r="AP2283" s="750">
        <f>(((U2283+AB2283+AG2283+AH2283)*AI2283)+(U2283+AB2283+AG2283+AH2283))*1.08</f>
        <v>11346.035544913197</v>
      </c>
      <c r="AQ2283" s="750">
        <f>(((U2283+AC2283+AG2283+AH2283)*AI2283)+(U2283+AC2283+AG2283+AH2283))*1.08</f>
        <v>11499.95644892993</v>
      </c>
      <c r="AR2283" s="750"/>
      <c r="AS2283" s="750"/>
      <c r="AT2283" s="750"/>
      <c r="AU2283" s="107"/>
      <c r="AY2283" s="1053" t="s">
        <v>2127</v>
      </c>
      <c r="AZ2283" s="1054"/>
      <c r="BA2283" s="1054"/>
      <c r="BB2283" s="1054"/>
      <c r="BC2283" s="1054"/>
      <c r="BD2283" s="1054"/>
      <c r="BE2283" s="1054"/>
      <c r="BF2283" s="1054"/>
      <c r="BG2283" s="1055"/>
    </row>
    <row r="2284" spans="3:59" s="29" customFormat="1" ht="26.25" customHeight="1" x14ac:dyDescent="0.25">
      <c r="C2284" s="1002"/>
      <c r="D2284" s="116" t="s">
        <v>377</v>
      </c>
      <c r="E2284" s="116" t="s">
        <v>1060</v>
      </c>
      <c r="F2284" s="116" t="s">
        <v>1061</v>
      </c>
      <c r="G2284" s="116" t="s">
        <v>1062</v>
      </c>
      <c r="M2284" s="750" t="s">
        <v>458</v>
      </c>
      <c r="N2284" s="750">
        <f>S10</f>
        <v>32.46</v>
      </c>
      <c r="O2284" s="750" t="str">
        <f>R10</f>
        <v>g</v>
      </c>
      <c r="P2284" s="750">
        <v>80</v>
      </c>
      <c r="Q2284" s="750">
        <f t="shared" si="658"/>
        <v>2596.8000000000002</v>
      </c>
      <c r="R2284" s="750">
        <v>0</v>
      </c>
      <c r="S2284" s="750">
        <f t="shared" si="662"/>
        <v>0</v>
      </c>
      <c r="T2284" s="750">
        <f t="shared" si="663"/>
        <v>80</v>
      </c>
      <c r="U2284" s="750">
        <f t="shared" si="664"/>
        <v>2596.8000000000002</v>
      </c>
      <c r="V2284" s="577" t="s">
        <v>1963</v>
      </c>
      <c r="W2284" s="577" t="s">
        <v>1963</v>
      </c>
      <c r="X2284" s="577" t="s">
        <v>1963</v>
      </c>
      <c r="Y2284" s="577">
        <f t="shared" si="666"/>
        <v>267.22379169571428</v>
      </c>
      <c r="Z2284" s="577">
        <f t="shared" si="667"/>
        <v>267.22379169571428</v>
      </c>
      <c r="AA2284" s="577" t="s">
        <v>1963</v>
      </c>
      <c r="AB2284" s="577" t="s">
        <v>1963</v>
      </c>
      <c r="AC2284" s="577" t="s">
        <v>1963</v>
      </c>
      <c r="AD2284" s="577" t="s">
        <v>1963</v>
      </c>
      <c r="AE2284" s="577" t="s">
        <v>1963</v>
      </c>
      <c r="AF2284" s="577" t="s">
        <v>1963</v>
      </c>
      <c r="AG2284" s="750">
        <f t="shared" si="665"/>
        <v>18.899999999999999</v>
      </c>
      <c r="AH2284" s="750">
        <f t="shared" si="659"/>
        <v>1547.3435977313275</v>
      </c>
      <c r="AI2284" s="750">
        <v>0.6</v>
      </c>
      <c r="AJ2284" s="750"/>
      <c r="AK2284" s="750"/>
      <c r="AL2284" s="750"/>
      <c r="AM2284" s="750">
        <f t="shared" si="660"/>
        <v>7655.5020489299286</v>
      </c>
      <c r="AN2284" s="750">
        <f t="shared" si="661"/>
        <v>7655.5020489299286</v>
      </c>
      <c r="AO2284" s="750"/>
      <c r="AP2284" s="750"/>
      <c r="AQ2284" s="750"/>
      <c r="AR2284" s="750"/>
      <c r="AS2284" s="750"/>
      <c r="AT2284" s="750"/>
      <c r="AU2284" s="107"/>
      <c r="AY2284" s="739" t="s">
        <v>336</v>
      </c>
      <c r="AZ2284" s="739" t="s">
        <v>174</v>
      </c>
      <c r="BA2284" s="739" t="s">
        <v>248</v>
      </c>
      <c r="BB2284" s="739" t="s">
        <v>176</v>
      </c>
      <c r="BC2284" s="739" t="s">
        <v>337</v>
      </c>
      <c r="BD2284" s="739" t="s">
        <v>1641</v>
      </c>
      <c r="BE2284" s="739" t="s">
        <v>1642</v>
      </c>
      <c r="BF2284" s="739" t="s">
        <v>1643</v>
      </c>
      <c r="BG2284" s="739" t="s">
        <v>1644</v>
      </c>
    </row>
    <row r="2285" spans="3:59" s="29" customFormat="1" ht="39" customHeight="1" x14ac:dyDescent="0.25">
      <c r="M2285" s="750" t="s">
        <v>459</v>
      </c>
      <c r="N2285" s="750">
        <f>S6</f>
        <v>30</v>
      </c>
      <c r="O2285" s="750" t="str">
        <f>R6</f>
        <v>g</v>
      </c>
      <c r="P2285" s="750">
        <v>70</v>
      </c>
      <c r="Q2285" s="750">
        <f t="shared" si="658"/>
        <v>2100</v>
      </c>
      <c r="R2285" s="750">
        <f>AN6</f>
        <v>0</v>
      </c>
      <c r="S2285" s="750">
        <f t="shared" si="662"/>
        <v>0</v>
      </c>
      <c r="T2285" s="750">
        <f t="shared" si="663"/>
        <v>70</v>
      </c>
      <c r="U2285" s="750">
        <f t="shared" si="664"/>
        <v>2100</v>
      </c>
      <c r="V2285" s="577" t="s">
        <v>1963</v>
      </c>
      <c r="W2285" s="577">
        <f t="shared" ref="W2285" si="674">$AR$9</f>
        <v>178.14919446380952</v>
      </c>
      <c r="X2285" s="577" t="s">
        <v>1963</v>
      </c>
      <c r="Y2285" s="577" t="s">
        <v>1963</v>
      </c>
      <c r="Z2285" s="577">
        <f t="shared" si="667"/>
        <v>267.22379169571428</v>
      </c>
      <c r="AA2285" s="577" t="s">
        <v>1963</v>
      </c>
      <c r="AB2285" s="577" t="s">
        <v>1963</v>
      </c>
      <c r="AC2285" s="577" t="s">
        <v>1963</v>
      </c>
      <c r="AD2285" s="577" t="s">
        <v>1963</v>
      </c>
      <c r="AE2285" s="577" t="s">
        <v>1963</v>
      </c>
      <c r="AF2285" s="577">
        <f>AR18</f>
        <v>178.14919446380952</v>
      </c>
      <c r="AG2285" s="750">
        <f t="shared" si="665"/>
        <v>18.899999999999999</v>
      </c>
      <c r="AH2285" s="750">
        <f t="shared" si="659"/>
        <v>1547.3435977313275</v>
      </c>
      <c r="AI2285" s="750">
        <v>0.6</v>
      </c>
      <c r="AJ2285" s="750"/>
      <c r="AK2285" s="750">
        <f>(((U2285+W2285+AG2285+AH2285)*AI2285)+(U2285+W2285+AG2285+AH2285))*1.08</f>
        <v>6643.1107449131969</v>
      </c>
      <c r="AL2285" s="750"/>
      <c r="AM2285" s="750"/>
      <c r="AN2285" s="750">
        <f t="shared" si="661"/>
        <v>6797.0316489299285</v>
      </c>
      <c r="AO2285" s="750"/>
      <c r="AP2285" s="750"/>
      <c r="AQ2285" s="750"/>
      <c r="AR2285" s="750"/>
      <c r="AS2285" s="750"/>
      <c r="AT2285" s="750">
        <f>(((U2285+AF2285+AG2285+AH2285)*AI2285)+(U2285+AF2285+AG2285+AH2285))*1.08</f>
        <v>6643.1107449131969</v>
      </c>
      <c r="AU2285" s="107"/>
      <c r="AY2285" s="746" t="s">
        <v>2128</v>
      </c>
      <c r="AZ2285" s="749">
        <f>P18</f>
        <v>5</v>
      </c>
      <c r="BA2285" s="746" t="str">
        <f>O18</f>
        <v>g</v>
      </c>
      <c r="BB2285" s="746">
        <v>30</v>
      </c>
      <c r="BC2285" s="746">
        <f>AZ2285</f>
        <v>5</v>
      </c>
      <c r="BD2285" s="746">
        <f>AJ11</f>
        <v>0.23</v>
      </c>
      <c r="BE2285" s="746">
        <f>BB2285*BD2285</f>
        <v>6.9</v>
      </c>
      <c r="BF2285" s="746">
        <f>BB2285-BE2285</f>
        <v>23.1</v>
      </c>
      <c r="BG2285" s="746">
        <f>BC2285+((BE2285*BC2285)/BB2285)</f>
        <v>6.15</v>
      </c>
    </row>
    <row r="2286" spans="3:59" s="29" customFormat="1" ht="25.5" customHeight="1" x14ac:dyDescent="0.25">
      <c r="M2286" s="750" t="s">
        <v>808</v>
      </c>
      <c r="N2286" s="750">
        <f>S13</f>
        <v>53.54</v>
      </c>
      <c r="O2286" s="750" t="str">
        <f>R13</f>
        <v>g</v>
      </c>
      <c r="P2286" s="750">
        <v>80</v>
      </c>
      <c r="Q2286" s="750">
        <f t="shared" si="658"/>
        <v>4283.2</v>
      </c>
      <c r="R2286" s="750">
        <f>AN9</f>
        <v>0.52</v>
      </c>
      <c r="S2286" s="750">
        <f t="shared" si="662"/>
        <v>41.6</v>
      </c>
      <c r="T2286" s="750">
        <f t="shared" si="663"/>
        <v>38.4</v>
      </c>
      <c r="U2286" s="750">
        <f t="shared" si="664"/>
        <v>6510.4639999999999</v>
      </c>
      <c r="V2286" s="577" t="s">
        <v>1963</v>
      </c>
      <c r="W2286" s="577" t="s">
        <v>1963</v>
      </c>
      <c r="X2286" s="577" t="s">
        <v>1963</v>
      </c>
      <c r="Y2286" s="577">
        <f t="shared" ref="Y2286:Y2289" si="675">$AR$11</f>
        <v>267.22379169571428</v>
      </c>
      <c r="Z2286" s="577" t="s">
        <v>1963</v>
      </c>
      <c r="AA2286" s="577" t="s">
        <v>1963</v>
      </c>
      <c r="AB2286" s="577" t="s">
        <v>1963</v>
      </c>
      <c r="AC2286" s="577" t="s">
        <v>1963</v>
      </c>
      <c r="AD2286" s="577" t="s">
        <v>1963</v>
      </c>
      <c r="AE2286" s="577">
        <f t="shared" ref="AE2286:AE2306" si="676">$AR$17</f>
        <v>178.14919446380952</v>
      </c>
      <c r="AF2286" s="577" t="s">
        <v>1963</v>
      </c>
      <c r="AG2286" s="750">
        <f t="shared" si="665"/>
        <v>18.899999999999999</v>
      </c>
      <c r="AH2286" s="750">
        <f t="shared" si="659"/>
        <v>1547.3435977313275</v>
      </c>
      <c r="AI2286" s="750">
        <v>0.6</v>
      </c>
      <c r="AJ2286" s="750"/>
      <c r="AK2286" s="750"/>
      <c r="AL2286" s="750"/>
      <c r="AM2286" s="750">
        <f>(((U2286+Y2286+AG2286+AH2286)*AI2286)+(U2286+Y2286+AG2286+AH2286))*1.08</f>
        <v>14418.313440929929</v>
      </c>
      <c r="AN2286" s="750"/>
      <c r="AO2286" s="750"/>
      <c r="AP2286" s="750"/>
      <c r="AQ2286" s="750"/>
      <c r="AR2286" s="750"/>
      <c r="AS2286" s="750">
        <f>(((U2286+AE2286+AG2286+AH2286)*AI2286)+(U2286+AE2286+AG2286+AH2286))*1.08</f>
        <v>14264.392536913196</v>
      </c>
      <c r="AT2286" s="750"/>
      <c r="AU2286" s="107"/>
      <c r="AY2286" s="746" t="s">
        <v>433</v>
      </c>
      <c r="AZ2286" s="749">
        <f>Y18</f>
        <v>223.57</v>
      </c>
      <c r="BA2286" s="746" t="str">
        <f>X18</f>
        <v>g</v>
      </c>
      <c r="BB2286" s="746">
        <v>10</v>
      </c>
      <c r="BC2286" s="746">
        <f t="shared" ref="BC2286:BC2293" si="677">AZ2286*BB2286</f>
        <v>2235.6999999999998</v>
      </c>
      <c r="BD2286" s="746">
        <v>0</v>
      </c>
      <c r="BE2286" s="746">
        <f t="shared" ref="BE2286:BE2287" si="678">BB2286*BD2286</f>
        <v>0</v>
      </c>
      <c r="BF2286" s="746">
        <f t="shared" ref="BF2286:BF2293" si="679">BB2286-BE2286</f>
        <v>10</v>
      </c>
      <c r="BG2286" s="746">
        <f t="shared" ref="BG2286:BG2293" si="680">BC2286+((BE2286*BC2286)/BB2286)</f>
        <v>2235.6999999999998</v>
      </c>
    </row>
    <row r="2287" spans="3:59" s="29" customFormat="1" ht="26.25" customHeight="1" x14ac:dyDescent="0.25">
      <c r="M2287" s="750" t="s">
        <v>469</v>
      </c>
      <c r="N2287" s="750">
        <f>S17</f>
        <v>153.78</v>
      </c>
      <c r="O2287" s="750" t="str">
        <f>R17</f>
        <v>g</v>
      </c>
      <c r="P2287" s="750">
        <v>80</v>
      </c>
      <c r="Q2287" s="750">
        <f t="shared" si="658"/>
        <v>12302.4</v>
      </c>
      <c r="R2287" s="750">
        <f>AN9</f>
        <v>0.52</v>
      </c>
      <c r="S2287" s="750">
        <f t="shared" si="662"/>
        <v>41.6</v>
      </c>
      <c r="T2287" s="750">
        <f t="shared" si="663"/>
        <v>38.4</v>
      </c>
      <c r="U2287" s="750">
        <f t="shared" si="664"/>
        <v>18699.648000000001</v>
      </c>
      <c r="V2287" s="577" t="s">
        <v>1963</v>
      </c>
      <c r="W2287" s="577">
        <f t="shared" ref="W2287" si="681">$AR$9</f>
        <v>178.14919446380952</v>
      </c>
      <c r="X2287" s="577" t="s">
        <v>1963</v>
      </c>
      <c r="Y2287" s="577">
        <f t="shared" si="675"/>
        <v>267.22379169571428</v>
      </c>
      <c r="Z2287" s="577" t="s">
        <v>1963</v>
      </c>
      <c r="AA2287" s="577" t="s">
        <v>1963</v>
      </c>
      <c r="AB2287" s="577" t="s">
        <v>1963</v>
      </c>
      <c r="AC2287" s="577" t="s">
        <v>1963</v>
      </c>
      <c r="AD2287" s="577">
        <f t="shared" ref="AD2287" si="682">$AR$16</f>
        <v>178.14919446380952</v>
      </c>
      <c r="AE2287" s="577">
        <f t="shared" si="676"/>
        <v>178.14919446380952</v>
      </c>
      <c r="AF2287" s="577">
        <f t="shared" ref="AF2287" si="683">$AR$18</f>
        <v>178.14919446380952</v>
      </c>
      <c r="AG2287" s="750">
        <f t="shared" si="665"/>
        <v>18.899999999999999</v>
      </c>
      <c r="AH2287" s="750">
        <f t="shared" si="659"/>
        <v>1547.3435977313275</v>
      </c>
      <c r="AI2287" s="750">
        <v>0.6</v>
      </c>
      <c r="AJ2287" s="750"/>
      <c r="AK2287" s="750">
        <f>(((U2287+W2287+AG2287+AH2287)*AI2287)+(U2287+W2287+AG2287+AH2287))*1.08</f>
        <v>35327.302488913207</v>
      </c>
      <c r="AL2287" s="750"/>
      <c r="AM2287" s="750">
        <f>(((U2287+Y2287+AG2287+AH2287)*AI2287)+(U2287+Y2287+AG2287+AH2287))*1.08</f>
        <v>35481.223392929933</v>
      </c>
      <c r="AN2287" s="750"/>
      <c r="AO2287" s="750"/>
      <c r="AP2287" s="750"/>
      <c r="AQ2287" s="750"/>
      <c r="AR2287" s="750">
        <f>(((U2287+AD2287+AG2287+AH2287)*AI2287)+(U2287+AD2287+AG2287+AH2287))*1.08</f>
        <v>35327.302488913207</v>
      </c>
      <c r="AS2287" s="750">
        <f>(((U2287+AE2287+AG2287+AH2287)*AI2287)+(U2287+AE2287+AG2287+AH2287))*1.08</f>
        <v>35327.302488913207</v>
      </c>
      <c r="AT2287" s="750">
        <f>(((U2287+AF2287+AG2287+AH2287)*AI2287)+(U2287+AF2287+AG2287+AH2287))*1.08</f>
        <v>35327.302488913207</v>
      </c>
      <c r="AU2287" s="107"/>
      <c r="AY2287" s="746" t="s">
        <v>452</v>
      </c>
      <c r="AZ2287" s="749">
        <f>V13</f>
        <v>81.900000000000006</v>
      </c>
      <c r="BA2287" s="746" t="str">
        <f>U13</f>
        <v>g</v>
      </c>
      <c r="BB2287" s="746">
        <v>20</v>
      </c>
      <c r="BC2287" s="746">
        <f t="shared" si="677"/>
        <v>1638</v>
      </c>
      <c r="BD2287" s="746">
        <v>0</v>
      </c>
      <c r="BE2287" s="746">
        <f t="shared" si="678"/>
        <v>0</v>
      </c>
      <c r="BF2287" s="746">
        <f t="shared" si="679"/>
        <v>20</v>
      </c>
      <c r="BG2287" s="746">
        <f t="shared" si="680"/>
        <v>1638</v>
      </c>
    </row>
    <row r="2288" spans="3:59" s="29" customFormat="1" ht="25.5" customHeight="1" x14ac:dyDescent="0.25">
      <c r="M2288" s="750" t="s">
        <v>675</v>
      </c>
      <c r="N2288" s="750">
        <f>S9</f>
        <v>46.63</v>
      </c>
      <c r="O2288" s="750" t="str">
        <f>R9</f>
        <v>g</v>
      </c>
      <c r="P2288" s="750">
        <v>70</v>
      </c>
      <c r="Q2288" s="750">
        <f t="shared" si="658"/>
        <v>3264.1000000000004</v>
      </c>
      <c r="R2288" s="750">
        <v>0</v>
      </c>
      <c r="S2288" s="750">
        <f t="shared" si="662"/>
        <v>0</v>
      </c>
      <c r="T2288" s="750">
        <f t="shared" si="663"/>
        <v>70</v>
      </c>
      <c r="U2288" s="750">
        <f t="shared" si="664"/>
        <v>3264.1000000000004</v>
      </c>
      <c r="V2288" s="577" t="s">
        <v>1963</v>
      </c>
      <c r="W2288" s="577" t="s">
        <v>1963</v>
      </c>
      <c r="X2288" s="577" t="s">
        <v>1963</v>
      </c>
      <c r="Y2288" s="577">
        <f t="shared" si="675"/>
        <v>267.22379169571428</v>
      </c>
      <c r="Z2288" s="577">
        <f t="shared" ref="Z2288:Z2289" si="684">$AR$12</f>
        <v>267.22379169571428</v>
      </c>
      <c r="AA2288" s="577" t="s">
        <v>1963</v>
      </c>
      <c r="AB2288" s="577" t="s">
        <v>1963</v>
      </c>
      <c r="AC2288" s="577" t="s">
        <v>1963</v>
      </c>
      <c r="AD2288" s="577" t="s">
        <v>1963</v>
      </c>
      <c r="AE2288" s="577" t="s">
        <v>1963</v>
      </c>
      <c r="AF2288" s="577" t="s">
        <v>1963</v>
      </c>
      <c r="AG2288" s="750">
        <f t="shared" si="665"/>
        <v>18.899999999999999</v>
      </c>
      <c r="AH2288" s="750">
        <f t="shared" si="659"/>
        <v>1547.3435977313275</v>
      </c>
      <c r="AI2288" s="750">
        <v>0.6</v>
      </c>
      <c r="AJ2288" s="750"/>
      <c r="AK2288" s="750"/>
      <c r="AL2288" s="750"/>
      <c r="AM2288" s="750">
        <f>(((U2288+Y2288+AG2288+AH2288)*AI2288)+(U2288+Y2288+AG2288+AH2288))*1.08</f>
        <v>8808.5964489299295</v>
      </c>
      <c r="AN2288" s="750">
        <f>(((U2288+Z2288+AG2288+AH2288)*AI2288)+(U2288+Z2288+AG2288+AH2288))*1.08</f>
        <v>8808.5964489299295</v>
      </c>
      <c r="AO2288" s="750"/>
      <c r="AP2288" s="750"/>
      <c r="AQ2288" s="750"/>
      <c r="AR2288" s="750"/>
      <c r="AS2288" s="750"/>
      <c r="AT2288" s="750"/>
      <c r="AU2288" s="107"/>
      <c r="AY2288" s="746" t="s">
        <v>340</v>
      </c>
      <c r="AZ2288" s="749">
        <f>Y20</f>
        <v>0.64</v>
      </c>
      <c r="BA2288" s="749" t="str">
        <f>X20</f>
        <v>g</v>
      </c>
      <c r="BB2288" s="746">
        <v>10</v>
      </c>
      <c r="BC2288" s="746">
        <f t="shared" si="677"/>
        <v>6.4</v>
      </c>
      <c r="BD2288" s="746">
        <f>BV145</f>
        <v>0</v>
      </c>
      <c r="BE2288" s="746">
        <f>BB2288*BD2288</f>
        <v>0</v>
      </c>
      <c r="BF2288" s="746">
        <f t="shared" si="679"/>
        <v>10</v>
      </c>
      <c r="BG2288" s="746">
        <f t="shared" si="680"/>
        <v>6.4</v>
      </c>
    </row>
    <row r="2289" spans="13:59" s="29" customFormat="1" ht="39" customHeight="1" x14ac:dyDescent="0.25">
      <c r="M2289" s="750" t="s">
        <v>676</v>
      </c>
      <c r="N2289" s="750">
        <f>S16</f>
        <v>31.23</v>
      </c>
      <c r="O2289" s="750" t="str">
        <f>R16</f>
        <v>g</v>
      </c>
      <c r="P2289" s="750">
        <v>70</v>
      </c>
      <c r="Q2289" s="750">
        <f t="shared" si="658"/>
        <v>2186.1</v>
      </c>
      <c r="R2289" s="750">
        <v>0</v>
      </c>
      <c r="S2289" s="750">
        <f t="shared" si="662"/>
        <v>0</v>
      </c>
      <c r="T2289" s="750">
        <f t="shared" si="663"/>
        <v>70</v>
      </c>
      <c r="U2289" s="750">
        <f t="shared" si="664"/>
        <v>2186.1</v>
      </c>
      <c r="V2289" s="577" t="s">
        <v>1963</v>
      </c>
      <c r="W2289" s="577" t="s">
        <v>1963</v>
      </c>
      <c r="X2289" s="577" t="s">
        <v>1963</v>
      </c>
      <c r="Y2289" s="577">
        <f t="shared" si="675"/>
        <v>267.22379169571428</v>
      </c>
      <c r="Z2289" s="577">
        <f t="shared" si="684"/>
        <v>267.22379169571428</v>
      </c>
      <c r="AA2289" s="577" t="s">
        <v>1963</v>
      </c>
      <c r="AB2289" s="577" t="s">
        <v>1963</v>
      </c>
      <c r="AC2289" s="577" t="s">
        <v>1963</v>
      </c>
      <c r="AD2289" s="577" t="s">
        <v>1963</v>
      </c>
      <c r="AE2289" s="577" t="s">
        <v>1963</v>
      </c>
      <c r="AF2289" s="577" t="s">
        <v>1963</v>
      </c>
      <c r="AG2289" s="750">
        <f t="shared" si="665"/>
        <v>18.899999999999999</v>
      </c>
      <c r="AH2289" s="750">
        <f t="shared" si="659"/>
        <v>1547.3435977313275</v>
      </c>
      <c r="AI2289" s="750">
        <v>0.6</v>
      </c>
      <c r="AJ2289" s="750"/>
      <c r="AK2289" s="750"/>
      <c r="AL2289" s="750"/>
      <c r="AM2289" s="750">
        <f>(((U2289+Y2289+AG2289+AH2289)*AI2289)+(U2289+Y2289+AG2289+AH2289))*1.08</f>
        <v>6945.8124489299289</v>
      </c>
      <c r="AN2289" s="750">
        <f>(((U2289+Z2289+AG2289+AH2289)*AI2289)+(U2289+Z2289+AG2289+AH2289))*1.08</f>
        <v>6945.8124489299289</v>
      </c>
      <c r="AO2289" s="750"/>
      <c r="AP2289" s="750"/>
      <c r="AQ2289" s="750"/>
      <c r="AR2289" s="750"/>
      <c r="AS2289" s="750"/>
      <c r="AT2289" s="750"/>
      <c r="AU2289" s="107"/>
      <c r="AY2289" s="746" t="s">
        <v>346</v>
      </c>
      <c r="AZ2289" s="749">
        <f>P3</f>
        <v>7</v>
      </c>
      <c r="BA2289" s="746" t="str">
        <f>O3</f>
        <v>g</v>
      </c>
      <c r="BB2289" s="746">
        <v>4</v>
      </c>
      <c r="BC2289" s="746">
        <f t="shared" si="677"/>
        <v>28</v>
      </c>
      <c r="BD2289" s="746">
        <f>AJ2</f>
        <v>0.23</v>
      </c>
      <c r="BE2289" s="746">
        <f t="shared" ref="BE2289:BE2293" si="685">BB2289*BD2289</f>
        <v>0.92</v>
      </c>
      <c r="BF2289" s="746">
        <f t="shared" si="679"/>
        <v>3.08</v>
      </c>
      <c r="BG2289" s="746">
        <f t="shared" si="680"/>
        <v>34.44</v>
      </c>
    </row>
    <row r="2290" spans="13:59" s="29" customFormat="1" ht="38.25" customHeight="1" x14ac:dyDescent="0.25">
      <c r="M2290" s="750" t="s">
        <v>485</v>
      </c>
      <c r="N2290" s="750">
        <f>V12</f>
        <v>25.98</v>
      </c>
      <c r="O2290" s="750" t="str">
        <f>U12</f>
        <v>g</v>
      </c>
      <c r="P2290" s="750">
        <v>30</v>
      </c>
      <c r="Q2290" s="750">
        <f t="shared" si="658"/>
        <v>779.4</v>
      </c>
      <c r="R2290" s="750">
        <v>0</v>
      </c>
      <c r="S2290" s="750">
        <f t="shared" si="662"/>
        <v>0</v>
      </c>
      <c r="T2290" s="750">
        <f t="shared" si="663"/>
        <v>30</v>
      </c>
      <c r="U2290" s="750">
        <f t="shared" si="664"/>
        <v>779.4</v>
      </c>
      <c r="V2290" s="577" t="s">
        <v>1963</v>
      </c>
      <c r="W2290" s="577" t="s">
        <v>1963</v>
      </c>
      <c r="X2290" s="577" t="s">
        <v>1963</v>
      </c>
      <c r="Y2290" s="577">
        <f>AO26</f>
        <v>953.74829894127811</v>
      </c>
      <c r="Z2290" s="577" t="s">
        <v>1963</v>
      </c>
      <c r="AA2290" s="577">
        <f>AO26</f>
        <v>953.74829894127811</v>
      </c>
      <c r="AB2290" s="577" t="s">
        <v>1963</v>
      </c>
      <c r="AC2290" s="577" t="s">
        <v>1963</v>
      </c>
      <c r="AD2290" s="577" t="s">
        <v>1963</v>
      </c>
      <c r="AE2290" s="577" t="s">
        <v>1963</v>
      </c>
      <c r="AF2290" s="577" t="s">
        <v>1963</v>
      </c>
      <c r="AG2290" s="750">
        <f t="shared" si="665"/>
        <v>18.899999999999999</v>
      </c>
      <c r="AH2290" s="750">
        <f t="shared" si="659"/>
        <v>1547.3435977313275</v>
      </c>
      <c r="AI2290" s="750">
        <v>0.6</v>
      </c>
      <c r="AJ2290" s="750"/>
      <c r="AK2290" s="750"/>
      <c r="AL2290" s="750"/>
      <c r="AM2290" s="750">
        <f>(((U2290+Y2290+AG2290+AH2290)*AI2290)+(U2290+Y2290+AG2290+AH2290))*1.08</f>
        <v>5701.3491974502631</v>
      </c>
      <c r="AN2290" s="750"/>
      <c r="AO2290" s="750">
        <f>(((U2290+AA2290+AG2290+AH2290)*AI2290)+(U2290+AA2290+AG2290+AH2290))*1.08</f>
        <v>5701.3491974502631</v>
      </c>
      <c r="AP2290" s="750"/>
      <c r="AQ2290" s="750"/>
      <c r="AR2290" s="750"/>
      <c r="AS2290" s="750"/>
      <c r="AT2290" s="750"/>
      <c r="AU2290" s="107"/>
      <c r="AY2290" s="746" t="s">
        <v>341</v>
      </c>
      <c r="AZ2290" s="749">
        <f>AE3</f>
        <v>49.18</v>
      </c>
      <c r="BA2290" s="746" t="str">
        <f>AD3</f>
        <v>mL</v>
      </c>
      <c r="BB2290" s="746">
        <v>10</v>
      </c>
      <c r="BC2290" s="746">
        <f t="shared" si="677"/>
        <v>491.8</v>
      </c>
      <c r="BD2290" s="746">
        <v>0</v>
      </c>
      <c r="BE2290" s="746">
        <f t="shared" si="685"/>
        <v>0</v>
      </c>
      <c r="BF2290" s="746">
        <f t="shared" si="679"/>
        <v>10</v>
      </c>
      <c r="BG2290" s="746">
        <f t="shared" si="680"/>
        <v>491.8</v>
      </c>
    </row>
    <row r="2291" spans="13:59" s="29" customFormat="1" ht="26.25" customHeight="1" x14ac:dyDescent="0.25">
      <c r="M2291" s="750" t="s">
        <v>454</v>
      </c>
      <c r="N2291" s="750">
        <f>P14</f>
        <v>18.86</v>
      </c>
      <c r="O2291" s="750" t="str">
        <f>O14</f>
        <v>g</v>
      </c>
      <c r="P2291" s="750">
        <v>30</v>
      </c>
      <c r="Q2291" s="750">
        <f t="shared" si="658"/>
        <v>565.79999999999995</v>
      </c>
      <c r="R2291" s="750">
        <v>0</v>
      </c>
      <c r="S2291" s="750">
        <f t="shared" si="662"/>
        <v>0</v>
      </c>
      <c r="T2291" s="750">
        <f t="shared" si="663"/>
        <v>30</v>
      </c>
      <c r="U2291" s="750">
        <f t="shared" si="664"/>
        <v>565.79999999999995</v>
      </c>
      <c r="V2291" s="577" t="s">
        <v>1963</v>
      </c>
      <c r="W2291" s="577" t="s">
        <v>1963</v>
      </c>
      <c r="X2291" s="577" t="s">
        <v>1963</v>
      </c>
      <c r="Y2291" s="577" t="s">
        <v>1963</v>
      </c>
      <c r="Z2291" s="577" t="s">
        <v>1963</v>
      </c>
      <c r="AA2291" s="577" t="s">
        <v>1963</v>
      </c>
      <c r="AB2291" s="577" t="s">
        <v>1963</v>
      </c>
      <c r="AC2291" s="577" t="s">
        <v>1963</v>
      </c>
      <c r="AD2291" s="577" t="s">
        <v>1963</v>
      </c>
      <c r="AE2291" s="577">
        <f>AR17</f>
        <v>178.14919446380952</v>
      </c>
      <c r="AF2291" s="577">
        <f t="shared" ref="AF2291:AF2306" si="686">$AR$18</f>
        <v>178.14919446380952</v>
      </c>
      <c r="AG2291" s="750">
        <f t="shared" si="665"/>
        <v>18.899999999999999</v>
      </c>
      <c r="AH2291" s="750">
        <f t="shared" si="659"/>
        <v>1547.3435977313275</v>
      </c>
      <c r="AI2291" s="750">
        <v>0.6</v>
      </c>
      <c r="AJ2291" s="750"/>
      <c r="AK2291" s="750"/>
      <c r="AL2291" s="750"/>
      <c r="AM2291" s="750"/>
      <c r="AN2291" s="750"/>
      <c r="AO2291" s="750"/>
      <c r="AP2291" s="750"/>
      <c r="AQ2291" s="750"/>
      <c r="AR2291" s="750"/>
      <c r="AS2291" s="750">
        <f>(((U2291+AE2291+AG2291+AH2291)*AI2291)+(U2291+AE2291+AG2291+AH2291))*1.08</f>
        <v>3992.0131449131968</v>
      </c>
      <c r="AT2291" s="750">
        <f>(((U2291+AF2291+AG2291+AH2291)*AI2291)+(U2291+AF2291+AG2291+AH2291))*1.08</f>
        <v>3992.0131449131968</v>
      </c>
      <c r="AU2291" s="107"/>
      <c r="AY2291" s="746" t="s">
        <v>348</v>
      </c>
      <c r="AZ2291" s="749">
        <f>V2</f>
        <v>13.11</v>
      </c>
      <c r="BA2291" s="746" t="str">
        <f>U2</f>
        <v>g</v>
      </c>
      <c r="BB2291" s="746">
        <v>10</v>
      </c>
      <c r="BC2291" s="746">
        <f t="shared" si="677"/>
        <v>131.1</v>
      </c>
      <c r="BD2291" s="746">
        <v>0</v>
      </c>
      <c r="BE2291" s="746">
        <f t="shared" si="685"/>
        <v>0</v>
      </c>
      <c r="BF2291" s="746">
        <f t="shared" si="679"/>
        <v>10</v>
      </c>
      <c r="BG2291" s="746">
        <f t="shared" si="680"/>
        <v>131.1</v>
      </c>
    </row>
    <row r="2292" spans="13:59" s="29" customFormat="1" ht="38.25" customHeight="1" x14ac:dyDescent="0.25">
      <c r="M2292" s="750" t="s">
        <v>541</v>
      </c>
      <c r="N2292" s="750">
        <f>V16</f>
        <v>54.41</v>
      </c>
      <c r="O2292" s="750" t="str">
        <f>U16</f>
        <v>g</v>
      </c>
      <c r="P2292" s="750">
        <v>40</v>
      </c>
      <c r="Q2292" s="750">
        <f t="shared" si="658"/>
        <v>2176.3999999999996</v>
      </c>
      <c r="R2292" s="750">
        <v>0</v>
      </c>
      <c r="S2292" s="750">
        <f t="shared" si="662"/>
        <v>0</v>
      </c>
      <c r="T2292" s="750">
        <f t="shared" si="663"/>
        <v>40</v>
      </c>
      <c r="U2292" s="750">
        <f t="shared" si="664"/>
        <v>2176.3999999999996</v>
      </c>
      <c r="V2292" s="577" t="s">
        <v>1963</v>
      </c>
      <c r="W2292" s="577" t="s">
        <v>1963</v>
      </c>
      <c r="X2292" s="577" t="s">
        <v>1963</v>
      </c>
      <c r="Y2292" s="577">
        <f>AO26</f>
        <v>953.74829894127811</v>
      </c>
      <c r="Z2292" s="577" t="s">
        <v>1963</v>
      </c>
      <c r="AA2292" s="577">
        <f>AO26</f>
        <v>953.74829894127811</v>
      </c>
      <c r="AB2292" s="577" t="s">
        <v>1963</v>
      </c>
      <c r="AC2292" s="577" t="s">
        <v>1963</v>
      </c>
      <c r="AD2292" s="577" t="s">
        <v>1963</v>
      </c>
      <c r="AE2292" s="577" t="s">
        <v>1963</v>
      </c>
      <c r="AF2292" s="577" t="s">
        <v>1963</v>
      </c>
      <c r="AG2292" s="750">
        <f t="shared" si="665"/>
        <v>18.899999999999999</v>
      </c>
      <c r="AH2292" s="750">
        <f t="shared" si="659"/>
        <v>1547.3435977313275</v>
      </c>
      <c r="AI2292" s="750">
        <v>0.6</v>
      </c>
      <c r="AJ2292" s="750"/>
      <c r="AK2292" s="750"/>
      <c r="AL2292" s="750"/>
      <c r="AM2292" s="750">
        <f>(((U2292+Y2292+AG2292+AH2292)*AI2292)+(U2292+Y2292+AG2292+AH2292))*1.08</f>
        <v>8115.3651974502618</v>
      </c>
      <c r="AN2292" s="750"/>
      <c r="AO2292" s="750">
        <f>(((U2292+AA2292+AG2292+AH2292)*AI2292)+(U2292+AA2292+AG2292+AH2292))*1.08</f>
        <v>8115.3651974502618</v>
      </c>
      <c r="AP2292" s="750"/>
      <c r="AQ2292" s="750"/>
      <c r="AR2292" s="750"/>
      <c r="AS2292" s="750"/>
      <c r="AT2292" s="750"/>
      <c r="AU2292" s="107"/>
      <c r="AY2292" s="746" t="s">
        <v>430</v>
      </c>
      <c r="AZ2292" s="749">
        <f>P10</f>
        <v>0.7</v>
      </c>
      <c r="BA2292" s="746" t="str">
        <f>O10</f>
        <v>g</v>
      </c>
      <c r="BB2292" s="746">
        <v>15</v>
      </c>
      <c r="BC2292" s="746">
        <f t="shared" si="677"/>
        <v>10.5</v>
      </c>
      <c r="BD2292" s="746">
        <f>AJ8</f>
        <v>0.59</v>
      </c>
      <c r="BE2292" s="746">
        <f t="shared" si="685"/>
        <v>8.85</v>
      </c>
      <c r="BF2292" s="746">
        <f t="shared" si="679"/>
        <v>6.15</v>
      </c>
      <c r="BG2292" s="746">
        <f t="shared" si="680"/>
        <v>16.695</v>
      </c>
    </row>
    <row r="2293" spans="13:59" s="29" customFormat="1" ht="26.25" customHeight="1" x14ac:dyDescent="0.25">
      <c r="M2293" s="750" t="s">
        <v>540</v>
      </c>
      <c r="N2293" s="750">
        <f>P18</f>
        <v>5</v>
      </c>
      <c r="O2293" s="750" t="str">
        <f>O18</f>
        <v>g</v>
      </c>
      <c r="P2293" s="750">
        <v>50</v>
      </c>
      <c r="Q2293" s="750">
        <f t="shared" si="658"/>
        <v>250</v>
      </c>
      <c r="R2293" s="750">
        <f>AJ11</f>
        <v>0.23</v>
      </c>
      <c r="S2293" s="750">
        <f t="shared" si="662"/>
        <v>11.5</v>
      </c>
      <c r="T2293" s="750">
        <f t="shared" si="663"/>
        <v>38.5</v>
      </c>
      <c r="U2293" s="750">
        <f t="shared" si="664"/>
        <v>307.5</v>
      </c>
      <c r="V2293" s="577" t="s">
        <v>1963</v>
      </c>
      <c r="W2293" s="577" t="s">
        <v>1963</v>
      </c>
      <c r="X2293" s="577">
        <f t="shared" ref="X2293:X2304" si="687">$AR$10</f>
        <v>267.22379169571428</v>
      </c>
      <c r="Y2293" s="577" t="s">
        <v>1963</v>
      </c>
      <c r="Z2293" s="577" t="s">
        <v>1963</v>
      </c>
      <c r="AA2293" s="577" t="s">
        <v>1963</v>
      </c>
      <c r="AB2293" s="577" t="s">
        <v>1963</v>
      </c>
      <c r="AC2293" s="577" t="s">
        <v>1963</v>
      </c>
      <c r="AD2293" s="577" t="s">
        <v>1963</v>
      </c>
      <c r="AE2293" s="577">
        <f t="shared" si="676"/>
        <v>178.14919446380952</v>
      </c>
      <c r="AF2293" s="577">
        <f t="shared" si="686"/>
        <v>178.14919446380952</v>
      </c>
      <c r="AG2293" s="750">
        <f t="shared" si="665"/>
        <v>18.899999999999999</v>
      </c>
      <c r="AH2293" s="750">
        <f t="shared" si="659"/>
        <v>1547.3435977313275</v>
      </c>
      <c r="AI2293" s="750">
        <v>0.6</v>
      </c>
      <c r="AJ2293" s="750"/>
      <c r="AK2293" s="750"/>
      <c r="AL2293" s="750">
        <f>(((U2293+X2293+AG2293+AH2293)*AI2293)+(U2293+X2293+AG2293+AH2293))*1.08</f>
        <v>3699.5916489299284</v>
      </c>
      <c r="AM2293" s="750"/>
      <c r="AN2293" s="750"/>
      <c r="AO2293" s="750"/>
      <c r="AP2293" s="750"/>
      <c r="AQ2293" s="750"/>
      <c r="AR2293" s="750"/>
      <c r="AS2293" s="750">
        <f t="shared" ref="AS2293:AS2306" si="688">(((U2293+AE2293+AG2293+AH2293)*AI2293)+(U2293+AE2293+AG2293+AH2293))*1.08</f>
        <v>3545.6707449131973</v>
      </c>
      <c r="AT2293" s="750">
        <f>(((U2293+AF2293+AG2293+AH2293)*AI2293)+(U2293+AF2293+AG2293+AH2293))*1.08</f>
        <v>3545.6707449131973</v>
      </c>
      <c r="AU2293" s="107"/>
      <c r="AY2293" s="746" t="s">
        <v>2129</v>
      </c>
      <c r="AZ2293" s="749">
        <f>P23</f>
        <v>1.6</v>
      </c>
      <c r="BA2293" s="746" t="str">
        <f>O23</f>
        <v>g</v>
      </c>
      <c r="BB2293" s="746">
        <v>5</v>
      </c>
      <c r="BC2293" s="746">
        <f t="shared" si="677"/>
        <v>8</v>
      </c>
      <c r="BD2293" s="746">
        <v>0</v>
      </c>
      <c r="BE2293" s="746">
        <f t="shared" si="685"/>
        <v>0</v>
      </c>
      <c r="BF2293" s="746">
        <f t="shared" si="679"/>
        <v>5</v>
      </c>
      <c r="BG2293" s="746">
        <f t="shared" si="680"/>
        <v>8</v>
      </c>
    </row>
    <row r="2294" spans="13:59" s="29" customFormat="1" x14ac:dyDescent="0.25">
      <c r="M2294" s="750" t="s">
        <v>531</v>
      </c>
      <c r="N2294" s="750">
        <f>AB6</f>
        <v>5.18</v>
      </c>
      <c r="O2294" s="750" t="str">
        <f>AA6</f>
        <v>g</v>
      </c>
      <c r="P2294" s="750">
        <v>120</v>
      </c>
      <c r="Q2294" s="750">
        <f t="shared" si="658"/>
        <v>621.59999999999991</v>
      </c>
      <c r="R2294" s="750">
        <v>0</v>
      </c>
      <c r="S2294" s="750">
        <f t="shared" si="662"/>
        <v>0</v>
      </c>
      <c r="T2294" s="750">
        <f t="shared" si="663"/>
        <v>120</v>
      </c>
      <c r="U2294" s="750">
        <f t="shared" si="664"/>
        <v>621.59999999999991</v>
      </c>
      <c r="V2294" s="577" t="s">
        <v>1963</v>
      </c>
      <c r="W2294" s="577" t="s">
        <v>1963</v>
      </c>
      <c r="X2294" s="577">
        <f t="shared" si="687"/>
        <v>267.22379169571428</v>
      </c>
      <c r="Y2294" s="577" t="s">
        <v>1963</v>
      </c>
      <c r="Z2294" s="577" t="s">
        <v>1963</v>
      </c>
      <c r="AA2294" s="577" t="s">
        <v>1963</v>
      </c>
      <c r="AB2294" s="577" t="s">
        <v>1963</v>
      </c>
      <c r="AC2294" s="577" t="s">
        <v>1963</v>
      </c>
      <c r="AD2294" s="577" t="s">
        <v>1963</v>
      </c>
      <c r="AE2294" s="577">
        <f t="shared" si="676"/>
        <v>178.14919446380952</v>
      </c>
      <c r="AF2294" s="577" t="s">
        <v>1963</v>
      </c>
      <c r="AG2294" s="750">
        <f t="shared" si="665"/>
        <v>18.899999999999999</v>
      </c>
      <c r="AH2294" s="750">
        <f t="shared" si="659"/>
        <v>1547.3435977313275</v>
      </c>
      <c r="AI2294" s="750">
        <v>0.6</v>
      </c>
      <c r="AJ2294" s="750"/>
      <c r="AK2294" s="750"/>
      <c r="AL2294" s="750">
        <f>(((U2294+X2294+AG2294+AH2294)*AI2294)+(U2294+X2294+AG2294+AH2294))*1.08</f>
        <v>4242.3564489299279</v>
      </c>
      <c r="AM2294" s="750"/>
      <c r="AN2294" s="750"/>
      <c r="AO2294" s="750"/>
      <c r="AP2294" s="750"/>
      <c r="AQ2294" s="750"/>
      <c r="AR2294" s="750"/>
      <c r="AS2294" s="750">
        <f t="shared" si="688"/>
        <v>4088.4355449131967</v>
      </c>
      <c r="AT2294" s="750"/>
      <c r="AU2294" s="107"/>
      <c r="AY2294" s="746" t="s">
        <v>337</v>
      </c>
      <c r="AZ2294" s="746"/>
      <c r="BA2294" s="746"/>
      <c r="BB2294" s="746"/>
      <c r="BC2294" s="746"/>
      <c r="BD2294" s="746"/>
      <c r="BE2294" s="746"/>
      <c r="BF2294" s="746"/>
      <c r="BG2294" s="746">
        <f>SUM(BG2285:BG2293)</f>
        <v>4568.2849999999999</v>
      </c>
    </row>
    <row r="2295" spans="13:59" s="29" customFormat="1" x14ac:dyDescent="0.25">
      <c r="M2295" s="750" t="s">
        <v>533</v>
      </c>
      <c r="N2295" s="750">
        <f>AB5</f>
        <v>3.6</v>
      </c>
      <c r="O2295" s="750" t="str">
        <f>AA5</f>
        <v>g</v>
      </c>
      <c r="P2295" s="750">
        <v>120</v>
      </c>
      <c r="Q2295" s="750">
        <f t="shared" si="658"/>
        <v>432</v>
      </c>
      <c r="R2295" s="750">
        <v>0</v>
      </c>
      <c r="S2295" s="750">
        <f t="shared" si="662"/>
        <v>0</v>
      </c>
      <c r="T2295" s="750">
        <f t="shared" si="663"/>
        <v>120</v>
      </c>
      <c r="U2295" s="750">
        <f t="shared" si="664"/>
        <v>432</v>
      </c>
      <c r="V2295" s="577" t="s">
        <v>1963</v>
      </c>
      <c r="W2295" s="577" t="s">
        <v>1963</v>
      </c>
      <c r="X2295" s="577">
        <f t="shared" si="687"/>
        <v>267.22379169571428</v>
      </c>
      <c r="Y2295" s="577" t="s">
        <v>1963</v>
      </c>
      <c r="Z2295" s="577" t="s">
        <v>1963</v>
      </c>
      <c r="AA2295" s="577" t="s">
        <v>1963</v>
      </c>
      <c r="AB2295" s="577" t="s">
        <v>1963</v>
      </c>
      <c r="AC2295" s="577" t="s">
        <v>1963</v>
      </c>
      <c r="AD2295" s="577" t="s">
        <v>1963</v>
      </c>
      <c r="AE2295" s="577">
        <f t="shared" si="676"/>
        <v>178.14919446380952</v>
      </c>
      <c r="AF2295" s="577" t="s">
        <v>1963</v>
      </c>
      <c r="AG2295" s="750">
        <f t="shared" si="665"/>
        <v>18.899999999999999</v>
      </c>
      <c r="AH2295" s="750">
        <f t="shared" si="659"/>
        <v>1547.3435977313275</v>
      </c>
      <c r="AI2295" s="750">
        <v>0.6</v>
      </c>
      <c r="AJ2295" s="750"/>
      <c r="AK2295" s="750"/>
      <c r="AL2295" s="750">
        <f>(((U2295+X2295+AG2295+AH2295)*AI2295)+(U2295+X2295+AG2295+AH2295))*1.08</f>
        <v>3914.7276489299284</v>
      </c>
      <c r="AM2295" s="750"/>
      <c r="AN2295" s="750"/>
      <c r="AO2295" s="750"/>
      <c r="AP2295" s="750"/>
      <c r="AQ2295" s="750"/>
      <c r="AR2295" s="750"/>
      <c r="AS2295" s="750">
        <f t="shared" si="688"/>
        <v>3760.8067449131968</v>
      </c>
      <c r="AT2295" s="750"/>
      <c r="AU2295" s="107"/>
    </row>
    <row r="2296" spans="13:59" s="29" customFormat="1" ht="25.5" customHeight="1" x14ac:dyDescent="0.25">
      <c r="M2296" s="750" t="s">
        <v>529</v>
      </c>
      <c r="N2296" s="750">
        <f>P32</f>
        <v>17.72</v>
      </c>
      <c r="O2296" s="750" t="str">
        <f>O32</f>
        <v>g</v>
      </c>
      <c r="P2296" s="750">
        <v>50</v>
      </c>
      <c r="Q2296" s="750">
        <f t="shared" si="658"/>
        <v>886</v>
      </c>
      <c r="R2296" s="750">
        <f>AJ20</f>
        <v>0.31</v>
      </c>
      <c r="S2296" s="750">
        <f t="shared" si="662"/>
        <v>15.5</v>
      </c>
      <c r="T2296" s="750">
        <f t="shared" si="663"/>
        <v>34.5</v>
      </c>
      <c r="U2296" s="750">
        <f t="shared" si="664"/>
        <v>1160.6600000000001</v>
      </c>
      <c r="V2296" s="577" t="s">
        <v>1963</v>
      </c>
      <c r="W2296" s="577" t="s">
        <v>1963</v>
      </c>
      <c r="X2296" s="577" t="s">
        <v>1963</v>
      </c>
      <c r="Y2296" s="577" t="s">
        <v>1963</v>
      </c>
      <c r="Z2296" s="577" t="s">
        <v>1963</v>
      </c>
      <c r="AA2296" s="577" t="s">
        <v>1963</v>
      </c>
      <c r="AB2296" s="577" t="s">
        <v>1963</v>
      </c>
      <c r="AC2296" s="577" t="s">
        <v>1963</v>
      </c>
      <c r="AD2296" s="577" t="s">
        <v>1963</v>
      </c>
      <c r="AE2296" s="577">
        <f t="shared" si="676"/>
        <v>178.14919446380952</v>
      </c>
      <c r="AF2296" s="577">
        <f t="shared" si="686"/>
        <v>178.14919446380952</v>
      </c>
      <c r="AG2296" s="750">
        <f t="shared" si="665"/>
        <v>18.899999999999999</v>
      </c>
      <c r="AH2296" s="750">
        <f t="shared" si="659"/>
        <v>1547.3435977313275</v>
      </c>
      <c r="AI2296" s="750">
        <v>0.6</v>
      </c>
      <c r="AJ2296" s="750"/>
      <c r="AK2296" s="750"/>
      <c r="AL2296" s="750"/>
      <c r="AM2296" s="750"/>
      <c r="AN2296" s="750"/>
      <c r="AO2296" s="750"/>
      <c r="AP2296" s="750"/>
      <c r="AQ2296" s="750"/>
      <c r="AR2296" s="750"/>
      <c r="AS2296" s="750">
        <f t="shared" si="688"/>
        <v>5019.9312249131972</v>
      </c>
      <c r="AT2296" s="750">
        <f>(((U2296+AF2296+AG2296+AH2296)*AI2296)+(U2296+AF2296+AG2296+AH2296))*1.08</f>
        <v>5019.9312249131972</v>
      </c>
      <c r="AU2296" s="107"/>
      <c r="BC2296" s="745" t="s">
        <v>1681</v>
      </c>
      <c r="BD2296" s="745">
        <f>BG2294</f>
        <v>4568.2849999999999</v>
      </c>
    </row>
    <row r="2297" spans="13:59" s="29" customFormat="1" ht="26.25" customHeight="1" x14ac:dyDescent="0.25">
      <c r="M2297" s="750" t="s">
        <v>539</v>
      </c>
      <c r="N2297" s="750">
        <f>P7</f>
        <v>2.5</v>
      </c>
      <c r="O2297" s="750" t="str">
        <f>O7</f>
        <v>g</v>
      </c>
      <c r="P2297" s="750">
        <v>50</v>
      </c>
      <c r="Q2297" s="750">
        <f t="shared" si="658"/>
        <v>125</v>
      </c>
      <c r="R2297" s="750">
        <f>AJ5</f>
        <v>0.13</v>
      </c>
      <c r="S2297" s="750">
        <f t="shared" si="662"/>
        <v>6.5</v>
      </c>
      <c r="T2297" s="750">
        <f t="shared" si="663"/>
        <v>43.5</v>
      </c>
      <c r="U2297" s="750">
        <f t="shared" si="664"/>
        <v>141.25</v>
      </c>
      <c r="V2297" s="577" t="s">
        <v>1963</v>
      </c>
      <c r="W2297" s="577" t="s">
        <v>1963</v>
      </c>
      <c r="X2297" s="577" t="s">
        <v>1963</v>
      </c>
      <c r="Y2297" s="577" t="s">
        <v>1963</v>
      </c>
      <c r="Z2297" s="577" t="s">
        <v>1963</v>
      </c>
      <c r="AA2297" s="577" t="s">
        <v>1963</v>
      </c>
      <c r="AB2297" s="577" t="s">
        <v>1963</v>
      </c>
      <c r="AC2297" s="577" t="s">
        <v>1963</v>
      </c>
      <c r="AD2297" s="577" t="s">
        <v>1963</v>
      </c>
      <c r="AE2297" s="577">
        <f t="shared" si="676"/>
        <v>178.14919446380952</v>
      </c>
      <c r="AF2297" s="577">
        <f t="shared" si="686"/>
        <v>178.14919446380952</v>
      </c>
      <c r="AG2297" s="750">
        <f t="shared" si="665"/>
        <v>18.899999999999999</v>
      </c>
      <c r="AH2297" s="750">
        <f t="shared" si="659"/>
        <v>1547.3435977313275</v>
      </c>
      <c r="AI2297" s="750">
        <v>0.6</v>
      </c>
      <c r="AJ2297" s="750"/>
      <c r="AK2297" s="750"/>
      <c r="AL2297" s="750"/>
      <c r="AM2297" s="750"/>
      <c r="AN2297" s="750"/>
      <c r="AO2297" s="750"/>
      <c r="AP2297" s="750"/>
      <c r="AQ2297" s="750"/>
      <c r="AR2297" s="750"/>
      <c r="AS2297" s="750">
        <f t="shared" si="688"/>
        <v>3258.3907449131971</v>
      </c>
      <c r="AT2297" s="750">
        <f>(((U2297+AF2297+AG2297+AH2297)*AI2297)+(U2297+AF2297+AG2297+AH2297))*1.08</f>
        <v>3258.3907449131971</v>
      </c>
      <c r="AU2297" s="107"/>
      <c r="BC2297" s="745" t="s">
        <v>1682</v>
      </c>
      <c r="BD2297" s="745">
        <f>$AO$26/2</f>
        <v>476.87414947063905</v>
      </c>
    </row>
    <row r="2298" spans="13:59" s="29" customFormat="1" ht="39" customHeight="1" x14ac:dyDescent="0.25">
      <c r="M2298" s="750" t="s">
        <v>475</v>
      </c>
      <c r="N2298" s="750">
        <f>P24</f>
        <v>3.5</v>
      </c>
      <c r="O2298" s="750" t="str">
        <f>O24</f>
        <v>g</v>
      </c>
      <c r="P2298" s="750">
        <v>50</v>
      </c>
      <c r="Q2298" s="750">
        <f t="shared" si="658"/>
        <v>175</v>
      </c>
      <c r="R2298" s="750">
        <f>AJ15</f>
        <v>0.26</v>
      </c>
      <c r="S2298" s="750">
        <f t="shared" si="662"/>
        <v>13</v>
      </c>
      <c r="T2298" s="750">
        <f t="shared" si="663"/>
        <v>37</v>
      </c>
      <c r="U2298" s="750">
        <f t="shared" si="664"/>
        <v>220.5</v>
      </c>
      <c r="V2298" s="577" t="s">
        <v>1963</v>
      </c>
      <c r="W2298" s="577" t="s">
        <v>1963</v>
      </c>
      <c r="X2298" s="577" t="s">
        <v>1963</v>
      </c>
      <c r="Y2298" s="577" t="s">
        <v>1963</v>
      </c>
      <c r="Z2298" s="577" t="s">
        <v>1963</v>
      </c>
      <c r="AA2298" s="577" t="s">
        <v>1963</v>
      </c>
      <c r="AB2298" s="577" t="s">
        <v>1963</v>
      </c>
      <c r="AC2298" s="577" t="s">
        <v>1963</v>
      </c>
      <c r="AD2298" s="577" t="s">
        <v>1963</v>
      </c>
      <c r="AE2298" s="577">
        <f t="shared" si="676"/>
        <v>178.14919446380952</v>
      </c>
      <c r="AF2298" s="577">
        <f t="shared" si="686"/>
        <v>178.14919446380952</v>
      </c>
      <c r="AG2298" s="750">
        <f t="shared" si="665"/>
        <v>18.899999999999999</v>
      </c>
      <c r="AH2298" s="750">
        <f t="shared" si="659"/>
        <v>1547.3435977313275</v>
      </c>
      <c r="AI2298" s="750">
        <v>0.6</v>
      </c>
      <c r="AJ2298" s="750"/>
      <c r="AK2298" s="750"/>
      <c r="AL2298" s="750"/>
      <c r="AM2298" s="750"/>
      <c r="AN2298" s="750"/>
      <c r="AO2298" s="750"/>
      <c r="AP2298" s="750"/>
      <c r="AQ2298" s="750"/>
      <c r="AR2298" s="750"/>
      <c r="AS2298" s="750">
        <f t="shared" si="688"/>
        <v>3395.3347449131966</v>
      </c>
      <c r="AT2298" s="750">
        <f>(((U2298+AF2298+AG2298+AH2298)*AI2298)+(U2298+AF2298+AG2298+AH2298))*1.08</f>
        <v>3395.3347449131966</v>
      </c>
      <c r="AU2298" s="107"/>
      <c r="BC2298" s="745" t="s">
        <v>1683</v>
      </c>
      <c r="BD2298" s="745">
        <f>$AO$27/4</f>
        <v>18.899999999999999</v>
      </c>
    </row>
    <row r="2299" spans="13:59" s="29" customFormat="1" ht="25.5" customHeight="1" x14ac:dyDescent="0.25">
      <c r="M2299" s="750" t="s">
        <v>476</v>
      </c>
      <c r="N2299" s="750">
        <f>P25</f>
        <v>3.5</v>
      </c>
      <c r="O2299" s="750" t="str">
        <f>O25</f>
        <v>g</v>
      </c>
      <c r="P2299" s="750">
        <v>50</v>
      </c>
      <c r="Q2299" s="750">
        <f t="shared" si="658"/>
        <v>175</v>
      </c>
      <c r="R2299" s="750">
        <f>AJ15</f>
        <v>0.26</v>
      </c>
      <c r="S2299" s="750">
        <f t="shared" si="662"/>
        <v>13</v>
      </c>
      <c r="T2299" s="750">
        <f t="shared" si="663"/>
        <v>37</v>
      </c>
      <c r="U2299" s="750">
        <f t="shared" si="664"/>
        <v>220.5</v>
      </c>
      <c r="V2299" s="577" t="s">
        <v>1963</v>
      </c>
      <c r="W2299" s="577" t="s">
        <v>1963</v>
      </c>
      <c r="X2299" s="577" t="s">
        <v>1963</v>
      </c>
      <c r="Y2299" s="577" t="s">
        <v>1963</v>
      </c>
      <c r="Z2299" s="577" t="s">
        <v>1963</v>
      </c>
      <c r="AA2299" s="577" t="s">
        <v>1963</v>
      </c>
      <c r="AB2299" s="577" t="s">
        <v>1963</v>
      </c>
      <c r="AC2299" s="577" t="s">
        <v>1963</v>
      </c>
      <c r="AD2299" s="577" t="s">
        <v>1963</v>
      </c>
      <c r="AE2299" s="577">
        <f t="shared" si="676"/>
        <v>178.14919446380952</v>
      </c>
      <c r="AF2299" s="577">
        <f t="shared" si="686"/>
        <v>178.14919446380952</v>
      </c>
      <c r="AG2299" s="750">
        <f t="shared" si="665"/>
        <v>18.899999999999999</v>
      </c>
      <c r="AH2299" s="750">
        <f t="shared" si="659"/>
        <v>1547.3435977313275</v>
      </c>
      <c r="AI2299" s="750">
        <v>0.6</v>
      </c>
      <c r="AJ2299" s="750"/>
      <c r="AK2299" s="750"/>
      <c r="AL2299" s="750"/>
      <c r="AM2299" s="750"/>
      <c r="AN2299" s="750"/>
      <c r="AO2299" s="750"/>
      <c r="AP2299" s="750"/>
      <c r="AQ2299" s="750"/>
      <c r="AR2299" s="750"/>
      <c r="AS2299" s="750">
        <f t="shared" si="688"/>
        <v>3395.3347449131966</v>
      </c>
      <c r="AT2299" s="750">
        <f>(((U2299+AF2299+AG2299+AH2299)*AI2299)+(U2299+AF2299+AG2299+AH2299))*1.08</f>
        <v>3395.3347449131966</v>
      </c>
      <c r="AU2299" s="107"/>
      <c r="BC2299" s="745" t="s">
        <v>1684</v>
      </c>
      <c r="BD2299" s="745">
        <f>$AO$29/4</f>
        <v>386.83589943283187</v>
      </c>
    </row>
    <row r="2300" spans="13:59" s="29" customFormat="1" ht="25.5" customHeight="1" x14ac:dyDescent="0.25">
      <c r="M2300" s="750" t="s">
        <v>436</v>
      </c>
      <c r="N2300" s="750">
        <f>P31</f>
        <v>2.6</v>
      </c>
      <c r="O2300" s="750" t="str">
        <f>O31</f>
        <v>g</v>
      </c>
      <c r="P2300" s="750">
        <v>50</v>
      </c>
      <c r="Q2300" s="750">
        <f t="shared" si="658"/>
        <v>130</v>
      </c>
      <c r="R2300" s="750">
        <f>AJ19</f>
        <v>0.37</v>
      </c>
      <c r="S2300" s="750">
        <f t="shared" si="662"/>
        <v>18.5</v>
      </c>
      <c r="T2300" s="750">
        <f t="shared" si="663"/>
        <v>31.5</v>
      </c>
      <c r="U2300" s="750">
        <f t="shared" si="664"/>
        <v>178.1</v>
      </c>
      <c r="V2300" s="577" t="s">
        <v>1963</v>
      </c>
      <c r="W2300" s="577" t="s">
        <v>1963</v>
      </c>
      <c r="X2300" s="577" t="s">
        <v>1963</v>
      </c>
      <c r="Y2300" s="577" t="s">
        <v>1963</v>
      </c>
      <c r="Z2300" s="577" t="s">
        <v>1963</v>
      </c>
      <c r="AA2300" s="577" t="s">
        <v>1963</v>
      </c>
      <c r="AB2300" s="577" t="s">
        <v>1963</v>
      </c>
      <c r="AC2300" s="577" t="s">
        <v>1963</v>
      </c>
      <c r="AD2300" s="577" t="s">
        <v>1963</v>
      </c>
      <c r="AE2300" s="577">
        <f t="shared" si="676"/>
        <v>178.14919446380952</v>
      </c>
      <c r="AF2300" s="577">
        <f t="shared" si="686"/>
        <v>178.14919446380952</v>
      </c>
      <c r="AG2300" s="750">
        <f t="shared" si="665"/>
        <v>18.899999999999999</v>
      </c>
      <c r="AH2300" s="750">
        <f t="shared" si="659"/>
        <v>1547.3435977313275</v>
      </c>
      <c r="AI2300" s="750">
        <v>0.6</v>
      </c>
      <c r="AJ2300" s="750"/>
      <c r="AK2300" s="750"/>
      <c r="AL2300" s="750"/>
      <c r="AM2300" s="750"/>
      <c r="AN2300" s="750"/>
      <c r="AO2300" s="750"/>
      <c r="AP2300" s="750"/>
      <c r="AQ2300" s="750"/>
      <c r="AR2300" s="750"/>
      <c r="AS2300" s="750">
        <f t="shared" si="688"/>
        <v>3322.0675449131973</v>
      </c>
      <c r="AT2300" s="750">
        <f>(((U2300+AF2300+AG2300+AH2300)*AI2300)+(U2300+AF2300+AG2300+AH2300))*1.08</f>
        <v>3322.0675449131973</v>
      </c>
      <c r="AU2300" s="107"/>
      <c r="BC2300" s="745" t="s">
        <v>1780</v>
      </c>
      <c r="BD2300" s="745">
        <v>0.6</v>
      </c>
    </row>
    <row r="2301" spans="13:59" s="29" customFormat="1" ht="25.5" customHeight="1" x14ac:dyDescent="0.25">
      <c r="M2301" s="750" t="s">
        <v>657</v>
      </c>
      <c r="N2301" s="750">
        <f>AB7</f>
        <v>19.98</v>
      </c>
      <c r="O2301" s="750" t="str">
        <f>AA7</f>
        <v>g</v>
      </c>
      <c r="P2301" s="750">
        <v>40</v>
      </c>
      <c r="Q2301" s="750">
        <f t="shared" si="658"/>
        <v>799.2</v>
      </c>
      <c r="R2301" s="750">
        <v>0</v>
      </c>
      <c r="S2301" s="750">
        <f t="shared" si="662"/>
        <v>0</v>
      </c>
      <c r="T2301" s="750">
        <f t="shared" si="663"/>
        <v>40</v>
      </c>
      <c r="U2301" s="750">
        <f t="shared" si="664"/>
        <v>799.2</v>
      </c>
      <c r="V2301" s="577" t="s">
        <v>1963</v>
      </c>
      <c r="W2301" s="577" t="s">
        <v>1963</v>
      </c>
      <c r="X2301" s="577">
        <f t="shared" si="687"/>
        <v>267.22379169571428</v>
      </c>
      <c r="Y2301" s="577" t="s">
        <v>1963</v>
      </c>
      <c r="Z2301" s="577" t="s">
        <v>1963</v>
      </c>
      <c r="AA2301" s="577" t="s">
        <v>1963</v>
      </c>
      <c r="AB2301" s="577" t="s">
        <v>1963</v>
      </c>
      <c r="AC2301" s="577" t="s">
        <v>1963</v>
      </c>
      <c r="AD2301" s="577" t="s">
        <v>1963</v>
      </c>
      <c r="AE2301" s="577">
        <f t="shared" si="676"/>
        <v>178.14919446380952</v>
      </c>
      <c r="AF2301" s="577" t="s">
        <v>1963</v>
      </c>
      <c r="AG2301" s="750">
        <f t="shared" si="665"/>
        <v>18.899999999999999</v>
      </c>
      <c r="AH2301" s="750">
        <f t="shared" si="659"/>
        <v>1547.3435977313275</v>
      </c>
      <c r="AI2301" s="750">
        <v>0.6</v>
      </c>
      <c r="AJ2301" s="750"/>
      <c r="AK2301" s="750"/>
      <c r="AL2301" s="750">
        <f>(((U2301+X2301+AG2301+AH2301)*AI2301)+(U2301+X2301+AG2301+AH2301))*1.08</f>
        <v>4549.2492489299275</v>
      </c>
      <c r="AM2301" s="750"/>
      <c r="AN2301" s="750"/>
      <c r="AO2301" s="750"/>
      <c r="AP2301" s="750"/>
      <c r="AQ2301" s="750"/>
      <c r="AR2301" s="750"/>
      <c r="AS2301" s="750">
        <f t="shared" si="688"/>
        <v>4395.3283449131968</v>
      </c>
      <c r="AT2301" s="750"/>
      <c r="AU2301" s="107"/>
      <c r="BC2301" s="745" t="s">
        <v>1708</v>
      </c>
      <c r="BD2301" s="745">
        <f>(SUM(BD2296:BD2299)*BD2300)+SUM(BD2296:BD2299)</f>
        <v>8721.4320782455525</v>
      </c>
    </row>
    <row r="2302" spans="13:59" s="29" customFormat="1" ht="25.5" customHeight="1" x14ac:dyDescent="0.25">
      <c r="M2302" s="750" t="s">
        <v>515</v>
      </c>
      <c r="N2302" s="750">
        <f>P6</f>
        <v>7.8</v>
      </c>
      <c r="O2302" s="750" t="str">
        <f>O6</f>
        <v>g</v>
      </c>
      <c r="P2302" s="750">
        <v>30</v>
      </c>
      <c r="Q2302" s="750">
        <f t="shared" si="658"/>
        <v>234</v>
      </c>
      <c r="R2302" s="750">
        <f>AJ4</f>
        <v>0.55000000000000004</v>
      </c>
      <c r="S2302" s="750">
        <f t="shared" si="662"/>
        <v>16.5</v>
      </c>
      <c r="T2302" s="750">
        <f t="shared" si="663"/>
        <v>13.5</v>
      </c>
      <c r="U2302" s="750">
        <f>Q2302+((S2302*Q2302)/P2302)</f>
        <v>362.7</v>
      </c>
      <c r="V2302" s="577" t="s">
        <v>1963</v>
      </c>
      <c r="W2302" s="577" t="s">
        <v>1963</v>
      </c>
      <c r="X2302" s="577">
        <f t="shared" si="687"/>
        <v>267.22379169571428</v>
      </c>
      <c r="Y2302" s="577" t="s">
        <v>1963</v>
      </c>
      <c r="Z2302" s="577" t="s">
        <v>1963</v>
      </c>
      <c r="AA2302" s="577" t="s">
        <v>1963</v>
      </c>
      <c r="AB2302" s="577" t="s">
        <v>1963</v>
      </c>
      <c r="AC2302" s="577" t="s">
        <v>1963</v>
      </c>
      <c r="AD2302" s="577" t="s">
        <v>1963</v>
      </c>
      <c r="AE2302" s="577">
        <f t="shared" si="676"/>
        <v>178.14919446380952</v>
      </c>
      <c r="AF2302" s="577" t="s">
        <v>1963</v>
      </c>
      <c r="AG2302" s="750">
        <f t="shared" si="665"/>
        <v>18.899999999999999</v>
      </c>
      <c r="AH2302" s="750">
        <f t="shared" si="659"/>
        <v>1547.3435977313275</v>
      </c>
      <c r="AI2302" s="750">
        <v>0.6</v>
      </c>
      <c r="AJ2302" s="750"/>
      <c r="AK2302" s="750"/>
      <c r="AL2302" s="750">
        <f>(((U2302+X2302+AG2302+AH2302)*AI2302)+(U2302+X2302+AG2302+AH2302))*1.08</f>
        <v>3794.977248929928</v>
      </c>
      <c r="AM2302" s="750"/>
      <c r="AN2302" s="750"/>
      <c r="AO2302" s="750"/>
      <c r="AP2302" s="750"/>
      <c r="AQ2302" s="750"/>
      <c r="AR2302" s="750"/>
      <c r="AS2302" s="750">
        <f t="shared" si="688"/>
        <v>3641.0563449131969</v>
      </c>
      <c r="AT2302" s="750"/>
      <c r="AU2302" s="107"/>
      <c r="BC2302" s="745" t="s">
        <v>2130</v>
      </c>
      <c r="BD2302" s="745">
        <f>BD2301*0.08</f>
        <v>697.71456625964424</v>
      </c>
    </row>
    <row r="2303" spans="13:59" s="29" customFormat="1" ht="26.25" customHeight="1" x14ac:dyDescent="0.25">
      <c r="M2303" s="750" t="s">
        <v>474</v>
      </c>
      <c r="N2303" s="750">
        <f>P26</f>
        <v>3.5</v>
      </c>
      <c r="O2303" s="750" t="str">
        <f>O26</f>
        <v>g</v>
      </c>
      <c r="P2303" s="750">
        <v>50</v>
      </c>
      <c r="Q2303" s="750">
        <f t="shared" si="658"/>
        <v>175</v>
      </c>
      <c r="R2303" s="750">
        <f>AJ15</f>
        <v>0.26</v>
      </c>
      <c r="S2303" s="750">
        <f t="shared" si="662"/>
        <v>13</v>
      </c>
      <c r="T2303" s="750">
        <f t="shared" si="663"/>
        <v>37</v>
      </c>
      <c r="U2303" s="750">
        <f t="shared" ref="U2303:U2307" si="689">Q2303+((S2303*Q2303)/P2303)</f>
        <v>220.5</v>
      </c>
      <c r="V2303" s="577" t="s">
        <v>1963</v>
      </c>
      <c r="W2303" s="577" t="s">
        <v>1963</v>
      </c>
      <c r="X2303" s="577" t="s">
        <v>1963</v>
      </c>
      <c r="Y2303" s="577" t="s">
        <v>1963</v>
      </c>
      <c r="Z2303" s="577" t="s">
        <v>1963</v>
      </c>
      <c r="AA2303" s="577" t="s">
        <v>1963</v>
      </c>
      <c r="AB2303" s="577" t="s">
        <v>1963</v>
      </c>
      <c r="AC2303" s="577" t="s">
        <v>1963</v>
      </c>
      <c r="AD2303" s="577" t="s">
        <v>1963</v>
      </c>
      <c r="AE2303" s="577">
        <f t="shared" si="676"/>
        <v>178.14919446380952</v>
      </c>
      <c r="AF2303" s="577">
        <f t="shared" si="686"/>
        <v>178.14919446380952</v>
      </c>
      <c r="AG2303" s="750">
        <f t="shared" si="665"/>
        <v>18.899999999999999</v>
      </c>
      <c r="AH2303" s="750">
        <f t="shared" si="659"/>
        <v>1547.3435977313275</v>
      </c>
      <c r="AI2303" s="750">
        <v>0.6</v>
      </c>
      <c r="AJ2303" s="750"/>
      <c r="AK2303" s="750"/>
      <c r="AL2303" s="750"/>
      <c r="AM2303" s="750"/>
      <c r="AN2303" s="750"/>
      <c r="AO2303" s="750"/>
      <c r="AP2303" s="750"/>
      <c r="AQ2303" s="750"/>
      <c r="AR2303" s="750"/>
      <c r="AS2303" s="750">
        <f t="shared" si="688"/>
        <v>3395.3347449131966</v>
      </c>
      <c r="AT2303" s="750">
        <f>(((U2303+AF2303+AG2303+AH2303)*AI2303)+(U2303+AF2303+AG2303+AH2303))*1.08</f>
        <v>3395.3347449131966</v>
      </c>
      <c r="AU2303" s="107"/>
      <c r="BC2303" s="745" t="s">
        <v>1686</v>
      </c>
      <c r="BD2303" s="745">
        <f>SUM(BD2301+BD2302)</f>
        <v>9419.1466445051974</v>
      </c>
    </row>
    <row r="2304" spans="13:59" s="29" customFormat="1" ht="25.5" customHeight="1" x14ac:dyDescent="0.25">
      <c r="M2304" s="750" t="s">
        <v>510</v>
      </c>
      <c r="N2304" s="750">
        <f>P21</f>
        <v>1.6</v>
      </c>
      <c r="O2304" s="750" t="str">
        <f>O21</f>
        <v>g</v>
      </c>
      <c r="P2304" s="750">
        <v>50</v>
      </c>
      <c r="Q2304" s="750">
        <f t="shared" si="658"/>
        <v>80</v>
      </c>
      <c r="R2304" s="750">
        <f>AJ12</f>
        <v>0</v>
      </c>
      <c r="S2304" s="750">
        <f t="shared" si="662"/>
        <v>0</v>
      </c>
      <c r="T2304" s="750">
        <f t="shared" si="663"/>
        <v>50</v>
      </c>
      <c r="U2304" s="750">
        <f t="shared" si="689"/>
        <v>80</v>
      </c>
      <c r="V2304" s="577" t="s">
        <v>1963</v>
      </c>
      <c r="W2304" s="577" t="s">
        <v>1963</v>
      </c>
      <c r="X2304" s="577">
        <f t="shared" si="687"/>
        <v>267.22379169571428</v>
      </c>
      <c r="Y2304" s="577" t="s">
        <v>1963</v>
      </c>
      <c r="Z2304" s="577" t="s">
        <v>1963</v>
      </c>
      <c r="AA2304" s="577" t="s">
        <v>1963</v>
      </c>
      <c r="AB2304" s="577" t="s">
        <v>1963</v>
      </c>
      <c r="AC2304" s="577" t="s">
        <v>1963</v>
      </c>
      <c r="AD2304" s="577" t="s">
        <v>1963</v>
      </c>
      <c r="AE2304" s="577">
        <f t="shared" si="676"/>
        <v>178.14919446380952</v>
      </c>
      <c r="AF2304" s="577" t="s">
        <v>1963</v>
      </c>
      <c r="AG2304" s="750">
        <f t="shared" si="665"/>
        <v>18.899999999999999</v>
      </c>
      <c r="AH2304" s="750">
        <f t="shared" si="659"/>
        <v>1547.3435977313275</v>
      </c>
      <c r="AI2304" s="750">
        <v>0.6</v>
      </c>
      <c r="AJ2304" s="750"/>
      <c r="AK2304" s="750"/>
      <c r="AL2304" s="750">
        <f>(((U2304+X2304+AG2304+AH2304)*AI2304)+(U2304+X2304+AG2304+AH2304))*1.08</f>
        <v>3306.4716489299285</v>
      </c>
      <c r="AM2304" s="750"/>
      <c r="AN2304" s="750"/>
      <c r="AO2304" s="750"/>
      <c r="AP2304" s="750"/>
      <c r="AQ2304" s="750"/>
      <c r="AR2304" s="750"/>
      <c r="AS2304" s="750">
        <f t="shared" si="688"/>
        <v>3152.5507449131969</v>
      </c>
      <c r="AT2304" s="750"/>
      <c r="AU2304" s="107"/>
    </row>
    <row r="2305" spans="3:47" s="29" customFormat="1" ht="39" customHeight="1" x14ac:dyDescent="0.25">
      <c r="M2305" s="750" t="s">
        <v>572</v>
      </c>
      <c r="N2305" s="750">
        <f>P30</f>
        <v>3</v>
      </c>
      <c r="O2305" s="750" t="str">
        <f>O30</f>
        <v>g</v>
      </c>
      <c r="P2305" s="750">
        <v>60</v>
      </c>
      <c r="Q2305" s="750">
        <f t="shared" si="658"/>
        <v>180</v>
      </c>
      <c r="R2305" s="750">
        <v>0</v>
      </c>
      <c r="S2305" s="750">
        <f t="shared" si="662"/>
        <v>0</v>
      </c>
      <c r="T2305" s="750">
        <f t="shared" si="663"/>
        <v>60</v>
      </c>
      <c r="U2305" s="750">
        <f t="shared" si="689"/>
        <v>180</v>
      </c>
      <c r="V2305" s="577" t="s">
        <v>1963</v>
      </c>
      <c r="W2305" s="577" t="s">
        <v>1963</v>
      </c>
      <c r="X2305" s="577" t="s">
        <v>1963</v>
      </c>
      <c r="Y2305" s="577" t="s">
        <v>1963</v>
      </c>
      <c r="Z2305" s="577" t="s">
        <v>1963</v>
      </c>
      <c r="AA2305" s="577" t="s">
        <v>1963</v>
      </c>
      <c r="AB2305" s="577" t="s">
        <v>1963</v>
      </c>
      <c r="AC2305" s="577" t="s">
        <v>1963</v>
      </c>
      <c r="AD2305" s="577" t="s">
        <v>1963</v>
      </c>
      <c r="AE2305" s="577">
        <f t="shared" si="676"/>
        <v>178.14919446380952</v>
      </c>
      <c r="AF2305" s="577">
        <f t="shared" si="686"/>
        <v>178.14919446380952</v>
      </c>
      <c r="AG2305" s="750">
        <f t="shared" si="665"/>
        <v>18.899999999999999</v>
      </c>
      <c r="AH2305" s="750">
        <f t="shared" si="659"/>
        <v>1547.3435977313275</v>
      </c>
      <c r="AI2305" s="750">
        <v>0.6</v>
      </c>
      <c r="AJ2305" s="750"/>
      <c r="AK2305" s="750"/>
      <c r="AL2305" s="750"/>
      <c r="AM2305" s="750"/>
      <c r="AN2305" s="750"/>
      <c r="AO2305" s="750"/>
      <c r="AP2305" s="750"/>
      <c r="AQ2305" s="750"/>
      <c r="AR2305" s="750"/>
      <c r="AS2305" s="750">
        <f t="shared" si="688"/>
        <v>3325.3507449131971</v>
      </c>
      <c r="AT2305" s="750">
        <f>(((U2305+AF2305+AG2305+AH2305)*AI2305)+(U2305+AF2305+AG2305+AH2305))*1.08</f>
        <v>3325.3507449131971</v>
      </c>
      <c r="AU2305" s="107"/>
    </row>
    <row r="2306" spans="3:47" s="29" customFormat="1" ht="38.25" customHeight="1" x14ac:dyDescent="0.25">
      <c r="M2306" s="750" t="s">
        <v>653</v>
      </c>
      <c r="N2306" s="577">
        <f>P17</f>
        <v>14.478999999999999</v>
      </c>
      <c r="O2306" s="750" t="str">
        <f>O17</f>
        <v>g</v>
      </c>
      <c r="P2306" s="750">
        <v>50</v>
      </c>
      <c r="Q2306" s="750">
        <f t="shared" si="658"/>
        <v>723.94999999999993</v>
      </c>
      <c r="R2306" s="750">
        <f>AJ10</f>
        <v>0</v>
      </c>
      <c r="S2306" s="750">
        <f t="shared" si="662"/>
        <v>0</v>
      </c>
      <c r="T2306" s="750">
        <f t="shared" si="663"/>
        <v>50</v>
      </c>
      <c r="U2306" s="750">
        <f t="shared" si="689"/>
        <v>723.94999999999993</v>
      </c>
      <c r="V2306" s="577" t="s">
        <v>1963</v>
      </c>
      <c r="W2306" s="577" t="s">
        <v>1963</v>
      </c>
      <c r="X2306" s="577" t="s">
        <v>1963</v>
      </c>
      <c r="Y2306" s="577" t="s">
        <v>1963</v>
      </c>
      <c r="Z2306" s="577" t="s">
        <v>1963</v>
      </c>
      <c r="AA2306" s="577" t="s">
        <v>1963</v>
      </c>
      <c r="AB2306" s="577" t="s">
        <v>1963</v>
      </c>
      <c r="AC2306" s="577" t="s">
        <v>1963</v>
      </c>
      <c r="AD2306" s="577" t="s">
        <v>1963</v>
      </c>
      <c r="AE2306" s="577">
        <f t="shared" si="676"/>
        <v>178.14919446380952</v>
      </c>
      <c r="AF2306" s="577">
        <f t="shared" si="686"/>
        <v>178.14919446380952</v>
      </c>
      <c r="AG2306" s="750">
        <f t="shared" si="665"/>
        <v>18.899999999999999</v>
      </c>
      <c r="AH2306" s="750">
        <f t="shared" si="659"/>
        <v>1547.3435977313275</v>
      </c>
      <c r="AI2306" s="750">
        <v>0.6</v>
      </c>
      <c r="AJ2306" s="750"/>
      <c r="AK2306" s="750"/>
      <c r="AL2306" s="750"/>
      <c r="AM2306" s="750"/>
      <c r="AN2306" s="750"/>
      <c r="AO2306" s="750"/>
      <c r="AP2306" s="750"/>
      <c r="AQ2306" s="750"/>
      <c r="AR2306" s="750"/>
      <c r="AS2306" s="750">
        <f t="shared" si="688"/>
        <v>4265.2963449131967</v>
      </c>
      <c r="AT2306" s="750">
        <f>(((U2306+AF2306+AG2306+AH2306)*AI2306)+(U2306+AF2306+AG2306+AH2306))*1.08</f>
        <v>4265.2963449131967</v>
      </c>
      <c r="AU2306" s="107"/>
    </row>
    <row r="2307" spans="3:47" s="29" customFormat="1" ht="26.25" customHeight="1" x14ac:dyDescent="0.25">
      <c r="M2307" s="750" t="s">
        <v>463</v>
      </c>
      <c r="N2307" s="577">
        <f>Y12</f>
        <v>86.33</v>
      </c>
      <c r="O2307" s="750" t="str">
        <f>X21</f>
        <v>g</v>
      </c>
      <c r="P2307" s="750">
        <v>5</v>
      </c>
      <c r="Q2307" s="750">
        <f t="shared" si="658"/>
        <v>431.65</v>
      </c>
      <c r="R2307" s="750">
        <v>0</v>
      </c>
      <c r="S2307" s="750">
        <f t="shared" si="662"/>
        <v>0</v>
      </c>
      <c r="T2307" s="750">
        <f t="shared" si="663"/>
        <v>5</v>
      </c>
      <c r="U2307" s="750">
        <f t="shared" si="689"/>
        <v>431.65</v>
      </c>
      <c r="V2307" s="577" t="s">
        <v>1963</v>
      </c>
      <c r="W2307" s="577" t="s">
        <v>1963</v>
      </c>
      <c r="X2307" s="577" t="s">
        <v>1963</v>
      </c>
      <c r="Y2307" s="577" t="s">
        <v>1963</v>
      </c>
      <c r="Z2307" s="577" t="s">
        <v>1963</v>
      </c>
      <c r="AA2307" s="577" t="s">
        <v>1963</v>
      </c>
      <c r="AB2307" s="577" t="s">
        <v>1963</v>
      </c>
      <c r="AC2307" s="577" t="s">
        <v>1963</v>
      </c>
      <c r="AD2307" s="577" t="s">
        <v>1963</v>
      </c>
      <c r="AE2307" s="577" t="s">
        <v>1963</v>
      </c>
      <c r="AF2307" s="577" t="s">
        <v>1963</v>
      </c>
      <c r="AG2307" s="750">
        <f t="shared" si="665"/>
        <v>18.899999999999999</v>
      </c>
      <c r="AH2307" s="750">
        <f t="shared" si="659"/>
        <v>1547.3435977313275</v>
      </c>
      <c r="AI2307" s="750">
        <v>0.6</v>
      </c>
      <c r="AJ2307" s="750"/>
      <c r="AK2307" s="750"/>
      <c r="AL2307" s="750"/>
      <c r="AM2307" s="750"/>
      <c r="AN2307" s="750"/>
      <c r="AO2307" s="750"/>
      <c r="AP2307" s="750"/>
      <c r="AQ2307" s="750"/>
      <c r="AR2307" s="750"/>
      <c r="AS2307" s="750"/>
      <c r="AT2307" s="750"/>
      <c r="AU2307" s="30"/>
    </row>
    <row r="2308" spans="3:47" s="29" customFormat="1" ht="38.25" customHeight="1" x14ac:dyDescent="0.25">
      <c r="M2308" s="750"/>
      <c r="N2308" s="750"/>
      <c r="O2308" s="750"/>
      <c r="P2308" s="750"/>
      <c r="Q2308" s="750"/>
      <c r="R2308" s="750"/>
      <c r="S2308" s="750"/>
      <c r="T2308" s="750"/>
      <c r="U2308" s="750"/>
      <c r="V2308" s="750"/>
      <c r="W2308" s="750"/>
      <c r="X2308" s="750"/>
      <c r="Y2308" s="750"/>
      <c r="Z2308" s="750"/>
      <c r="AA2308" s="750"/>
      <c r="AB2308" s="750"/>
      <c r="AC2308" s="750"/>
      <c r="AD2308" s="750"/>
      <c r="AE2308" s="750"/>
      <c r="AF2308" s="750"/>
      <c r="AG2308" s="750"/>
      <c r="AH2308" s="750"/>
      <c r="AI2308" s="750"/>
      <c r="AJ2308" s="750"/>
      <c r="AK2308" s="750"/>
      <c r="AL2308" s="750"/>
      <c r="AM2308" s="750"/>
      <c r="AN2308" s="750"/>
      <c r="AO2308" s="750"/>
      <c r="AP2308" s="750"/>
      <c r="AQ2308" s="750"/>
      <c r="AR2308" s="750"/>
      <c r="AS2308" s="750"/>
      <c r="AT2308" s="750"/>
      <c r="AU2308" s="30"/>
    </row>
    <row r="2309" spans="3:47" s="29" customFormat="1" x14ac:dyDescent="0.25">
      <c r="M2309" s="750" t="s">
        <v>337</v>
      </c>
      <c r="N2309" s="750">
        <f>SUM(N2279:N2308)</f>
        <v>781.17900000000009</v>
      </c>
      <c r="O2309" s="750"/>
      <c r="P2309" s="750">
        <f>SUM(P2279:P2308)</f>
        <v>1835</v>
      </c>
      <c r="Q2309" s="750">
        <f>SUM(Q2279:Q2308)</f>
        <v>47992.6</v>
      </c>
      <c r="R2309" s="750"/>
      <c r="S2309" s="750"/>
      <c r="T2309" s="750"/>
      <c r="U2309" s="750">
        <f>SUM(U2279:U2308)</f>
        <v>62181.222000000002</v>
      </c>
      <c r="V2309" s="750"/>
      <c r="W2309" s="750"/>
      <c r="X2309" s="750"/>
      <c r="Y2309" s="750"/>
      <c r="Z2309" s="750"/>
      <c r="AA2309" s="750"/>
      <c r="AB2309" s="750"/>
      <c r="AC2309" s="750"/>
      <c r="AD2309" s="750"/>
      <c r="AE2309" s="750"/>
      <c r="AF2309" s="750"/>
      <c r="AG2309" s="750"/>
      <c r="AH2309" s="750"/>
      <c r="AI2309" s="750"/>
      <c r="AJ2309" s="750"/>
      <c r="AK2309" s="750"/>
      <c r="AL2309" s="750"/>
      <c r="AM2309" s="750"/>
      <c r="AN2309" s="750"/>
      <c r="AO2309" s="750"/>
      <c r="AP2309" s="750"/>
      <c r="AQ2309" s="750"/>
      <c r="AR2309" s="750"/>
      <c r="AS2309" s="750"/>
      <c r="AT2309" s="750"/>
    </row>
    <row r="2310" spans="3:47" s="29" customFormat="1" x14ac:dyDescent="0.25">
      <c r="M2310" s="578"/>
      <c r="N2310" s="578"/>
      <c r="O2310" s="578"/>
      <c r="P2310" s="578"/>
      <c r="Q2310" s="578"/>
      <c r="R2310" s="578"/>
      <c r="S2310" s="578"/>
      <c r="T2310" s="578"/>
      <c r="U2310" s="578"/>
      <c r="V2310" s="578"/>
      <c r="W2310" s="578"/>
      <c r="X2310" s="578"/>
      <c r="Y2310" s="578"/>
      <c r="Z2310" s="578"/>
      <c r="AA2310" s="578"/>
      <c r="AB2310" s="578"/>
      <c r="AC2310" s="578"/>
      <c r="AD2310" s="578"/>
      <c r="AE2310" s="578"/>
      <c r="AF2310" s="578"/>
      <c r="AG2310" s="578"/>
      <c r="AH2310" s="578"/>
      <c r="AI2310" s="578"/>
      <c r="AJ2310" s="578"/>
      <c r="AK2310" s="578"/>
      <c r="AL2310" s="578"/>
      <c r="AM2310" s="578"/>
      <c r="AN2310" s="578"/>
      <c r="AO2310" s="578"/>
      <c r="AP2310" s="578"/>
      <c r="AQ2310" s="578"/>
      <c r="AR2310" s="578"/>
      <c r="AS2310" s="578"/>
      <c r="AT2310" s="578"/>
    </row>
    <row r="2311" spans="3:47" s="29" customFormat="1" ht="16.5" customHeight="1" x14ac:dyDescent="0.25">
      <c r="M2311" s="578"/>
      <c r="N2311" s="578"/>
      <c r="O2311" s="578"/>
      <c r="P2311" s="578"/>
      <c r="Q2311" s="578"/>
      <c r="R2311" s="578"/>
      <c r="S2311" s="578"/>
      <c r="T2311" s="578"/>
      <c r="U2311" s="578"/>
      <c r="V2311" s="578"/>
      <c r="W2311" s="578"/>
      <c r="X2311" s="578"/>
      <c r="Y2311" s="578"/>
      <c r="Z2311" s="578"/>
      <c r="AA2311" s="578"/>
      <c r="AB2311" s="578"/>
      <c r="AC2311" s="578"/>
      <c r="AD2311" s="578"/>
      <c r="AE2311" s="578"/>
      <c r="AF2311" s="578"/>
      <c r="AG2311" s="578"/>
      <c r="AH2311" s="578"/>
      <c r="AI2311" s="578"/>
      <c r="AJ2311" s="578"/>
      <c r="AK2311" s="578"/>
      <c r="AL2311" s="578"/>
      <c r="AM2311" s="578"/>
      <c r="AN2311" s="578"/>
      <c r="AO2311" s="578"/>
      <c r="AP2311" s="578"/>
      <c r="AQ2311" s="578"/>
      <c r="AR2311" s="578"/>
      <c r="AS2311" s="578"/>
      <c r="AT2311" s="578"/>
    </row>
    <row r="2312" spans="3:47" s="29" customFormat="1" ht="15.75" customHeight="1" x14ac:dyDescent="0.25">
      <c r="M2312" s="578"/>
      <c r="N2312" s="578"/>
      <c r="O2312" s="578"/>
      <c r="P2312" s="578"/>
      <c r="Q2312" s="578"/>
      <c r="R2312" s="578"/>
      <c r="S2312" s="578"/>
      <c r="T2312" s="578"/>
      <c r="U2312" s="578"/>
      <c r="V2312" s="578"/>
      <c r="W2312" s="578"/>
      <c r="X2312" s="578"/>
      <c r="Y2312" s="578"/>
      <c r="Z2312" s="578"/>
      <c r="AA2312" s="578"/>
      <c r="AB2312" s="578"/>
      <c r="AC2312" s="578"/>
      <c r="AD2312" s="578"/>
      <c r="AE2312" s="578"/>
      <c r="AF2312" s="578"/>
      <c r="AG2312" s="578"/>
      <c r="AH2312" s="578"/>
      <c r="AI2312" s="578"/>
      <c r="AJ2312" s="578"/>
      <c r="AK2312" s="578"/>
      <c r="AL2312" s="578"/>
      <c r="AM2312" s="578"/>
      <c r="AN2312" s="578"/>
      <c r="AO2312" s="578"/>
      <c r="AP2312" s="578"/>
      <c r="AQ2312" s="578"/>
      <c r="AR2312" s="578"/>
      <c r="AS2312" s="578"/>
      <c r="AT2312" s="578"/>
    </row>
    <row r="2313" spans="3:47" s="29" customFormat="1" ht="25.5" customHeight="1" x14ac:dyDescent="0.25">
      <c r="C2313" s="115" t="s">
        <v>357</v>
      </c>
      <c r="D2313" s="115" t="s">
        <v>358</v>
      </c>
      <c r="E2313" s="115" t="s">
        <v>359</v>
      </c>
      <c r="F2313" s="115" t="s">
        <v>360</v>
      </c>
      <c r="G2313" s="115" t="s">
        <v>361</v>
      </c>
      <c r="M2313" s="750" t="s">
        <v>336</v>
      </c>
      <c r="N2313" s="750" t="s">
        <v>174</v>
      </c>
      <c r="O2313" s="750" t="s">
        <v>248</v>
      </c>
      <c r="P2313" s="750" t="s">
        <v>176</v>
      </c>
      <c r="Q2313" s="750" t="s">
        <v>337</v>
      </c>
      <c r="R2313" s="750" t="s">
        <v>1641</v>
      </c>
      <c r="S2313" s="750" t="s">
        <v>1642</v>
      </c>
      <c r="T2313" s="750" t="s">
        <v>1643</v>
      </c>
      <c r="U2313" s="750" t="s">
        <v>1644</v>
      </c>
      <c r="V2313" s="750" t="s">
        <v>1919</v>
      </c>
      <c r="W2313" s="750" t="s">
        <v>1920</v>
      </c>
      <c r="X2313" s="750" t="s">
        <v>1921</v>
      </c>
      <c r="Y2313" s="750" t="s">
        <v>1922</v>
      </c>
      <c r="Z2313" s="750" t="s">
        <v>1924</v>
      </c>
      <c r="AA2313" s="750" t="s">
        <v>1923</v>
      </c>
      <c r="AB2313" s="750" t="s">
        <v>1925</v>
      </c>
      <c r="AC2313" s="750" t="s">
        <v>1926</v>
      </c>
      <c r="AD2313" s="750" t="s">
        <v>1927</v>
      </c>
      <c r="AE2313" s="750" t="s">
        <v>1928</v>
      </c>
      <c r="AF2313" s="750" t="s">
        <v>1929</v>
      </c>
      <c r="AG2313" s="750" t="s">
        <v>1872</v>
      </c>
      <c r="AH2313" s="750" t="s">
        <v>1873</v>
      </c>
      <c r="AI2313" s="750" t="s">
        <v>1780</v>
      </c>
      <c r="AJ2313" s="750" t="s">
        <v>2035</v>
      </c>
      <c r="AK2313" s="750" t="s">
        <v>2036</v>
      </c>
      <c r="AL2313" s="750" t="s">
        <v>2037</v>
      </c>
      <c r="AM2313" s="750" t="s">
        <v>2038</v>
      </c>
      <c r="AN2313" s="750" t="s">
        <v>2039</v>
      </c>
      <c r="AO2313" s="750" t="s">
        <v>2040</v>
      </c>
      <c r="AP2313" s="750" t="s">
        <v>2041</v>
      </c>
      <c r="AQ2313" s="750" t="s">
        <v>2042</v>
      </c>
      <c r="AR2313" s="750" t="s">
        <v>2043</v>
      </c>
      <c r="AS2313" s="750" t="s">
        <v>2045</v>
      </c>
      <c r="AT2313" s="750" t="s">
        <v>2044</v>
      </c>
    </row>
    <row r="2314" spans="3:47" s="29" customFormat="1" ht="26.25" customHeight="1" x14ac:dyDescent="0.25">
      <c r="C2314" s="1002" t="s">
        <v>362</v>
      </c>
      <c r="D2314" s="116" t="s">
        <v>384</v>
      </c>
      <c r="E2314" s="116" t="s">
        <v>1063</v>
      </c>
      <c r="F2314" s="116" t="s">
        <v>364</v>
      </c>
      <c r="G2314" s="116" t="s">
        <v>365</v>
      </c>
      <c r="M2314" s="750" t="s">
        <v>344</v>
      </c>
      <c r="N2314" s="750"/>
      <c r="O2314" s="750" t="s">
        <v>342</v>
      </c>
      <c r="P2314" s="750">
        <v>100</v>
      </c>
      <c r="Q2314" s="750">
        <f t="shared" ref="Q2314:Q2341" si="690">N2314*P2314</f>
        <v>0</v>
      </c>
      <c r="R2314" s="750">
        <v>0</v>
      </c>
      <c r="S2314" s="750">
        <f>P2314*R2314</f>
        <v>0</v>
      </c>
      <c r="T2314" s="750">
        <f>P2314-S2314</f>
        <v>100</v>
      </c>
      <c r="U2314" s="750">
        <f>Q2314+((S2314*Q2314)/P2314)</f>
        <v>0</v>
      </c>
      <c r="V2314" s="750"/>
      <c r="W2314" s="750"/>
      <c r="X2314" s="750"/>
      <c r="Y2314" s="750"/>
      <c r="Z2314" s="750"/>
      <c r="AA2314" s="750"/>
      <c r="AB2314" s="750"/>
      <c r="AC2314" s="750"/>
      <c r="AD2314" s="750"/>
      <c r="AE2314" s="750"/>
      <c r="AF2314" s="750"/>
      <c r="AG2314" s="750">
        <f>$AO$27/4</f>
        <v>18.899999999999999</v>
      </c>
      <c r="AH2314" s="750">
        <f t="shared" ref="AH2314:AH2341" si="691">$AO$29</f>
        <v>1547.3435977313275</v>
      </c>
      <c r="AI2314" s="750">
        <v>0.6</v>
      </c>
      <c r="AJ2314" s="750">
        <f>(((U2314+V2314+AG2314+AH2314)*AI2314)+(U2314+V2314+AG2314+AH2314))*1.08</f>
        <v>2706.4689368797344</v>
      </c>
      <c r="AK2314" s="750">
        <f>(((U2314+W2314+AG2314+AH2314)*AI2314)+(U2314+W2314+AG2314+AH2314))*1.08</f>
        <v>2706.4689368797344</v>
      </c>
      <c r="AL2314" s="750">
        <f>(((U2314+X2314+AG2314+AH2314)*AI2314)+(U2314+X2314+AG2314+AH2314))*1.08</f>
        <v>2706.4689368797344</v>
      </c>
      <c r="AM2314" s="750">
        <f t="shared" ref="AM2314:AM2319" si="692">(((U2314+Y2314+AG2314+AH2314)*AI2314)+(U2314+Y2314+AG2314+AH2314))*1.08</f>
        <v>2706.4689368797344</v>
      </c>
      <c r="AN2314" s="750">
        <f t="shared" ref="AN2314:AN2320" si="693">(((U2314+Z2314+AG2314+AH2314)*AI2314)+(U2314+Z2314+AG2314+AH2314))*1.08</f>
        <v>2706.4689368797344</v>
      </c>
      <c r="AO2314" s="750">
        <f>(((U2314+AA2314+AG2314+AH2314)*AI2314)+(U2314+AA2314+AG2314+AH2314))*1.08</f>
        <v>2706.4689368797344</v>
      </c>
      <c r="AP2314" s="750">
        <f>(((U2314+AB2314+AG2314+AH2314)*AI2314)+(U2314+AB2314+AG2314+AH2314))*1.08</f>
        <v>2706.4689368797344</v>
      </c>
      <c r="AQ2314" s="750">
        <f>(((U2314+AC2314+AG2314+AH2314)*AI2314)+(U2314+AC2314+AG2314+AH2314))*1.08</f>
        <v>2706.4689368797344</v>
      </c>
      <c r="AR2314" s="750">
        <f>(((U2314+AD2314+AG2314+AH2314)*AI2314)+(U2314+AD2314+AG2314+AH2314))*1.08</f>
        <v>2706.4689368797344</v>
      </c>
      <c r="AS2314" s="750">
        <f>(((U2314+AE2314+AG2314+AH2314)*AI2314)+(U2314+AE2314+AG2314+AH2314))*1.08</f>
        <v>2706.4689368797344</v>
      </c>
      <c r="AT2314" s="750">
        <f>(((U2314+AF2314+AG2314+AH2314)*AI2314)+(U2314+AF2314+AG2314+AH2314))*1.08</f>
        <v>2706.4689368797344</v>
      </c>
    </row>
    <row r="2315" spans="3:47" s="29" customFormat="1" ht="25.5" customHeight="1" x14ac:dyDescent="0.25">
      <c r="C2315" s="1002"/>
      <c r="D2315" s="116" t="s">
        <v>366</v>
      </c>
      <c r="E2315" s="116" t="s">
        <v>1064</v>
      </c>
      <c r="F2315" s="116" t="s">
        <v>364</v>
      </c>
      <c r="G2315" s="116" t="s">
        <v>365</v>
      </c>
      <c r="M2315" s="750" t="s">
        <v>359</v>
      </c>
      <c r="N2315" s="750"/>
      <c r="O2315" s="750" t="s">
        <v>342</v>
      </c>
      <c r="P2315" s="750">
        <v>120</v>
      </c>
      <c r="Q2315" s="750">
        <f t="shared" si="690"/>
        <v>0</v>
      </c>
      <c r="R2315" s="750">
        <v>0</v>
      </c>
      <c r="S2315" s="750">
        <f t="shared" ref="S2315:S2341" si="694">P2315*R2315</f>
        <v>0</v>
      </c>
      <c r="T2315" s="750">
        <f t="shared" ref="T2315:T2341" si="695">P2315-S2315</f>
        <v>120</v>
      </c>
      <c r="U2315" s="750">
        <f t="shared" ref="U2315:U2336" si="696">Q2315+((S2315*Q2315)/P2315)</f>
        <v>0</v>
      </c>
      <c r="V2315" s="750"/>
      <c r="W2315" s="750"/>
      <c r="X2315" s="750"/>
      <c r="Y2315" s="750"/>
      <c r="Z2315" s="750"/>
      <c r="AA2315" s="750"/>
      <c r="AB2315" s="750"/>
      <c r="AC2315" s="750"/>
      <c r="AD2315" s="750"/>
      <c r="AE2315" s="750"/>
      <c r="AF2315" s="750"/>
      <c r="AG2315" s="750">
        <f t="shared" ref="AG2315:AG2341" si="697">$AO$27/4</f>
        <v>18.899999999999999</v>
      </c>
      <c r="AH2315" s="750">
        <f t="shared" si="691"/>
        <v>1547.3435977313275</v>
      </c>
      <c r="AI2315" s="750">
        <v>0.6</v>
      </c>
      <c r="AJ2315" s="750">
        <f>(((U2315+V2315+AG2315+AH2315)*AI2315)+(U2315+V2315+AG2315+AH2315))*1.08</f>
        <v>2706.4689368797344</v>
      </c>
      <c r="AK2315" s="750">
        <f>(((U2315+W2315+AG2315+AH2315)*AI2315)+(U2315+W2315+AG2315+AH2315))*1.08</f>
        <v>2706.4689368797344</v>
      </c>
      <c r="AL2315" s="750">
        <f>(((U2315+X2315+AG2315+AH2315)*AI2315)+(U2315+X2315+AG2315+AH2315))*1.08</f>
        <v>2706.4689368797344</v>
      </c>
      <c r="AM2315" s="750">
        <f t="shared" si="692"/>
        <v>2706.4689368797344</v>
      </c>
      <c r="AN2315" s="750">
        <f t="shared" si="693"/>
        <v>2706.4689368797344</v>
      </c>
      <c r="AO2315" s="750">
        <f>(((U2315+AA2315+AG2315+AH2315)*AI2315)+(U2315+AA2315+AG2315+AH2315))*1.08</f>
        <v>2706.4689368797344</v>
      </c>
      <c r="AP2315" s="750">
        <f>(((U2315+AB2315+AG2315+AH2315)*AI2315)+(U2315+AB2315+AG2315+AH2315))*1.08</f>
        <v>2706.4689368797344</v>
      </c>
      <c r="AQ2315" s="750">
        <f>(((U2315+AC2315+AG2315+AH2315)*AI2315)+(U2315+AC2315+AG2315+AH2315))*1.08</f>
        <v>2706.4689368797344</v>
      </c>
      <c r="AR2315" s="750">
        <f>(((U2315+AD2315+AG2315+AH2315)*AI2315)+(U2315+AD2315+AG2315+AH2315))*1.08</f>
        <v>2706.4689368797344</v>
      </c>
      <c r="AS2315" s="750">
        <f>(((U2315+AE2315+AG2315+AH2315)*AI2315)+(U2315+AE2315+AG2315+AH2315))*1.08</f>
        <v>2706.4689368797344</v>
      </c>
      <c r="AT2315" s="750">
        <f>(((U2315+AF2315+AG2315+AH2315)*AI2315)+(U2315+AF2315+AG2315+AH2315))*1.08</f>
        <v>2706.4689368797344</v>
      </c>
      <c r="AU2315" s="30"/>
    </row>
    <row r="2316" spans="3:47" s="29" customFormat="1" ht="26.25" customHeight="1" x14ac:dyDescent="0.25">
      <c r="C2316" s="1002" t="s">
        <v>367</v>
      </c>
      <c r="D2316" s="116" t="s">
        <v>374</v>
      </c>
      <c r="E2316" s="116" t="s">
        <v>1065</v>
      </c>
      <c r="F2316" s="116" t="s">
        <v>1066</v>
      </c>
      <c r="G2316" s="116" t="s">
        <v>1067</v>
      </c>
      <c r="M2316" s="750" t="s">
        <v>427</v>
      </c>
      <c r="N2316" s="750">
        <f>S8</f>
        <v>59</v>
      </c>
      <c r="O2316" s="750" t="str">
        <f>R8</f>
        <v>g</v>
      </c>
      <c r="P2316" s="750">
        <v>80</v>
      </c>
      <c r="Q2316" s="750">
        <f t="shared" si="690"/>
        <v>4720</v>
      </c>
      <c r="R2316" s="750">
        <f>AN4</f>
        <v>0.41</v>
      </c>
      <c r="S2316" s="750">
        <f t="shared" si="694"/>
        <v>32.799999999999997</v>
      </c>
      <c r="T2316" s="750">
        <f t="shared" si="695"/>
        <v>47.2</v>
      </c>
      <c r="U2316" s="750">
        <f t="shared" si="696"/>
        <v>6655.2</v>
      </c>
      <c r="V2316" s="577">
        <f>$AR$8</f>
        <v>267.22379169571428</v>
      </c>
      <c r="W2316" s="577">
        <f>$AR$9</f>
        <v>178.14919446380952</v>
      </c>
      <c r="X2316" s="577">
        <f>$AR$10</f>
        <v>267.22379169571428</v>
      </c>
      <c r="Y2316" s="577">
        <f>$AR$11</f>
        <v>267.22379169571428</v>
      </c>
      <c r="Z2316" s="577">
        <f>$AR$12</f>
        <v>267.22379169571428</v>
      </c>
      <c r="AA2316" s="577">
        <f>$AR$13</f>
        <v>178.14919446380952</v>
      </c>
      <c r="AB2316" s="577">
        <f>$AR$14</f>
        <v>178.14919446380952</v>
      </c>
      <c r="AC2316" s="577">
        <f>$AR$15</f>
        <v>267.22379169571428</v>
      </c>
      <c r="AD2316" s="577" t="s">
        <v>1963</v>
      </c>
      <c r="AE2316" s="577" t="s">
        <v>1963</v>
      </c>
      <c r="AF2316" s="577" t="s">
        <v>1963</v>
      </c>
      <c r="AG2316" s="750">
        <f t="shared" si="697"/>
        <v>18.899999999999999</v>
      </c>
      <c r="AH2316" s="750">
        <f t="shared" si="691"/>
        <v>1547.3435977313275</v>
      </c>
      <c r="AI2316" s="750">
        <v>0.6</v>
      </c>
      <c r="AJ2316" s="750">
        <f>(((U2316+V2316+AG2316+AH2316)*AI2316)+(U2316+V2316+AG2316+AH2316))*1.08</f>
        <v>14668.417248929929</v>
      </c>
      <c r="AK2316" s="750">
        <f>(((U2316+W2316+AG2316+AH2316)*AI2316)+(U2316+W2316+AG2316+AH2316))*1.08</f>
        <v>14514.496344913199</v>
      </c>
      <c r="AL2316" s="750">
        <f>(((U2316+X2316+AG2316+AH2316)*AI2316)+(U2316+X2316+AG2316+AH2316))*1.08</f>
        <v>14668.417248929929</v>
      </c>
      <c r="AM2316" s="750">
        <f t="shared" si="692"/>
        <v>14668.417248929929</v>
      </c>
      <c r="AN2316" s="750">
        <f t="shared" si="693"/>
        <v>14668.417248929929</v>
      </c>
      <c r="AO2316" s="750">
        <f>(((U2316+AA2316+AG2316+AH2316)*AI2316)+(U2316+AA2316+AG2316+AH2316))*1.08</f>
        <v>14514.496344913199</v>
      </c>
      <c r="AP2316" s="750">
        <f>(((U2316+AB2316+AG2316+AH2316)*AI2316)+(U2316+AB2316+AG2316+AH2316))*1.08</f>
        <v>14514.496344913199</v>
      </c>
      <c r="AQ2316" s="750">
        <f>(((U2316+AC2316+AG2316+AH2316)*AI2316)+(U2316+AC2316+AG2316+AH2316))*1.08</f>
        <v>14668.417248929929</v>
      </c>
      <c r="AR2316" s="750"/>
      <c r="AS2316" s="750"/>
      <c r="AT2316" s="750"/>
      <c r="AU2316" s="107"/>
    </row>
    <row r="2317" spans="3:47" s="29" customFormat="1" ht="25.5" customHeight="1" x14ac:dyDescent="0.25">
      <c r="C2317" s="1002"/>
      <c r="D2317" s="116" t="s">
        <v>375</v>
      </c>
      <c r="E2317" s="116" t="s">
        <v>1068</v>
      </c>
      <c r="F2317" s="116" t="s">
        <v>1069</v>
      </c>
      <c r="G2317" s="116" t="s">
        <v>1070</v>
      </c>
      <c r="M2317" s="750" t="s">
        <v>484</v>
      </c>
      <c r="N2317" s="750">
        <f>S7</f>
        <v>54</v>
      </c>
      <c r="O2317" s="750" t="str">
        <f>R7</f>
        <v>g</v>
      </c>
      <c r="P2317" s="750">
        <v>80</v>
      </c>
      <c r="Q2317" s="750">
        <f t="shared" si="690"/>
        <v>4320</v>
      </c>
      <c r="R2317" s="750">
        <f>AN2</f>
        <v>0.33</v>
      </c>
      <c r="S2317" s="750">
        <f t="shared" si="694"/>
        <v>26.400000000000002</v>
      </c>
      <c r="T2317" s="750">
        <f t="shared" si="695"/>
        <v>53.599999999999994</v>
      </c>
      <c r="U2317" s="750">
        <f t="shared" si="696"/>
        <v>5745.6</v>
      </c>
      <c r="V2317" s="577" t="s">
        <v>1963</v>
      </c>
      <c r="W2317" s="577" t="s">
        <v>1963</v>
      </c>
      <c r="X2317" s="577" t="s">
        <v>1963</v>
      </c>
      <c r="Y2317" s="577">
        <f t="shared" ref="Y2317:Y2319" si="698">$AR$11</f>
        <v>267.22379169571428</v>
      </c>
      <c r="Z2317" s="577">
        <f t="shared" ref="Z2317:Z2320" si="699">$AR$12</f>
        <v>267.22379169571428</v>
      </c>
      <c r="AA2317" s="577">
        <f t="shared" ref="AA2317:AA2318" si="700">$AR$13</f>
        <v>178.14919446380952</v>
      </c>
      <c r="AB2317" s="577">
        <f t="shared" ref="AB2317:AB2318" si="701">$AR$14</f>
        <v>178.14919446380952</v>
      </c>
      <c r="AC2317" s="577" t="s">
        <v>1963</v>
      </c>
      <c r="AD2317" s="577" t="s">
        <v>1963</v>
      </c>
      <c r="AE2317" s="577" t="s">
        <v>1963</v>
      </c>
      <c r="AF2317" s="577">
        <f>AR18</f>
        <v>178.14919446380952</v>
      </c>
      <c r="AG2317" s="750">
        <f t="shared" si="697"/>
        <v>18.899999999999999</v>
      </c>
      <c r="AH2317" s="750">
        <f t="shared" si="691"/>
        <v>1547.3435977313275</v>
      </c>
      <c r="AI2317" s="750">
        <v>0.6</v>
      </c>
      <c r="AJ2317" s="750"/>
      <c r="AK2317" s="750"/>
      <c r="AL2317" s="750"/>
      <c r="AM2317" s="750">
        <f t="shared" si="692"/>
        <v>13096.628448929929</v>
      </c>
      <c r="AN2317" s="750">
        <f t="shared" si="693"/>
        <v>13096.628448929929</v>
      </c>
      <c r="AO2317" s="750">
        <f>(((U2317+AA2317+AG2317+AH2317)*AI2317)+(U2317+AA2317+AG2317+AH2317))*1.08</f>
        <v>12942.707544913197</v>
      </c>
      <c r="AP2317" s="750">
        <f>(((U2317+AB2317+AG2317+AH2317)*AI2317)+(U2317+AB2317+AG2317+AH2317))*1.08</f>
        <v>12942.707544913197</v>
      </c>
      <c r="AQ2317" s="750"/>
      <c r="AR2317" s="750"/>
      <c r="AS2317" s="750"/>
      <c r="AT2317" s="750">
        <f>(((U2317+AF2317+AG2317+AH2317)*AI2317)+(U2317+AF2317+AG2317+AH2317))*1.08</f>
        <v>12942.707544913197</v>
      </c>
      <c r="AU2317" s="107"/>
    </row>
    <row r="2318" spans="3:47" s="29" customFormat="1" ht="15.75" customHeight="1" x14ac:dyDescent="0.25">
      <c r="C2318" s="1002" t="s">
        <v>370</v>
      </c>
      <c r="D2318" s="116" t="s">
        <v>377</v>
      </c>
      <c r="E2318" s="116" t="s">
        <v>1071</v>
      </c>
      <c r="F2318" s="116" t="s">
        <v>1072</v>
      </c>
      <c r="G2318" s="116" t="s">
        <v>1073</v>
      </c>
      <c r="M2318" s="750" t="s">
        <v>349</v>
      </c>
      <c r="N2318" s="750">
        <f>S15</f>
        <v>41</v>
      </c>
      <c r="O2318" s="750" t="str">
        <f>R15</f>
        <v>g</v>
      </c>
      <c r="P2318" s="750">
        <v>80</v>
      </c>
      <c r="Q2318" s="750">
        <f t="shared" si="690"/>
        <v>3280</v>
      </c>
      <c r="R2318" s="750">
        <f>AN3</f>
        <v>0.47</v>
      </c>
      <c r="S2318" s="750">
        <f t="shared" si="694"/>
        <v>37.599999999999994</v>
      </c>
      <c r="T2318" s="750">
        <f t="shared" si="695"/>
        <v>42.400000000000006</v>
      </c>
      <c r="U2318" s="750">
        <f t="shared" si="696"/>
        <v>4821.6000000000004</v>
      </c>
      <c r="V2318" s="577">
        <f t="shared" ref="V2318" si="702">$AR$8</f>
        <v>267.22379169571428</v>
      </c>
      <c r="W2318" s="577">
        <f t="shared" ref="W2318" si="703">$AR$9</f>
        <v>178.14919446380952</v>
      </c>
      <c r="X2318" s="577">
        <f t="shared" ref="X2318" si="704">$AR$10</f>
        <v>267.22379169571428</v>
      </c>
      <c r="Y2318" s="577">
        <f t="shared" si="698"/>
        <v>267.22379169571428</v>
      </c>
      <c r="Z2318" s="577">
        <f t="shared" si="699"/>
        <v>267.22379169571428</v>
      </c>
      <c r="AA2318" s="577">
        <f t="shared" si="700"/>
        <v>178.14919446380952</v>
      </c>
      <c r="AB2318" s="577">
        <f t="shared" si="701"/>
        <v>178.14919446380952</v>
      </c>
      <c r="AC2318" s="577">
        <f t="shared" ref="AC2318" si="705">$AR$15</f>
        <v>267.22379169571428</v>
      </c>
      <c r="AD2318" s="577" t="s">
        <v>1963</v>
      </c>
      <c r="AE2318" s="577" t="s">
        <v>1963</v>
      </c>
      <c r="AF2318" s="577" t="s">
        <v>1963</v>
      </c>
      <c r="AG2318" s="750">
        <f t="shared" si="697"/>
        <v>18.899999999999999</v>
      </c>
      <c r="AH2318" s="750">
        <f t="shared" si="691"/>
        <v>1547.3435977313275</v>
      </c>
      <c r="AI2318" s="750">
        <v>0.6</v>
      </c>
      <c r="AJ2318" s="750">
        <f>(((U2318+V2318+AG2318+AH2318)*AI2318)+(U2318+V2318+AG2318+AH2318))*1.08</f>
        <v>11499.95644892993</v>
      </c>
      <c r="AK2318" s="750">
        <f>(((U2318+W2318+AG2318+AH2318)*AI2318)+(U2318+W2318+AG2318+AH2318))*1.08</f>
        <v>11346.035544913197</v>
      </c>
      <c r="AL2318" s="750">
        <f>(((U2318+X2318+AG2318+AH2318)*AI2318)+(U2318+X2318+AG2318+AH2318))*1.08</f>
        <v>11499.95644892993</v>
      </c>
      <c r="AM2318" s="750">
        <f t="shared" si="692"/>
        <v>11499.95644892993</v>
      </c>
      <c r="AN2318" s="750">
        <f t="shared" si="693"/>
        <v>11499.95644892993</v>
      </c>
      <c r="AO2318" s="750">
        <f>(((U2318+AA2318+AG2318+AH2318)*AI2318)+(U2318+AA2318+AG2318+AH2318))*1.08</f>
        <v>11346.035544913197</v>
      </c>
      <c r="AP2318" s="750">
        <f>(((U2318+AB2318+AG2318+AH2318)*AI2318)+(U2318+AB2318+AG2318+AH2318))*1.08</f>
        <v>11346.035544913197</v>
      </c>
      <c r="AQ2318" s="750">
        <f>(((U2318+AC2318+AG2318+AH2318)*AI2318)+(U2318+AC2318+AG2318+AH2318))*1.08</f>
        <v>11499.95644892993</v>
      </c>
      <c r="AR2318" s="750"/>
      <c r="AS2318" s="750"/>
      <c r="AT2318" s="750"/>
      <c r="AU2318" s="107"/>
    </row>
    <row r="2319" spans="3:47" s="29" customFormat="1" ht="26.25" customHeight="1" x14ac:dyDescent="0.25">
      <c r="C2319" s="1002"/>
      <c r="D2319" s="116" t="s">
        <v>381</v>
      </c>
      <c r="E2319" s="116" t="s">
        <v>1074</v>
      </c>
      <c r="F2319" s="116" t="s">
        <v>1075</v>
      </c>
      <c r="G2319" s="116" t="s">
        <v>1076</v>
      </c>
      <c r="M2319" s="750" t="s">
        <v>458</v>
      </c>
      <c r="N2319" s="750">
        <f>S10</f>
        <v>32.46</v>
      </c>
      <c r="O2319" s="750" t="str">
        <f>R10</f>
        <v>g</v>
      </c>
      <c r="P2319" s="750">
        <v>80</v>
      </c>
      <c r="Q2319" s="750">
        <f t="shared" si="690"/>
        <v>2596.8000000000002</v>
      </c>
      <c r="R2319" s="750">
        <v>0</v>
      </c>
      <c r="S2319" s="750">
        <f t="shared" si="694"/>
        <v>0</v>
      </c>
      <c r="T2319" s="750">
        <f t="shared" si="695"/>
        <v>80</v>
      </c>
      <c r="U2319" s="750">
        <f t="shared" si="696"/>
        <v>2596.8000000000002</v>
      </c>
      <c r="V2319" s="577" t="s">
        <v>1963</v>
      </c>
      <c r="W2319" s="577" t="s">
        <v>1963</v>
      </c>
      <c r="X2319" s="577" t="s">
        <v>1963</v>
      </c>
      <c r="Y2319" s="577">
        <f t="shared" si="698"/>
        <v>267.22379169571428</v>
      </c>
      <c r="Z2319" s="577">
        <f t="shared" si="699"/>
        <v>267.22379169571428</v>
      </c>
      <c r="AA2319" s="577" t="s">
        <v>1963</v>
      </c>
      <c r="AB2319" s="577" t="s">
        <v>1963</v>
      </c>
      <c r="AC2319" s="577" t="s">
        <v>1963</v>
      </c>
      <c r="AD2319" s="577" t="s">
        <v>1963</v>
      </c>
      <c r="AE2319" s="577" t="s">
        <v>1963</v>
      </c>
      <c r="AF2319" s="577" t="s">
        <v>1963</v>
      </c>
      <c r="AG2319" s="750">
        <f t="shared" si="697"/>
        <v>18.899999999999999</v>
      </c>
      <c r="AH2319" s="750">
        <f t="shared" si="691"/>
        <v>1547.3435977313275</v>
      </c>
      <c r="AI2319" s="750">
        <v>0.6</v>
      </c>
      <c r="AJ2319" s="750"/>
      <c r="AK2319" s="750"/>
      <c r="AL2319" s="750"/>
      <c r="AM2319" s="750">
        <f t="shared" si="692"/>
        <v>7655.5020489299286</v>
      </c>
      <c r="AN2319" s="750">
        <f t="shared" si="693"/>
        <v>7655.5020489299286</v>
      </c>
      <c r="AO2319" s="750"/>
      <c r="AP2319" s="750"/>
      <c r="AQ2319" s="750"/>
      <c r="AR2319" s="750"/>
      <c r="AS2319" s="750"/>
      <c r="AT2319" s="750"/>
      <c r="AU2319" s="107"/>
    </row>
    <row r="2320" spans="3:47" s="29" customFormat="1" ht="25.5" customHeight="1" x14ac:dyDescent="0.25">
      <c r="M2320" s="750" t="s">
        <v>459</v>
      </c>
      <c r="N2320" s="750">
        <f>S6</f>
        <v>30</v>
      </c>
      <c r="O2320" s="750" t="str">
        <f>R6</f>
        <v>g</v>
      </c>
      <c r="P2320" s="750">
        <v>70</v>
      </c>
      <c r="Q2320" s="750">
        <f t="shared" si="690"/>
        <v>2100</v>
      </c>
      <c r="R2320" s="750">
        <f>AN6</f>
        <v>0</v>
      </c>
      <c r="S2320" s="750">
        <f t="shared" si="694"/>
        <v>0</v>
      </c>
      <c r="T2320" s="750">
        <f t="shared" si="695"/>
        <v>70</v>
      </c>
      <c r="U2320" s="750">
        <f t="shared" si="696"/>
        <v>2100</v>
      </c>
      <c r="V2320" s="577" t="s">
        <v>1963</v>
      </c>
      <c r="W2320" s="577">
        <f t="shared" ref="W2320" si="706">$AR$9</f>
        <v>178.14919446380952</v>
      </c>
      <c r="X2320" s="577" t="s">
        <v>1963</v>
      </c>
      <c r="Y2320" s="577" t="s">
        <v>1963</v>
      </c>
      <c r="Z2320" s="577">
        <f t="shared" si="699"/>
        <v>267.22379169571428</v>
      </c>
      <c r="AA2320" s="577" t="s">
        <v>1963</v>
      </c>
      <c r="AB2320" s="577" t="s">
        <v>1963</v>
      </c>
      <c r="AC2320" s="577" t="s">
        <v>1963</v>
      </c>
      <c r="AD2320" s="577" t="s">
        <v>1963</v>
      </c>
      <c r="AE2320" s="577" t="s">
        <v>1963</v>
      </c>
      <c r="AF2320" s="577">
        <f>AR18</f>
        <v>178.14919446380952</v>
      </c>
      <c r="AG2320" s="750">
        <f t="shared" si="697"/>
        <v>18.899999999999999</v>
      </c>
      <c r="AH2320" s="750">
        <f t="shared" si="691"/>
        <v>1547.3435977313275</v>
      </c>
      <c r="AI2320" s="750">
        <v>0.6</v>
      </c>
      <c r="AJ2320" s="750"/>
      <c r="AK2320" s="750">
        <f>(((U2320+W2320+AG2320+AH2320)*AI2320)+(U2320+W2320+AG2320+AH2320))*1.08</f>
        <v>6643.1107449131969</v>
      </c>
      <c r="AL2320" s="750"/>
      <c r="AM2320" s="750"/>
      <c r="AN2320" s="750">
        <f t="shared" si="693"/>
        <v>6797.0316489299285</v>
      </c>
      <c r="AO2320" s="750"/>
      <c r="AP2320" s="750"/>
      <c r="AQ2320" s="750"/>
      <c r="AR2320" s="750"/>
      <c r="AS2320" s="750"/>
      <c r="AT2320" s="750">
        <f>(((U2320+AF2320+AG2320+AH2320)*AI2320)+(U2320+AF2320+AG2320+AH2320))*1.08</f>
        <v>6643.1107449131969</v>
      </c>
      <c r="AU2320" s="107"/>
    </row>
    <row r="2321" spans="13:47" s="29" customFormat="1" ht="26.25" customHeight="1" x14ac:dyDescent="0.25">
      <c r="M2321" s="750" t="s">
        <v>808</v>
      </c>
      <c r="N2321" s="750">
        <f>S13</f>
        <v>53.54</v>
      </c>
      <c r="O2321" s="750" t="str">
        <f>R13</f>
        <v>g</v>
      </c>
      <c r="P2321" s="750">
        <v>80</v>
      </c>
      <c r="Q2321" s="750">
        <f t="shared" si="690"/>
        <v>4283.2</v>
      </c>
      <c r="R2321" s="750">
        <f>AN9</f>
        <v>0.52</v>
      </c>
      <c r="S2321" s="750">
        <f t="shared" si="694"/>
        <v>41.6</v>
      </c>
      <c r="T2321" s="750">
        <f t="shared" si="695"/>
        <v>38.4</v>
      </c>
      <c r="U2321" s="750">
        <f t="shared" si="696"/>
        <v>6510.4639999999999</v>
      </c>
      <c r="V2321" s="577" t="s">
        <v>1963</v>
      </c>
      <c r="W2321" s="577" t="s">
        <v>1963</v>
      </c>
      <c r="X2321" s="577" t="s">
        <v>1963</v>
      </c>
      <c r="Y2321" s="577">
        <f t="shared" ref="Y2321:Y2322" si="707">$AR$11</f>
        <v>267.22379169571428</v>
      </c>
      <c r="Z2321" s="577" t="s">
        <v>1963</v>
      </c>
      <c r="AA2321" s="577" t="s">
        <v>1963</v>
      </c>
      <c r="AB2321" s="577" t="s">
        <v>1963</v>
      </c>
      <c r="AC2321" s="577" t="s">
        <v>1963</v>
      </c>
      <c r="AD2321" s="577" t="s">
        <v>1963</v>
      </c>
      <c r="AE2321" s="577">
        <f t="shared" ref="AE2321:AE2339" si="708">$AR$17</f>
        <v>178.14919446380952</v>
      </c>
      <c r="AF2321" s="577" t="s">
        <v>1963</v>
      </c>
      <c r="AG2321" s="750">
        <f t="shared" si="697"/>
        <v>18.899999999999999</v>
      </c>
      <c r="AH2321" s="750">
        <f t="shared" si="691"/>
        <v>1547.3435977313275</v>
      </c>
      <c r="AI2321" s="750">
        <v>0.6</v>
      </c>
      <c r="AJ2321" s="750"/>
      <c r="AK2321" s="750"/>
      <c r="AL2321" s="750"/>
      <c r="AM2321" s="750">
        <f>(((U2321+Y2321+AG2321+AH2321)*AI2321)+(U2321+Y2321+AG2321+AH2321))*1.08</f>
        <v>14418.313440929929</v>
      </c>
      <c r="AN2321" s="750"/>
      <c r="AO2321" s="750"/>
      <c r="AP2321" s="750"/>
      <c r="AQ2321" s="750"/>
      <c r="AR2321" s="750"/>
      <c r="AS2321" s="750">
        <f>(((U2321+AE2321+AG2321+AH2321)*AI2321)+(U2321+AE2321+AG2321+AH2321))*1.08</f>
        <v>14264.392536913196</v>
      </c>
      <c r="AT2321" s="750"/>
      <c r="AU2321" s="107"/>
    </row>
    <row r="2322" spans="13:47" s="29" customFormat="1" ht="25.5" customHeight="1" x14ac:dyDescent="0.25">
      <c r="M2322" s="750" t="s">
        <v>469</v>
      </c>
      <c r="N2322" s="750">
        <f>S17</f>
        <v>153.78</v>
      </c>
      <c r="O2322" s="750" t="str">
        <f>R17</f>
        <v>g</v>
      </c>
      <c r="P2322" s="750">
        <v>80</v>
      </c>
      <c r="Q2322" s="750">
        <f t="shared" si="690"/>
        <v>12302.4</v>
      </c>
      <c r="R2322" s="750">
        <f>AN9</f>
        <v>0.52</v>
      </c>
      <c r="S2322" s="750">
        <f t="shared" si="694"/>
        <v>41.6</v>
      </c>
      <c r="T2322" s="750">
        <f t="shared" si="695"/>
        <v>38.4</v>
      </c>
      <c r="U2322" s="750">
        <f t="shared" si="696"/>
        <v>18699.648000000001</v>
      </c>
      <c r="V2322" s="577" t="s">
        <v>1963</v>
      </c>
      <c r="W2322" s="577">
        <f t="shared" ref="W2322" si="709">$AR$9</f>
        <v>178.14919446380952</v>
      </c>
      <c r="X2322" s="577" t="s">
        <v>1963</v>
      </c>
      <c r="Y2322" s="577">
        <f t="shared" si="707"/>
        <v>267.22379169571428</v>
      </c>
      <c r="Z2322" s="577" t="s">
        <v>1963</v>
      </c>
      <c r="AA2322" s="577" t="s">
        <v>1963</v>
      </c>
      <c r="AB2322" s="577" t="s">
        <v>1963</v>
      </c>
      <c r="AC2322" s="577" t="s">
        <v>1963</v>
      </c>
      <c r="AD2322" s="577">
        <f t="shared" ref="AD2322" si="710">$AR$16</f>
        <v>178.14919446380952</v>
      </c>
      <c r="AE2322" s="577">
        <f t="shared" si="708"/>
        <v>178.14919446380952</v>
      </c>
      <c r="AF2322" s="577">
        <f t="shared" ref="AF2322:AF2339" si="711">$AR$18</f>
        <v>178.14919446380952</v>
      </c>
      <c r="AG2322" s="750">
        <f t="shared" si="697"/>
        <v>18.899999999999999</v>
      </c>
      <c r="AH2322" s="750">
        <f t="shared" si="691"/>
        <v>1547.3435977313275</v>
      </c>
      <c r="AI2322" s="750">
        <v>0.6</v>
      </c>
      <c r="AJ2322" s="750"/>
      <c r="AK2322" s="750">
        <f>(((U2322+W2322+AG2322+AH2322)*AI2322)+(U2322+W2322+AG2322+AH2322))*1.08</f>
        <v>35327.302488913207</v>
      </c>
      <c r="AL2322" s="750"/>
      <c r="AM2322" s="750">
        <f>(((U2322+Y2322+AG2322+AH2322)*AI2322)+(U2322+Y2322+AG2322+AH2322))*1.08</f>
        <v>35481.223392929933</v>
      </c>
      <c r="AN2322" s="750"/>
      <c r="AO2322" s="750"/>
      <c r="AP2322" s="750"/>
      <c r="AQ2322" s="750"/>
      <c r="AR2322" s="750">
        <f>(((U2322+AD2322+AG2322+AH2322)*AI2322)+(U2322+AD2322+AG2322+AH2322))*1.08</f>
        <v>35327.302488913207</v>
      </c>
      <c r="AS2322" s="750">
        <f>(((U2322+AE2322+AG2322+AH2322)*AI2322)+(U2322+AE2322+AG2322+AH2322))*1.08</f>
        <v>35327.302488913207</v>
      </c>
      <c r="AT2322" s="750">
        <f>(((U2322+AF2322+AG2322+AH2322)*AI2322)+(U2322+AF2322+AG2322+AH2322))*1.08</f>
        <v>35327.302488913207</v>
      </c>
      <c r="AU2322" s="107"/>
    </row>
    <row r="2323" spans="13:47" s="29" customFormat="1" ht="39" customHeight="1" x14ac:dyDescent="0.25">
      <c r="M2323" s="750" t="s">
        <v>485</v>
      </c>
      <c r="N2323" s="750">
        <f>V12</f>
        <v>25.98</v>
      </c>
      <c r="O2323" s="750" t="str">
        <f>U12</f>
        <v>g</v>
      </c>
      <c r="P2323" s="750">
        <v>30</v>
      </c>
      <c r="Q2323" s="750">
        <f t="shared" si="690"/>
        <v>779.4</v>
      </c>
      <c r="R2323" s="750">
        <v>0</v>
      </c>
      <c r="S2323" s="750">
        <f t="shared" si="694"/>
        <v>0</v>
      </c>
      <c r="T2323" s="750">
        <f t="shared" si="695"/>
        <v>30</v>
      </c>
      <c r="U2323" s="750">
        <f t="shared" si="696"/>
        <v>779.4</v>
      </c>
      <c r="V2323" s="577" t="s">
        <v>1963</v>
      </c>
      <c r="W2323" s="577" t="s">
        <v>1963</v>
      </c>
      <c r="X2323" s="577" t="s">
        <v>1963</v>
      </c>
      <c r="Y2323" s="577">
        <f>AO26</f>
        <v>953.74829894127811</v>
      </c>
      <c r="Z2323" s="577" t="s">
        <v>1963</v>
      </c>
      <c r="AA2323" s="577">
        <f>AO26</f>
        <v>953.74829894127811</v>
      </c>
      <c r="AB2323" s="577" t="s">
        <v>1963</v>
      </c>
      <c r="AC2323" s="577" t="s">
        <v>1963</v>
      </c>
      <c r="AD2323" s="577" t="s">
        <v>1963</v>
      </c>
      <c r="AE2323" s="577" t="s">
        <v>1963</v>
      </c>
      <c r="AF2323" s="577" t="s">
        <v>1963</v>
      </c>
      <c r="AG2323" s="750">
        <f t="shared" si="697"/>
        <v>18.899999999999999</v>
      </c>
      <c r="AH2323" s="750">
        <f t="shared" si="691"/>
        <v>1547.3435977313275</v>
      </c>
      <c r="AI2323" s="750">
        <v>0.6</v>
      </c>
      <c r="AJ2323" s="750"/>
      <c r="AK2323" s="750"/>
      <c r="AL2323" s="750"/>
      <c r="AM2323" s="750">
        <f>(((U2323+Y2323+AG2323+AH2323)*AI2323)+(U2323+Y2323+AG2323+AH2323))*1.08</f>
        <v>5701.3491974502631</v>
      </c>
      <c r="AN2323" s="750"/>
      <c r="AO2323" s="750">
        <f>(((U2323+AA2323+AG2323+AH2323)*AI2323)+(U2323+AA2323+AG2323+AH2323))*1.08</f>
        <v>5701.3491974502631</v>
      </c>
      <c r="AP2323" s="750"/>
      <c r="AQ2323" s="750"/>
      <c r="AR2323" s="750"/>
      <c r="AS2323" s="750"/>
      <c r="AT2323" s="750"/>
      <c r="AU2323" s="107"/>
    </row>
    <row r="2324" spans="13:47" s="29" customFormat="1" ht="25.5" customHeight="1" x14ac:dyDescent="0.25">
      <c r="M2324" s="750" t="s">
        <v>454</v>
      </c>
      <c r="N2324" s="750">
        <f>P14</f>
        <v>18.86</v>
      </c>
      <c r="O2324" s="750" t="str">
        <f>O14</f>
        <v>g</v>
      </c>
      <c r="P2324" s="750">
        <v>30</v>
      </c>
      <c r="Q2324" s="750">
        <f t="shared" si="690"/>
        <v>565.79999999999995</v>
      </c>
      <c r="R2324" s="750">
        <v>0</v>
      </c>
      <c r="S2324" s="750">
        <f t="shared" si="694"/>
        <v>0</v>
      </c>
      <c r="T2324" s="750">
        <f t="shared" si="695"/>
        <v>30</v>
      </c>
      <c r="U2324" s="750">
        <f t="shared" si="696"/>
        <v>565.79999999999995</v>
      </c>
      <c r="V2324" s="577" t="s">
        <v>1963</v>
      </c>
      <c r="W2324" s="577" t="s">
        <v>1963</v>
      </c>
      <c r="X2324" s="577">
        <f t="shared" ref="X2324:X2338" si="712">$AR$10</f>
        <v>267.22379169571428</v>
      </c>
      <c r="Y2324" s="577" t="s">
        <v>1963</v>
      </c>
      <c r="Z2324" s="577" t="s">
        <v>1963</v>
      </c>
      <c r="AA2324" s="577" t="s">
        <v>1963</v>
      </c>
      <c r="AB2324" s="577" t="s">
        <v>1963</v>
      </c>
      <c r="AC2324" s="577" t="s">
        <v>1963</v>
      </c>
      <c r="AD2324" s="577" t="s">
        <v>1963</v>
      </c>
      <c r="AE2324" s="577">
        <f t="shared" si="708"/>
        <v>178.14919446380952</v>
      </c>
      <c r="AF2324" s="577">
        <f>AR18</f>
        <v>178.14919446380952</v>
      </c>
      <c r="AG2324" s="750">
        <f t="shared" si="697"/>
        <v>18.899999999999999</v>
      </c>
      <c r="AH2324" s="750">
        <f t="shared" si="691"/>
        <v>1547.3435977313275</v>
      </c>
      <c r="AI2324" s="750">
        <v>0.6</v>
      </c>
      <c r="AJ2324" s="750"/>
      <c r="AK2324" s="750"/>
      <c r="AL2324" s="750">
        <f>(((U2324+X2324+AG2324+AH2324)*AI2324)+(U2324+X2324+AG2324+AH2324))*1.08</f>
        <v>4145.9340489299284</v>
      </c>
      <c r="AM2324" s="750"/>
      <c r="AN2324" s="750"/>
      <c r="AO2324" s="750"/>
      <c r="AP2324" s="750"/>
      <c r="AQ2324" s="750"/>
      <c r="AR2324" s="750"/>
      <c r="AS2324" s="750">
        <f>(((U2324+AE2324+AG2324+AH2324)*AI2324)+(U2324+AE2324+AG2324+AH2324))*1.08</f>
        <v>3992.0131449131968</v>
      </c>
      <c r="AT2324" s="750">
        <f>(((U2324+AF2324+AG2324+AH2324)*AI2324)+(U2324+AF2324+AG2324+AH2324))*1.08</f>
        <v>3992.0131449131968</v>
      </c>
      <c r="AU2324" s="107"/>
    </row>
    <row r="2325" spans="13:47" s="29" customFormat="1" ht="26.25" customHeight="1" x14ac:dyDescent="0.25">
      <c r="M2325" s="750" t="s">
        <v>541</v>
      </c>
      <c r="N2325" s="750">
        <f>V16</f>
        <v>54.41</v>
      </c>
      <c r="O2325" s="750" t="str">
        <f>U16</f>
        <v>g</v>
      </c>
      <c r="P2325" s="750">
        <v>40</v>
      </c>
      <c r="Q2325" s="750">
        <f t="shared" si="690"/>
        <v>2176.3999999999996</v>
      </c>
      <c r="R2325" s="750">
        <v>0</v>
      </c>
      <c r="S2325" s="750">
        <f t="shared" si="694"/>
        <v>0</v>
      </c>
      <c r="T2325" s="750">
        <f t="shared" si="695"/>
        <v>40</v>
      </c>
      <c r="U2325" s="750">
        <f t="shared" si="696"/>
        <v>2176.3999999999996</v>
      </c>
      <c r="V2325" s="577" t="s">
        <v>1963</v>
      </c>
      <c r="W2325" s="577" t="s">
        <v>1963</v>
      </c>
      <c r="X2325" s="577" t="s">
        <v>1963</v>
      </c>
      <c r="Y2325" s="577">
        <f>AO26</f>
        <v>953.74829894127811</v>
      </c>
      <c r="Z2325" s="577" t="s">
        <v>1963</v>
      </c>
      <c r="AA2325" s="577">
        <f>AO26</f>
        <v>953.74829894127811</v>
      </c>
      <c r="AB2325" s="577"/>
      <c r="AC2325" s="577" t="s">
        <v>1963</v>
      </c>
      <c r="AD2325" s="577" t="s">
        <v>1963</v>
      </c>
      <c r="AE2325" s="577" t="s">
        <v>1963</v>
      </c>
      <c r="AF2325" s="577" t="s">
        <v>1963</v>
      </c>
      <c r="AG2325" s="750">
        <f t="shared" si="697"/>
        <v>18.899999999999999</v>
      </c>
      <c r="AH2325" s="750">
        <f t="shared" si="691"/>
        <v>1547.3435977313275</v>
      </c>
      <c r="AI2325" s="750">
        <v>0.6</v>
      </c>
      <c r="AJ2325" s="750"/>
      <c r="AK2325" s="750"/>
      <c r="AL2325" s="750"/>
      <c r="AM2325" s="750">
        <f>(((U2325+Y2325+AG2325+AH2325)*AI2325)+(U2325+Y2325+AG2325+AH2325))*1.08</f>
        <v>8115.3651974502618</v>
      </c>
      <c r="AN2325" s="750"/>
      <c r="AO2325" s="750">
        <f>(((U2325+AA2325+AG2325+AH2325)*AI2325)+(U2325+AA2325+AG2325+AH2325))*1.08</f>
        <v>8115.3651974502618</v>
      </c>
      <c r="AP2325" s="750"/>
      <c r="AQ2325" s="750"/>
      <c r="AR2325" s="750"/>
      <c r="AS2325" s="750"/>
      <c r="AT2325" s="750"/>
      <c r="AU2325" s="107"/>
    </row>
    <row r="2326" spans="13:47" s="29" customFormat="1" ht="25.5" customHeight="1" x14ac:dyDescent="0.25">
      <c r="M2326" s="750" t="s">
        <v>540</v>
      </c>
      <c r="N2326" s="750">
        <f>P18</f>
        <v>5</v>
      </c>
      <c r="O2326" s="750" t="str">
        <f>O18</f>
        <v>g</v>
      </c>
      <c r="P2326" s="750">
        <v>50</v>
      </c>
      <c r="Q2326" s="750">
        <f t="shared" si="690"/>
        <v>250</v>
      </c>
      <c r="R2326" s="750">
        <f>AJ11</f>
        <v>0.23</v>
      </c>
      <c r="S2326" s="750">
        <f t="shared" si="694"/>
        <v>11.5</v>
      </c>
      <c r="T2326" s="750">
        <f t="shared" si="695"/>
        <v>38.5</v>
      </c>
      <c r="U2326" s="750">
        <f t="shared" si="696"/>
        <v>307.5</v>
      </c>
      <c r="V2326" s="577" t="s">
        <v>1963</v>
      </c>
      <c r="W2326" s="577" t="s">
        <v>1963</v>
      </c>
      <c r="X2326" s="577" t="s">
        <v>1963</v>
      </c>
      <c r="Y2326" s="577" t="s">
        <v>1963</v>
      </c>
      <c r="Z2326" s="577" t="s">
        <v>1963</v>
      </c>
      <c r="AA2326" s="577" t="s">
        <v>1963</v>
      </c>
      <c r="AB2326" s="577" t="s">
        <v>1963</v>
      </c>
      <c r="AC2326" s="577" t="s">
        <v>1963</v>
      </c>
      <c r="AD2326" s="577" t="s">
        <v>1963</v>
      </c>
      <c r="AE2326" s="577">
        <f t="shared" si="708"/>
        <v>178.14919446380952</v>
      </c>
      <c r="AF2326" s="577">
        <f t="shared" si="711"/>
        <v>178.14919446380952</v>
      </c>
      <c r="AG2326" s="750">
        <f t="shared" si="697"/>
        <v>18.899999999999999</v>
      </c>
      <c r="AH2326" s="750">
        <f t="shared" si="691"/>
        <v>1547.3435977313275</v>
      </c>
      <c r="AI2326" s="750">
        <v>0.6</v>
      </c>
      <c r="AJ2326" s="750"/>
      <c r="AK2326" s="750"/>
      <c r="AL2326" s="750"/>
      <c r="AM2326" s="750"/>
      <c r="AN2326" s="750"/>
      <c r="AO2326" s="750"/>
      <c r="AP2326" s="750"/>
      <c r="AQ2326" s="750"/>
      <c r="AR2326" s="750"/>
      <c r="AS2326" s="750">
        <f t="shared" ref="AS2326:AS2340" si="713">(((U2326+AE2326+AG2326+AH2326)*AI2326)+(U2326+AE2326+AG2326+AH2326))*1.08</f>
        <v>3545.6707449131973</v>
      </c>
      <c r="AT2326" s="750">
        <f>(((U2326+AF2326+AG2326+AH2326)*AI2326)+(U2326+AF2326+AG2326+AH2326))*1.08</f>
        <v>3545.6707449131973</v>
      </c>
      <c r="AU2326" s="107"/>
    </row>
    <row r="2327" spans="13:47" s="29" customFormat="1" ht="25.5" customHeight="1" x14ac:dyDescent="0.25">
      <c r="M2327" s="750" t="s">
        <v>691</v>
      </c>
      <c r="N2327" s="750">
        <f>P16</f>
        <v>1.5</v>
      </c>
      <c r="O2327" s="750" t="str">
        <f>O16</f>
        <v>g</v>
      </c>
      <c r="P2327" s="750">
        <v>70</v>
      </c>
      <c r="Q2327" s="750">
        <f t="shared" si="690"/>
        <v>105</v>
      </c>
      <c r="R2327" s="750">
        <f>AJ9</f>
        <v>0.55000000000000004</v>
      </c>
      <c r="S2327" s="750">
        <f t="shared" si="694"/>
        <v>38.5</v>
      </c>
      <c r="T2327" s="750">
        <f t="shared" si="695"/>
        <v>31.5</v>
      </c>
      <c r="U2327" s="750">
        <f t="shared" si="696"/>
        <v>162.75</v>
      </c>
      <c r="V2327" s="577" t="s">
        <v>1963</v>
      </c>
      <c r="W2327" s="577" t="s">
        <v>1963</v>
      </c>
      <c r="X2327" s="577" t="s">
        <v>1963</v>
      </c>
      <c r="Y2327" s="577" t="s">
        <v>1963</v>
      </c>
      <c r="Z2327" s="577" t="s">
        <v>1963</v>
      </c>
      <c r="AA2327" s="577" t="s">
        <v>1963</v>
      </c>
      <c r="AB2327" s="577" t="s">
        <v>1963</v>
      </c>
      <c r="AC2327" s="577" t="s">
        <v>1963</v>
      </c>
      <c r="AD2327" s="577" t="s">
        <v>1963</v>
      </c>
      <c r="AE2327" s="577">
        <f t="shared" si="708"/>
        <v>178.14919446380952</v>
      </c>
      <c r="AF2327" s="577">
        <f t="shared" si="711"/>
        <v>178.14919446380952</v>
      </c>
      <c r="AG2327" s="750">
        <f t="shared" si="697"/>
        <v>18.899999999999999</v>
      </c>
      <c r="AH2327" s="750">
        <f t="shared" si="691"/>
        <v>1547.3435977313275</v>
      </c>
      <c r="AI2327" s="750">
        <v>0.6</v>
      </c>
      <c r="AJ2327" s="750"/>
      <c r="AK2327" s="750"/>
      <c r="AL2327" s="750"/>
      <c r="AM2327" s="750"/>
      <c r="AN2327" s="750"/>
      <c r="AO2327" s="750"/>
      <c r="AP2327" s="750"/>
      <c r="AQ2327" s="750"/>
      <c r="AR2327" s="750"/>
      <c r="AS2327" s="750">
        <f t="shared" si="713"/>
        <v>3295.5427449131967</v>
      </c>
      <c r="AT2327" s="750">
        <f>(((U2327+AF2327+AG2327+AH2327)*AI2327)+(U2327+AF2327+AG2327+AH2327))*1.08</f>
        <v>3295.5427449131967</v>
      </c>
      <c r="AU2327" s="107"/>
    </row>
    <row r="2328" spans="13:47" s="29" customFormat="1" ht="25.5" customHeight="1" x14ac:dyDescent="0.25">
      <c r="M2328" s="750" t="s">
        <v>475</v>
      </c>
      <c r="N2328" s="750">
        <f>P24</f>
        <v>3.5</v>
      </c>
      <c r="O2328" s="750" t="str">
        <f>O24</f>
        <v>g</v>
      </c>
      <c r="P2328" s="750">
        <v>50</v>
      </c>
      <c r="Q2328" s="750">
        <f t="shared" si="690"/>
        <v>175</v>
      </c>
      <c r="R2328" s="750">
        <f>AJ15</f>
        <v>0.26</v>
      </c>
      <c r="S2328" s="750">
        <f t="shared" si="694"/>
        <v>13</v>
      </c>
      <c r="T2328" s="750">
        <f t="shared" si="695"/>
        <v>37</v>
      </c>
      <c r="U2328" s="750">
        <f t="shared" si="696"/>
        <v>220.5</v>
      </c>
      <c r="V2328" s="577" t="s">
        <v>1963</v>
      </c>
      <c r="W2328" s="577" t="s">
        <v>1963</v>
      </c>
      <c r="X2328" s="577" t="s">
        <v>1963</v>
      </c>
      <c r="Y2328" s="577" t="s">
        <v>1963</v>
      </c>
      <c r="Z2328" s="577" t="s">
        <v>1963</v>
      </c>
      <c r="AA2328" s="577" t="s">
        <v>1963</v>
      </c>
      <c r="AB2328" s="577" t="s">
        <v>1963</v>
      </c>
      <c r="AC2328" s="577" t="s">
        <v>1963</v>
      </c>
      <c r="AD2328" s="577" t="s">
        <v>1963</v>
      </c>
      <c r="AE2328" s="577">
        <f t="shared" si="708"/>
        <v>178.14919446380952</v>
      </c>
      <c r="AF2328" s="577">
        <f t="shared" si="711"/>
        <v>178.14919446380952</v>
      </c>
      <c r="AG2328" s="750">
        <f t="shared" si="697"/>
        <v>18.899999999999999</v>
      </c>
      <c r="AH2328" s="750">
        <f t="shared" si="691"/>
        <v>1547.3435977313275</v>
      </c>
      <c r="AI2328" s="750">
        <v>0.6</v>
      </c>
      <c r="AJ2328" s="750"/>
      <c r="AK2328" s="750"/>
      <c r="AL2328" s="750"/>
      <c r="AM2328" s="750"/>
      <c r="AN2328" s="750"/>
      <c r="AO2328" s="750"/>
      <c r="AP2328" s="750"/>
      <c r="AQ2328" s="750"/>
      <c r="AR2328" s="750"/>
      <c r="AS2328" s="750">
        <f t="shared" si="713"/>
        <v>3395.3347449131966</v>
      </c>
      <c r="AT2328" s="750">
        <f>(((U2328+AF2328+AG2328+AH2328)*AI2328)+(U2328+AF2328+AG2328+AH2328))*1.08</f>
        <v>3395.3347449131966</v>
      </c>
      <c r="AU2328" s="107"/>
    </row>
    <row r="2329" spans="13:47" s="29" customFormat="1" ht="25.5" customHeight="1" x14ac:dyDescent="0.25">
      <c r="M2329" s="750" t="s">
        <v>653</v>
      </c>
      <c r="N2329" s="750">
        <f>P17</f>
        <v>14.478999999999999</v>
      </c>
      <c r="O2329" s="750" t="str">
        <f>O17</f>
        <v>g</v>
      </c>
      <c r="P2329" s="750">
        <v>50</v>
      </c>
      <c r="Q2329" s="750">
        <f t="shared" si="690"/>
        <v>723.94999999999993</v>
      </c>
      <c r="R2329" s="750">
        <f>AJ10</f>
        <v>0</v>
      </c>
      <c r="S2329" s="750">
        <f t="shared" si="694"/>
        <v>0</v>
      </c>
      <c r="T2329" s="750">
        <f t="shared" si="695"/>
        <v>50</v>
      </c>
      <c r="U2329" s="750">
        <f t="shared" si="696"/>
        <v>723.94999999999993</v>
      </c>
      <c r="V2329" s="577" t="s">
        <v>1963</v>
      </c>
      <c r="W2329" s="577" t="s">
        <v>1963</v>
      </c>
      <c r="X2329" s="577" t="s">
        <v>1963</v>
      </c>
      <c r="Y2329" s="577" t="s">
        <v>1963</v>
      </c>
      <c r="Z2329" s="577" t="s">
        <v>1963</v>
      </c>
      <c r="AA2329" s="577" t="s">
        <v>1963</v>
      </c>
      <c r="AB2329" s="577" t="s">
        <v>1963</v>
      </c>
      <c r="AC2329" s="577" t="s">
        <v>1963</v>
      </c>
      <c r="AD2329" s="577" t="s">
        <v>1963</v>
      </c>
      <c r="AE2329" s="577">
        <f t="shared" si="708"/>
        <v>178.14919446380952</v>
      </c>
      <c r="AF2329" s="577">
        <f t="shared" si="711"/>
        <v>178.14919446380952</v>
      </c>
      <c r="AG2329" s="750">
        <f t="shared" si="697"/>
        <v>18.899999999999999</v>
      </c>
      <c r="AH2329" s="750">
        <f t="shared" si="691"/>
        <v>1547.3435977313275</v>
      </c>
      <c r="AI2329" s="750">
        <v>0.6</v>
      </c>
      <c r="AJ2329" s="750"/>
      <c r="AK2329" s="750"/>
      <c r="AL2329" s="750"/>
      <c r="AM2329" s="750"/>
      <c r="AN2329" s="750"/>
      <c r="AO2329" s="750"/>
      <c r="AP2329" s="750"/>
      <c r="AQ2329" s="750"/>
      <c r="AR2329" s="750"/>
      <c r="AS2329" s="750">
        <f t="shared" si="713"/>
        <v>4265.2963449131967</v>
      </c>
      <c r="AT2329" s="750">
        <f>(((U2329+AF2329+AG2329+AH2329)*AI2329)+(U2329+AF2329+AG2329+AH2329))*1.08</f>
        <v>4265.2963449131967</v>
      </c>
      <c r="AU2329" s="107"/>
    </row>
    <row r="2330" spans="13:47" s="29" customFormat="1" ht="25.5" customHeight="1" x14ac:dyDescent="0.25">
      <c r="M2330" s="750" t="s">
        <v>1036</v>
      </c>
      <c r="N2330" s="750">
        <f>AB4</f>
        <v>4.8</v>
      </c>
      <c r="O2330" s="750" t="str">
        <f>AA4</f>
        <v>g</v>
      </c>
      <c r="P2330" s="750">
        <v>50</v>
      </c>
      <c r="Q2330" s="750">
        <f t="shared" si="690"/>
        <v>240</v>
      </c>
      <c r="R2330" s="750">
        <v>0</v>
      </c>
      <c r="S2330" s="750">
        <f t="shared" si="694"/>
        <v>0</v>
      </c>
      <c r="T2330" s="750">
        <f t="shared" si="695"/>
        <v>50</v>
      </c>
      <c r="U2330" s="750">
        <f t="shared" si="696"/>
        <v>240</v>
      </c>
      <c r="V2330" s="577" t="s">
        <v>1963</v>
      </c>
      <c r="W2330" s="577" t="s">
        <v>1963</v>
      </c>
      <c r="X2330" s="577">
        <f t="shared" si="712"/>
        <v>267.22379169571428</v>
      </c>
      <c r="Y2330" s="577" t="s">
        <v>1963</v>
      </c>
      <c r="Z2330" s="577" t="s">
        <v>1963</v>
      </c>
      <c r="AA2330" s="577" t="s">
        <v>1963</v>
      </c>
      <c r="AB2330" s="577" t="s">
        <v>1963</v>
      </c>
      <c r="AC2330" s="577" t="s">
        <v>1963</v>
      </c>
      <c r="AD2330" s="577" t="s">
        <v>1963</v>
      </c>
      <c r="AE2330" s="577">
        <f t="shared" si="708"/>
        <v>178.14919446380952</v>
      </c>
      <c r="AF2330" s="577" t="s">
        <v>1963</v>
      </c>
      <c r="AG2330" s="750">
        <f t="shared" si="697"/>
        <v>18.899999999999999</v>
      </c>
      <c r="AH2330" s="750">
        <f t="shared" si="691"/>
        <v>1547.3435977313275</v>
      </c>
      <c r="AI2330" s="750">
        <v>0.6</v>
      </c>
      <c r="AJ2330" s="750"/>
      <c r="AK2330" s="750"/>
      <c r="AL2330" s="750">
        <f>(((U2330+X2330+AG2330+AH2330)*AI2330)+(U2330+X2330+AG2330+AH2330))*1.08</f>
        <v>3582.9516489299285</v>
      </c>
      <c r="AM2330" s="750"/>
      <c r="AN2330" s="750"/>
      <c r="AO2330" s="750"/>
      <c r="AP2330" s="750"/>
      <c r="AQ2330" s="750"/>
      <c r="AR2330" s="750"/>
      <c r="AS2330" s="750">
        <f t="shared" si="713"/>
        <v>3429.0307449131969</v>
      </c>
      <c r="AT2330" s="750"/>
      <c r="AU2330" s="107"/>
    </row>
    <row r="2331" spans="13:47" s="29" customFormat="1" ht="25.5" customHeight="1" x14ac:dyDescent="0.25">
      <c r="M2331" s="750" t="s">
        <v>510</v>
      </c>
      <c r="N2331" s="750">
        <f>P21</f>
        <v>1.6</v>
      </c>
      <c r="O2331" s="750" t="str">
        <f>O21</f>
        <v>g</v>
      </c>
      <c r="P2331" s="750">
        <v>50</v>
      </c>
      <c r="Q2331" s="750">
        <f t="shared" si="690"/>
        <v>80</v>
      </c>
      <c r="R2331" s="750">
        <f>AJ12</f>
        <v>0</v>
      </c>
      <c r="S2331" s="750">
        <f t="shared" si="694"/>
        <v>0</v>
      </c>
      <c r="T2331" s="750">
        <f t="shared" si="695"/>
        <v>50</v>
      </c>
      <c r="U2331" s="750">
        <f t="shared" si="696"/>
        <v>80</v>
      </c>
      <c r="V2331" s="577" t="s">
        <v>1963</v>
      </c>
      <c r="W2331" s="577" t="s">
        <v>1963</v>
      </c>
      <c r="X2331" s="577">
        <f t="shared" si="712"/>
        <v>267.22379169571428</v>
      </c>
      <c r="Y2331" s="577" t="s">
        <v>1963</v>
      </c>
      <c r="Z2331" s="577" t="s">
        <v>1963</v>
      </c>
      <c r="AA2331" s="577" t="s">
        <v>1963</v>
      </c>
      <c r="AB2331" s="577" t="s">
        <v>1963</v>
      </c>
      <c r="AC2331" s="577" t="s">
        <v>1963</v>
      </c>
      <c r="AD2331" s="577" t="s">
        <v>1963</v>
      </c>
      <c r="AE2331" s="577">
        <f t="shared" si="708"/>
        <v>178.14919446380952</v>
      </c>
      <c r="AF2331" s="577" t="s">
        <v>1963</v>
      </c>
      <c r="AG2331" s="750">
        <f t="shared" si="697"/>
        <v>18.899999999999999</v>
      </c>
      <c r="AH2331" s="750">
        <f t="shared" si="691"/>
        <v>1547.3435977313275</v>
      </c>
      <c r="AI2331" s="750">
        <v>0.6</v>
      </c>
      <c r="AJ2331" s="750"/>
      <c r="AK2331" s="750"/>
      <c r="AL2331" s="750">
        <f>(((U2331+X2331+AG2331+AH2331)*AI2331)+(U2331+X2331+AG2331+AH2331))*1.08</f>
        <v>3306.4716489299285</v>
      </c>
      <c r="AM2331" s="750"/>
      <c r="AN2331" s="750"/>
      <c r="AO2331" s="750"/>
      <c r="AP2331" s="750"/>
      <c r="AQ2331" s="750"/>
      <c r="AR2331" s="750"/>
      <c r="AS2331" s="750">
        <f t="shared" si="713"/>
        <v>3152.5507449131969</v>
      </c>
      <c r="AT2331" s="750"/>
      <c r="AU2331" s="107"/>
    </row>
    <row r="2332" spans="13:47" s="29" customFormat="1" ht="25.5" customHeight="1" x14ac:dyDescent="0.25">
      <c r="M2332" s="750" t="s">
        <v>665</v>
      </c>
      <c r="N2332" s="750">
        <f>P20</f>
        <v>4</v>
      </c>
      <c r="O2332" s="750" t="str">
        <f>O20</f>
        <v>g</v>
      </c>
      <c r="P2332" s="750">
        <v>80</v>
      </c>
      <c r="Q2332" s="750">
        <f t="shared" si="690"/>
        <v>320</v>
      </c>
      <c r="R2332" s="750">
        <v>0</v>
      </c>
      <c r="S2332" s="750">
        <f t="shared" si="694"/>
        <v>0</v>
      </c>
      <c r="T2332" s="750">
        <f t="shared" si="695"/>
        <v>80</v>
      </c>
      <c r="U2332" s="750">
        <f t="shared" si="696"/>
        <v>320</v>
      </c>
      <c r="V2332" s="577" t="s">
        <v>1963</v>
      </c>
      <c r="W2332" s="577" t="s">
        <v>1963</v>
      </c>
      <c r="X2332" s="577" t="s">
        <v>1963</v>
      </c>
      <c r="Y2332" s="577" t="s">
        <v>1963</v>
      </c>
      <c r="Z2332" s="577" t="s">
        <v>1963</v>
      </c>
      <c r="AA2332" s="577" t="s">
        <v>1963</v>
      </c>
      <c r="AB2332" s="577" t="s">
        <v>1963</v>
      </c>
      <c r="AC2332" s="577" t="s">
        <v>1963</v>
      </c>
      <c r="AD2332" s="577" t="s">
        <v>1963</v>
      </c>
      <c r="AE2332" s="577">
        <f t="shared" si="708"/>
        <v>178.14919446380952</v>
      </c>
      <c r="AF2332" s="577">
        <f t="shared" si="711"/>
        <v>178.14919446380952</v>
      </c>
      <c r="AG2332" s="750">
        <f t="shared" si="697"/>
        <v>18.899999999999999</v>
      </c>
      <c r="AH2332" s="750">
        <f t="shared" si="691"/>
        <v>1547.3435977313275</v>
      </c>
      <c r="AI2332" s="750">
        <v>0.6</v>
      </c>
      <c r="AJ2332" s="750"/>
      <c r="AK2332" s="750"/>
      <c r="AL2332" s="750"/>
      <c r="AM2332" s="750"/>
      <c r="AN2332" s="750"/>
      <c r="AO2332" s="750"/>
      <c r="AP2332" s="750"/>
      <c r="AQ2332" s="750"/>
      <c r="AR2332" s="750"/>
      <c r="AS2332" s="750">
        <f t="shared" si="713"/>
        <v>3567.2707449131972</v>
      </c>
      <c r="AT2332" s="750">
        <f>(((U2332+AF2332+AG2332+AH2332)*AI2332)+(U2332+AF2332+AG2332+AH2332))*1.08</f>
        <v>3567.2707449131972</v>
      </c>
      <c r="AU2332" s="107"/>
    </row>
    <row r="2333" spans="13:47" s="29" customFormat="1" ht="25.5" customHeight="1" x14ac:dyDescent="0.25">
      <c r="M2333" s="750" t="s">
        <v>1077</v>
      </c>
      <c r="N2333" s="750">
        <f>AB6</f>
        <v>5.18</v>
      </c>
      <c r="O2333" s="750" t="str">
        <f>AA6</f>
        <v>g</v>
      </c>
      <c r="P2333" s="750">
        <v>120</v>
      </c>
      <c r="Q2333" s="750">
        <f t="shared" si="690"/>
        <v>621.59999999999991</v>
      </c>
      <c r="R2333" s="750">
        <v>0</v>
      </c>
      <c r="S2333" s="750">
        <f t="shared" si="694"/>
        <v>0</v>
      </c>
      <c r="T2333" s="750">
        <f t="shared" si="695"/>
        <v>120</v>
      </c>
      <c r="U2333" s="750">
        <f t="shared" si="696"/>
        <v>621.59999999999991</v>
      </c>
      <c r="V2333" s="577" t="s">
        <v>1963</v>
      </c>
      <c r="W2333" s="577" t="s">
        <v>1963</v>
      </c>
      <c r="X2333" s="577">
        <f t="shared" si="712"/>
        <v>267.22379169571428</v>
      </c>
      <c r="Y2333" s="577" t="s">
        <v>1963</v>
      </c>
      <c r="Z2333" s="577" t="s">
        <v>1963</v>
      </c>
      <c r="AA2333" s="577" t="s">
        <v>1963</v>
      </c>
      <c r="AB2333" s="577" t="s">
        <v>1963</v>
      </c>
      <c r="AC2333" s="577" t="s">
        <v>1963</v>
      </c>
      <c r="AD2333" s="577" t="s">
        <v>1963</v>
      </c>
      <c r="AE2333" s="577">
        <f t="shared" si="708"/>
        <v>178.14919446380952</v>
      </c>
      <c r="AF2333" s="577" t="s">
        <v>1963</v>
      </c>
      <c r="AG2333" s="750">
        <f t="shared" si="697"/>
        <v>18.899999999999999</v>
      </c>
      <c r="AH2333" s="750">
        <f t="shared" si="691"/>
        <v>1547.3435977313275</v>
      </c>
      <c r="AI2333" s="750">
        <v>0.6</v>
      </c>
      <c r="AJ2333" s="750"/>
      <c r="AK2333" s="750"/>
      <c r="AL2333" s="750">
        <f>(((U2333+X2333+AG2333+AH2333)*AI2333)+(U2333+X2333+AG2333+AH2333))*1.08</f>
        <v>4242.3564489299279</v>
      </c>
      <c r="AM2333" s="750"/>
      <c r="AN2333" s="750"/>
      <c r="AO2333" s="750"/>
      <c r="AP2333" s="750"/>
      <c r="AQ2333" s="750"/>
      <c r="AR2333" s="750"/>
      <c r="AS2333" s="750">
        <f t="shared" si="713"/>
        <v>4088.4355449131967</v>
      </c>
      <c r="AT2333" s="750"/>
      <c r="AU2333" s="107"/>
    </row>
    <row r="2334" spans="13:47" s="29" customFormat="1" ht="25.5" customHeight="1" x14ac:dyDescent="0.25">
      <c r="M2334" s="750" t="s">
        <v>533</v>
      </c>
      <c r="N2334" s="750">
        <f>AB5</f>
        <v>3.6</v>
      </c>
      <c r="O2334" s="750" t="str">
        <f>AA5</f>
        <v>g</v>
      </c>
      <c r="P2334" s="750">
        <v>120</v>
      </c>
      <c r="Q2334" s="750">
        <f t="shared" si="690"/>
        <v>432</v>
      </c>
      <c r="R2334" s="750">
        <v>0</v>
      </c>
      <c r="S2334" s="750">
        <f t="shared" si="694"/>
        <v>0</v>
      </c>
      <c r="T2334" s="750">
        <f t="shared" si="695"/>
        <v>120</v>
      </c>
      <c r="U2334" s="750">
        <f t="shared" si="696"/>
        <v>432</v>
      </c>
      <c r="V2334" s="577" t="s">
        <v>1963</v>
      </c>
      <c r="W2334" s="577" t="s">
        <v>1963</v>
      </c>
      <c r="X2334" s="577">
        <f t="shared" si="712"/>
        <v>267.22379169571428</v>
      </c>
      <c r="Y2334" s="577" t="s">
        <v>1963</v>
      </c>
      <c r="Z2334" s="577" t="s">
        <v>1963</v>
      </c>
      <c r="AA2334" s="577" t="s">
        <v>1963</v>
      </c>
      <c r="AB2334" s="577" t="s">
        <v>1963</v>
      </c>
      <c r="AC2334" s="577" t="s">
        <v>1963</v>
      </c>
      <c r="AD2334" s="577" t="s">
        <v>1963</v>
      </c>
      <c r="AE2334" s="577">
        <f t="shared" si="708"/>
        <v>178.14919446380952</v>
      </c>
      <c r="AF2334" s="577" t="s">
        <v>1963</v>
      </c>
      <c r="AG2334" s="750">
        <f t="shared" si="697"/>
        <v>18.899999999999999</v>
      </c>
      <c r="AH2334" s="750">
        <f t="shared" si="691"/>
        <v>1547.3435977313275</v>
      </c>
      <c r="AI2334" s="750">
        <v>0.6</v>
      </c>
      <c r="AJ2334" s="750"/>
      <c r="AK2334" s="750"/>
      <c r="AL2334" s="750">
        <f>(((U2334+X2334+AG2334+AH2334)*AI2334)+(U2334+X2334+AG2334+AH2334))*1.08</f>
        <v>3914.7276489299284</v>
      </c>
      <c r="AM2334" s="750"/>
      <c r="AN2334" s="750"/>
      <c r="AO2334" s="750"/>
      <c r="AP2334" s="750"/>
      <c r="AQ2334" s="750"/>
      <c r="AR2334" s="750"/>
      <c r="AS2334" s="750">
        <f t="shared" si="713"/>
        <v>3760.8067449131968</v>
      </c>
      <c r="AT2334" s="750"/>
      <c r="AU2334" s="107"/>
    </row>
    <row r="2335" spans="13:47" s="29" customFormat="1" ht="16.5" customHeight="1" x14ac:dyDescent="0.25">
      <c r="M2335" s="750" t="s">
        <v>572</v>
      </c>
      <c r="N2335" s="750">
        <f>P30</f>
        <v>3</v>
      </c>
      <c r="O2335" s="750" t="str">
        <f>O30</f>
        <v>g</v>
      </c>
      <c r="P2335" s="750">
        <v>60</v>
      </c>
      <c r="Q2335" s="750">
        <f t="shared" si="690"/>
        <v>180</v>
      </c>
      <c r="R2335" s="750">
        <v>0</v>
      </c>
      <c r="S2335" s="750">
        <f t="shared" si="694"/>
        <v>0</v>
      </c>
      <c r="T2335" s="750">
        <f t="shared" si="695"/>
        <v>60</v>
      </c>
      <c r="U2335" s="750">
        <f t="shared" si="696"/>
        <v>180</v>
      </c>
      <c r="V2335" s="577" t="s">
        <v>1963</v>
      </c>
      <c r="W2335" s="577" t="s">
        <v>1963</v>
      </c>
      <c r="X2335" s="577" t="s">
        <v>1963</v>
      </c>
      <c r="Y2335" s="577" t="s">
        <v>1963</v>
      </c>
      <c r="Z2335" s="577" t="s">
        <v>1963</v>
      </c>
      <c r="AA2335" s="577" t="s">
        <v>1963</v>
      </c>
      <c r="AB2335" s="577" t="s">
        <v>1963</v>
      </c>
      <c r="AC2335" s="577" t="s">
        <v>1963</v>
      </c>
      <c r="AD2335" s="577" t="s">
        <v>1963</v>
      </c>
      <c r="AE2335" s="577">
        <f t="shared" si="708"/>
        <v>178.14919446380952</v>
      </c>
      <c r="AF2335" s="577">
        <f t="shared" si="711"/>
        <v>178.14919446380952</v>
      </c>
      <c r="AG2335" s="750">
        <f t="shared" si="697"/>
        <v>18.899999999999999</v>
      </c>
      <c r="AH2335" s="750">
        <f t="shared" si="691"/>
        <v>1547.3435977313275</v>
      </c>
      <c r="AI2335" s="750">
        <v>0.6</v>
      </c>
      <c r="AJ2335" s="750"/>
      <c r="AK2335" s="750"/>
      <c r="AL2335" s="750"/>
      <c r="AM2335" s="750"/>
      <c r="AN2335" s="750"/>
      <c r="AO2335" s="750"/>
      <c r="AP2335" s="750"/>
      <c r="AQ2335" s="750"/>
      <c r="AR2335" s="750"/>
      <c r="AS2335" s="750">
        <f t="shared" si="713"/>
        <v>3325.3507449131971</v>
      </c>
      <c r="AT2335" s="750">
        <f>(((U2335+AF2335+AG2335+AH2335)*AI2335)+(U2335+AF2335+AG2335+AH2335))*1.08</f>
        <v>3325.3507449131971</v>
      </c>
      <c r="AU2335" s="107"/>
    </row>
    <row r="2336" spans="13:47" s="29" customFormat="1" ht="25.5" customHeight="1" x14ac:dyDescent="0.25">
      <c r="M2336" s="750" t="s">
        <v>461</v>
      </c>
      <c r="N2336" s="750">
        <f>P8</f>
        <v>3.3330000000000002</v>
      </c>
      <c r="O2336" s="750" t="str">
        <f>O8</f>
        <v>g</v>
      </c>
      <c r="P2336" s="750">
        <v>80</v>
      </c>
      <c r="Q2336" s="750">
        <f t="shared" si="690"/>
        <v>266.64</v>
      </c>
      <c r="R2336" s="750">
        <f>AJ6</f>
        <v>0.5</v>
      </c>
      <c r="S2336" s="750">
        <f t="shared" si="694"/>
        <v>40</v>
      </c>
      <c r="T2336" s="750">
        <f t="shared" si="695"/>
        <v>40</v>
      </c>
      <c r="U2336" s="750">
        <f t="shared" si="696"/>
        <v>399.96</v>
      </c>
      <c r="V2336" s="577" t="s">
        <v>1963</v>
      </c>
      <c r="W2336" s="577" t="s">
        <v>1963</v>
      </c>
      <c r="X2336" s="577" t="s">
        <v>1963</v>
      </c>
      <c r="Y2336" s="577" t="s">
        <v>1963</v>
      </c>
      <c r="Z2336" s="577" t="s">
        <v>1963</v>
      </c>
      <c r="AA2336" s="577" t="s">
        <v>1963</v>
      </c>
      <c r="AB2336" s="577" t="s">
        <v>1963</v>
      </c>
      <c r="AC2336" s="577" t="s">
        <v>1963</v>
      </c>
      <c r="AD2336" s="577" t="s">
        <v>1963</v>
      </c>
      <c r="AE2336" s="577">
        <f t="shared" si="708"/>
        <v>178.14919446380952</v>
      </c>
      <c r="AF2336" s="577">
        <f t="shared" si="711"/>
        <v>178.14919446380952</v>
      </c>
      <c r="AG2336" s="750">
        <f t="shared" si="697"/>
        <v>18.899999999999999</v>
      </c>
      <c r="AH2336" s="750">
        <f t="shared" si="691"/>
        <v>1547.3435977313275</v>
      </c>
      <c r="AI2336" s="750">
        <v>0.6</v>
      </c>
      <c r="AJ2336" s="750"/>
      <c r="AK2336" s="750"/>
      <c r="AL2336" s="750"/>
      <c r="AM2336" s="750"/>
      <c r="AN2336" s="750"/>
      <c r="AO2336" s="750"/>
      <c r="AP2336" s="750"/>
      <c r="AQ2336" s="750"/>
      <c r="AR2336" s="750"/>
      <c r="AS2336" s="750">
        <f t="shared" si="713"/>
        <v>3705.4416249131968</v>
      </c>
      <c r="AT2336" s="750">
        <f>(((U2336+AF2336+AG2336+AH2336)*AI2336)+(U2336+AF2336+AG2336+AH2336))*1.08</f>
        <v>3705.4416249131968</v>
      </c>
      <c r="AU2336" s="107"/>
    </row>
    <row r="2337" spans="3:47" s="29" customFormat="1" ht="25.5" customHeight="1" x14ac:dyDescent="0.25">
      <c r="M2337" s="750" t="s">
        <v>436</v>
      </c>
      <c r="N2337" s="750">
        <f>P31</f>
        <v>2.6</v>
      </c>
      <c r="O2337" s="750" t="str">
        <f>O31</f>
        <v>g</v>
      </c>
      <c r="P2337" s="750">
        <v>50</v>
      </c>
      <c r="Q2337" s="750">
        <f t="shared" si="690"/>
        <v>130</v>
      </c>
      <c r="R2337" s="750">
        <f>AJ19</f>
        <v>0.37</v>
      </c>
      <c r="S2337" s="750">
        <f t="shared" si="694"/>
        <v>18.5</v>
      </c>
      <c r="T2337" s="750">
        <f t="shared" si="695"/>
        <v>31.5</v>
      </c>
      <c r="U2337" s="750">
        <f>Q2337+((S2337*Q2337)/P2337)</f>
        <v>178.1</v>
      </c>
      <c r="V2337" s="577" t="s">
        <v>1963</v>
      </c>
      <c r="W2337" s="577" t="s">
        <v>1963</v>
      </c>
      <c r="X2337" s="577" t="s">
        <v>1963</v>
      </c>
      <c r="Y2337" s="577" t="s">
        <v>1963</v>
      </c>
      <c r="Z2337" s="577" t="s">
        <v>1963</v>
      </c>
      <c r="AA2337" s="577" t="s">
        <v>1963</v>
      </c>
      <c r="AB2337" s="577" t="s">
        <v>1963</v>
      </c>
      <c r="AC2337" s="577" t="s">
        <v>1963</v>
      </c>
      <c r="AD2337" s="577" t="s">
        <v>1963</v>
      </c>
      <c r="AE2337" s="577">
        <f t="shared" si="708"/>
        <v>178.14919446380952</v>
      </c>
      <c r="AF2337" s="577">
        <f t="shared" si="711"/>
        <v>178.14919446380952</v>
      </c>
      <c r="AG2337" s="750">
        <f t="shared" si="697"/>
        <v>18.899999999999999</v>
      </c>
      <c r="AH2337" s="750">
        <f t="shared" si="691"/>
        <v>1547.3435977313275</v>
      </c>
      <c r="AI2337" s="750">
        <v>0.6</v>
      </c>
      <c r="AJ2337" s="750"/>
      <c r="AK2337" s="750"/>
      <c r="AL2337" s="750"/>
      <c r="AM2337" s="750"/>
      <c r="AN2337" s="750"/>
      <c r="AO2337" s="750"/>
      <c r="AP2337" s="750"/>
      <c r="AQ2337" s="750"/>
      <c r="AR2337" s="750"/>
      <c r="AS2337" s="750">
        <f t="shared" si="713"/>
        <v>3322.0675449131973</v>
      </c>
      <c r="AT2337" s="750">
        <f>(((U2337+AF2337+AG2337+AH2337)*AI2337)+(U2337+AF2337+AG2337+AH2337))*1.08</f>
        <v>3322.0675449131973</v>
      </c>
      <c r="AU2337" s="107"/>
    </row>
    <row r="2338" spans="3:47" s="29" customFormat="1" x14ac:dyDescent="0.25">
      <c r="M2338" s="750" t="s">
        <v>515</v>
      </c>
      <c r="N2338" s="750">
        <f>P6</f>
        <v>7.8</v>
      </c>
      <c r="O2338" s="750" t="str">
        <f>O6</f>
        <v>g</v>
      </c>
      <c r="P2338" s="750">
        <v>30</v>
      </c>
      <c r="Q2338" s="750">
        <f t="shared" si="690"/>
        <v>234</v>
      </c>
      <c r="R2338" s="750">
        <f>AJ4</f>
        <v>0.55000000000000004</v>
      </c>
      <c r="S2338" s="750">
        <f t="shared" si="694"/>
        <v>16.5</v>
      </c>
      <c r="T2338" s="750">
        <f t="shared" si="695"/>
        <v>13.5</v>
      </c>
      <c r="U2338" s="750">
        <f t="shared" ref="U2338:U2341" si="714">Q2338+((S2338*Q2338)/P2338)</f>
        <v>362.7</v>
      </c>
      <c r="V2338" s="577" t="s">
        <v>1963</v>
      </c>
      <c r="W2338" s="577" t="s">
        <v>1963</v>
      </c>
      <c r="X2338" s="577">
        <f t="shared" si="712"/>
        <v>267.22379169571428</v>
      </c>
      <c r="Y2338" s="577" t="s">
        <v>1963</v>
      </c>
      <c r="Z2338" s="577" t="s">
        <v>1963</v>
      </c>
      <c r="AA2338" s="577" t="s">
        <v>1963</v>
      </c>
      <c r="AB2338" s="577" t="s">
        <v>1963</v>
      </c>
      <c r="AC2338" s="577" t="s">
        <v>1963</v>
      </c>
      <c r="AD2338" s="577" t="s">
        <v>1963</v>
      </c>
      <c r="AE2338" s="577">
        <f t="shared" si="708"/>
        <v>178.14919446380952</v>
      </c>
      <c r="AF2338" s="577" t="s">
        <v>1963</v>
      </c>
      <c r="AG2338" s="750">
        <f t="shared" si="697"/>
        <v>18.899999999999999</v>
      </c>
      <c r="AH2338" s="750">
        <f t="shared" si="691"/>
        <v>1547.3435977313275</v>
      </c>
      <c r="AI2338" s="750">
        <v>0.6</v>
      </c>
      <c r="AJ2338" s="750"/>
      <c r="AK2338" s="750"/>
      <c r="AL2338" s="750">
        <f>(((U2338+X2338+AG2338+AH2338)*AI2338)+(U2338+X2338+AG2338+AH2338))*1.08</f>
        <v>3794.977248929928</v>
      </c>
      <c r="AM2338" s="750"/>
      <c r="AN2338" s="750"/>
      <c r="AO2338" s="750"/>
      <c r="AP2338" s="750"/>
      <c r="AQ2338" s="750"/>
      <c r="AR2338" s="750"/>
      <c r="AS2338" s="750">
        <f t="shared" si="713"/>
        <v>3641.0563449131969</v>
      </c>
      <c r="AT2338" s="750"/>
      <c r="AU2338" s="107"/>
    </row>
    <row r="2339" spans="3:47" s="29" customFormat="1" x14ac:dyDescent="0.25">
      <c r="M2339" s="750" t="s">
        <v>529</v>
      </c>
      <c r="N2339" s="750">
        <f>P32</f>
        <v>17.72</v>
      </c>
      <c r="O2339" s="750" t="str">
        <f>O32</f>
        <v>g</v>
      </c>
      <c r="P2339" s="750">
        <v>50</v>
      </c>
      <c r="Q2339" s="750">
        <f t="shared" si="690"/>
        <v>886</v>
      </c>
      <c r="R2339" s="750">
        <f>AJ20</f>
        <v>0.31</v>
      </c>
      <c r="S2339" s="750">
        <f t="shared" si="694"/>
        <v>15.5</v>
      </c>
      <c r="T2339" s="750">
        <f t="shared" si="695"/>
        <v>34.5</v>
      </c>
      <c r="U2339" s="750">
        <f t="shared" si="714"/>
        <v>1160.6600000000001</v>
      </c>
      <c r="V2339" s="577" t="s">
        <v>1963</v>
      </c>
      <c r="W2339" s="577" t="s">
        <v>1963</v>
      </c>
      <c r="X2339" s="577" t="s">
        <v>1963</v>
      </c>
      <c r="Y2339" s="577" t="s">
        <v>1963</v>
      </c>
      <c r="Z2339" s="577" t="s">
        <v>1963</v>
      </c>
      <c r="AA2339" s="577" t="s">
        <v>1963</v>
      </c>
      <c r="AB2339" s="577" t="s">
        <v>1963</v>
      </c>
      <c r="AC2339" s="577" t="s">
        <v>1963</v>
      </c>
      <c r="AD2339" s="577" t="s">
        <v>1963</v>
      </c>
      <c r="AE2339" s="577">
        <f t="shared" si="708"/>
        <v>178.14919446380952</v>
      </c>
      <c r="AF2339" s="577">
        <f t="shared" si="711"/>
        <v>178.14919446380952</v>
      </c>
      <c r="AG2339" s="750">
        <f t="shared" si="697"/>
        <v>18.899999999999999</v>
      </c>
      <c r="AH2339" s="750">
        <f t="shared" si="691"/>
        <v>1547.3435977313275</v>
      </c>
      <c r="AI2339" s="750">
        <v>0.6</v>
      </c>
      <c r="AJ2339" s="750"/>
      <c r="AK2339" s="750"/>
      <c r="AL2339" s="750"/>
      <c r="AM2339" s="750"/>
      <c r="AN2339" s="750"/>
      <c r="AO2339" s="750"/>
      <c r="AP2339" s="750"/>
      <c r="AQ2339" s="750"/>
      <c r="AR2339" s="750"/>
      <c r="AS2339" s="750">
        <f t="shared" si="713"/>
        <v>5019.9312249131972</v>
      </c>
      <c r="AT2339" s="750">
        <f>(((U2339+AF2339+AG2339+AH2339)*AI2339)+(U2339+AF2339+AG2339+AH2339))*1.08</f>
        <v>5019.9312249131972</v>
      </c>
      <c r="AU2339" s="107"/>
    </row>
    <row r="2340" spans="3:47" s="29" customFormat="1" x14ac:dyDescent="0.25">
      <c r="M2340" s="750" t="s">
        <v>539</v>
      </c>
      <c r="N2340" s="750">
        <f>P7</f>
        <v>2.5</v>
      </c>
      <c r="O2340" s="750" t="str">
        <f>O7</f>
        <v>g</v>
      </c>
      <c r="P2340" s="750">
        <v>50</v>
      </c>
      <c r="Q2340" s="750">
        <f t="shared" si="690"/>
        <v>125</v>
      </c>
      <c r="R2340" s="750">
        <f>AJ5</f>
        <v>0.13</v>
      </c>
      <c r="S2340" s="750">
        <f t="shared" si="694"/>
        <v>6.5</v>
      </c>
      <c r="T2340" s="750">
        <f t="shared" si="695"/>
        <v>43.5</v>
      </c>
      <c r="U2340" s="750">
        <f t="shared" si="714"/>
        <v>141.25</v>
      </c>
      <c r="V2340" s="577" t="s">
        <v>1963</v>
      </c>
      <c r="W2340" s="577" t="s">
        <v>1963</v>
      </c>
      <c r="X2340" s="577" t="s">
        <v>1963</v>
      </c>
      <c r="Y2340" s="577" t="s">
        <v>1963</v>
      </c>
      <c r="Z2340" s="577" t="s">
        <v>1963</v>
      </c>
      <c r="AA2340" s="577" t="s">
        <v>1963</v>
      </c>
      <c r="AB2340" s="577" t="s">
        <v>1963</v>
      </c>
      <c r="AC2340" s="577" t="s">
        <v>1963</v>
      </c>
      <c r="AD2340" s="577" t="s">
        <v>1963</v>
      </c>
      <c r="AE2340" s="577">
        <f>AR17</f>
        <v>178.14919446380952</v>
      </c>
      <c r="AF2340" s="577">
        <f>AR18</f>
        <v>178.14919446380952</v>
      </c>
      <c r="AG2340" s="750">
        <f t="shared" si="697"/>
        <v>18.899999999999999</v>
      </c>
      <c r="AH2340" s="750">
        <f t="shared" si="691"/>
        <v>1547.3435977313275</v>
      </c>
      <c r="AI2340" s="750">
        <v>0.6</v>
      </c>
      <c r="AJ2340" s="750"/>
      <c r="AK2340" s="750"/>
      <c r="AL2340" s="750"/>
      <c r="AM2340" s="750"/>
      <c r="AN2340" s="750"/>
      <c r="AO2340" s="750"/>
      <c r="AP2340" s="750"/>
      <c r="AQ2340" s="750"/>
      <c r="AR2340" s="750"/>
      <c r="AS2340" s="750">
        <f t="shared" si="713"/>
        <v>3258.3907449131971</v>
      </c>
      <c r="AT2340" s="750">
        <f>(((U2340+AF2340+AG2340+AH2340)*AI2340)+(U2340+AF2340+AG2340+AH2340))*1.08</f>
        <v>3258.3907449131971</v>
      </c>
      <c r="AU2340" s="107"/>
    </row>
    <row r="2341" spans="3:47" s="29" customFormat="1" x14ac:dyDescent="0.25">
      <c r="M2341" s="750" t="s">
        <v>463</v>
      </c>
      <c r="N2341" s="577">
        <f>Y12</f>
        <v>86.33</v>
      </c>
      <c r="O2341" s="750" t="str">
        <f>X13</f>
        <v>g</v>
      </c>
      <c r="P2341" s="750">
        <v>5</v>
      </c>
      <c r="Q2341" s="750">
        <f t="shared" si="690"/>
        <v>431.65</v>
      </c>
      <c r="R2341" s="750">
        <v>0</v>
      </c>
      <c r="S2341" s="750">
        <f t="shared" si="694"/>
        <v>0</v>
      </c>
      <c r="T2341" s="750">
        <f t="shared" si="695"/>
        <v>5</v>
      </c>
      <c r="U2341" s="750">
        <f t="shared" si="714"/>
        <v>431.65</v>
      </c>
      <c r="V2341" s="577" t="s">
        <v>1963</v>
      </c>
      <c r="W2341" s="577" t="s">
        <v>1963</v>
      </c>
      <c r="X2341" s="577" t="s">
        <v>1963</v>
      </c>
      <c r="Y2341" s="577" t="s">
        <v>1963</v>
      </c>
      <c r="Z2341" s="577" t="s">
        <v>1963</v>
      </c>
      <c r="AA2341" s="577" t="s">
        <v>1963</v>
      </c>
      <c r="AB2341" s="577" t="s">
        <v>1963</v>
      </c>
      <c r="AC2341" s="577" t="s">
        <v>1963</v>
      </c>
      <c r="AD2341" s="577" t="s">
        <v>1963</v>
      </c>
      <c r="AE2341" s="577" t="s">
        <v>1963</v>
      </c>
      <c r="AF2341" s="577" t="s">
        <v>1963</v>
      </c>
      <c r="AG2341" s="750">
        <f t="shared" si="697"/>
        <v>18.899999999999999</v>
      </c>
      <c r="AH2341" s="750">
        <f t="shared" si="691"/>
        <v>1547.3435977313275</v>
      </c>
      <c r="AI2341" s="750">
        <v>0.6</v>
      </c>
      <c r="AJ2341" s="750"/>
      <c r="AK2341" s="750"/>
      <c r="AL2341" s="750"/>
      <c r="AM2341" s="750"/>
      <c r="AN2341" s="750"/>
      <c r="AO2341" s="750"/>
      <c r="AP2341" s="750"/>
      <c r="AQ2341" s="750"/>
      <c r="AR2341" s="750"/>
      <c r="AS2341" s="750"/>
      <c r="AT2341" s="750"/>
      <c r="AU2341" s="30"/>
    </row>
    <row r="2342" spans="3:47" s="29" customFormat="1" x14ac:dyDescent="0.25">
      <c r="M2342" s="750"/>
      <c r="N2342" s="750"/>
      <c r="O2342" s="750"/>
      <c r="P2342" s="750"/>
      <c r="Q2342" s="750"/>
      <c r="R2342" s="750"/>
      <c r="S2342" s="750"/>
      <c r="T2342" s="750"/>
      <c r="U2342" s="750"/>
      <c r="V2342" s="750"/>
      <c r="W2342" s="750"/>
      <c r="X2342" s="750"/>
      <c r="Y2342" s="750"/>
      <c r="Z2342" s="750"/>
      <c r="AA2342" s="750"/>
      <c r="AB2342" s="750"/>
      <c r="AC2342" s="750"/>
      <c r="AD2342" s="750"/>
      <c r="AE2342" s="750"/>
      <c r="AF2342" s="750"/>
      <c r="AG2342" s="750"/>
      <c r="AH2342" s="750"/>
      <c r="AI2342" s="750"/>
      <c r="AJ2342" s="750"/>
      <c r="AK2342" s="750"/>
      <c r="AL2342" s="750"/>
      <c r="AM2342" s="750"/>
      <c r="AN2342" s="750"/>
      <c r="AO2342" s="750"/>
      <c r="AP2342" s="750"/>
      <c r="AQ2342" s="750"/>
      <c r="AR2342" s="750"/>
      <c r="AS2342" s="750"/>
      <c r="AT2342" s="750"/>
      <c r="AU2342" s="30"/>
    </row>
    <row r="2343" spans="3:47" s="29" customFormat="1" x14ac:dyDescent="0.25">
      <c r="M2343" s="750" t="s">
        <v>337</v>
      </c>
      <c r="N2343" s="750">
        <f>SUM(N2314:N2342)</f>
        <v>689.97199999999998</v>
      </c>
      <c r="O2343" s="750"/>
      <c r="P2343" s="750">
        <f>SUM(P2314:P2342)</f>
        <v>1835</v>
      </c>
      <c r="Q2343" s="750">
        <f>SUM(Q2314:Q2342)</f>
        <v>42324.840000000004</v>
      </c>
      <c r="R2343" s="750"/>
      <c r="S2343" s="750"/>
      <c r="T2343" s="750"/>
      <c r="U2343" s="750">
        <f>SUM(U2314:U2342)</f>
        <v>56613.532000000007</v>
      </c>
      <c r="V2343" s="750"/>
      <c r="W2343" s="750"/>
      <c r="X2343" s="750"/>
      <c r="Y2343" s="750"/>
      <c r="Z2343" s="750"/>
      <c r="AA2343" s="750"/>
      <c r="AB2343" s="750"/>
      <c r="AC2343" s="750"/>
      <c r="AD2343" s="750"/>
      <c r="AE2343" s="750"/>
      <c r="AF2343" s="750"/>
      <c r="AG2343" s="750"/>
      <c r="AH2343" s="750"/>
      <c r="AI2343" s="750"/>
      <c r="AJ2343" s="750"/>
      <c r="AK2343" s="750"/>
      <c r="AL2343" s="750"/>
      <c r="AM2343" s="750"/>
      <c r="AN2343" s="750"/>
      <c r="AO2343" s="750"/>
      <c r="AP2343" s="750"/>
      <c r="AQ2343" s="750"/>
      <c r="AR2343" s="750"/>
      <c r="AS2343" s="750"/>
      <c r="AT2343" s="750"/>
    </row>
    <row r="2344" spans="3:47" s="29" customFormat="1" x14ac:dyDescent="0.25">
      <c r="M2344" s="107"/>
      <c r="N2344" s="107"/>
      <c r="O2344" s="107"/>
      <c r="P2344" s="107"/>
      <c r="Q2344" s="107"/>
      <c r="R2344" s="578"/>
      <c r="S2344" s="578"/>
      <c r="T2344" s="578"/>
      <c r="U2344" s="578"/>
      <c r="V2344" s="578"/>
      <c r="W2344" s="578"/>
      <c r="X2344" s="578"/>
      <c r="Y2344" s="578"/>
      <c r="Z2344" s="578"/>
      <c r="AA2344" s="578"/>
      <c r="AB2344" s="578"/>
      <c r="AC2344" s="578"/>
      <c r="AD2344" s="578"/>
      <c r="AE2344" s="578"/>
      <c r="AF2344" s="578"/>
      <c r="AG2344" s="578"/>
      <c r="AH2344" s="578"/>
      <c r="AI2344" s="578"/>
      <c r="AJ2344" s="578"/>
      <c r="AK2344" s="578"/>
      <c r="AL2344" s="578"/>
      <c r="AM2344" s="578"/>
      <c r="AN2344" s="578"/>
      <c r="AO2344" s="578"/>
      <c r="AP2344" s="578"/>
      <c r="AQ2344" s="578"/>
      <c r="AR2344" s="578"/>
      <c r="AS2344" s="578"/>
      <c r="AT2344" s="578"/>
    </row>
    <row r="2345" spans="3:47" s="29" customFormat="1" x14ac:dyDescent="0.25">
      <c r="M2345" s="107"/>
      <c r="N2345" s="107"/>
      <c r="O2345" s="107"/>
      <c r="P2345" s="107"/>
      <c r="Q2345" s="107"/>
      <c r="R2345" s="578"/>
      <c r="S2345" s="578"/>
      <c r="T2345" s="578"/>
      <c r="U2345" s="578"/>
      <c r="V2345" s="578"/>
      <c r="W2345" s="578"/>
      <c r="X2345" s="578"/>
      <c r="Y2345" s="578"/>
      <c r="Z2345" s="578"/>
      <c r="AA2345" s="578"/>
      <c r="AB2345" s="578"/>
      <c r="AC2345" s="578"/>
      <c r="AD2345" s="578"/>
      <c r="AE2345" s="578"/>
      <c r="AF2345" s="578"/>
      <c r="AG2345" s="578"/>
      <c r="AH2345" s="578"/>
      <c r="AI2345" s="578"/>
      <c r="AJ2345" s="578"/>
      <c r="AK2345" s="578"/>
      <c r="AL2345" s="578"/>
      <c r="AM2345" s="578"/>
      <c r="AN2345" s="578"/>
      <c r="AO2345" s="578"/>
      <c r="AP2345" s="578"/>
      <c r="AQ2345" s="578"/>
      <c r="AR2345" s="578"/>
      <c r="AS2345" s="578"/>
      <c r="AT2345" s="578"/>
    </row>
    <row r="2346" spans="3:47" s="29" customFormat="1" x14ac:dyDescent="0.25">
      <c r="M2346" s="107"/>
      <c r="N2346" s="107"/>
      <c r="O2346" s="107"/>
      <c r="P2346" s="107"/>
      <c r="Q2346" s="107"/>
      <c r="R2346" s="578"/>
      <c r="S2346" s="578"/>
      <c r="T2346" s="578"/>
      <c r="U2346" s="578"/>
      <c r="V2346" s="578"/>
      <c r="W2346" s="578"/>
      <c r="X2346" s="578"/>
      <c r="Y2346" s="578"/>
      <c r="Z2346" s="578"/>
      <c r="AA2346" s="578"/>
      <c r="AB2346" s="578"/>
      <c r="AC2346" s="578"/>
      <c r="AD2346" s="578"/>
      <c r="AE2346" s="578"/>
      <c r="AF2346" s="578"/>
      <c r="AG2346" s="578"/>
      <c r="AH2346" s="578"/>
      <c r="AI2346" s="578"/>
      <c r="AJ2346" s="578"/>
      <c r="AK2346" s="578"/>
      <c r="AL2346" s="578"/>
      <c r="AM2346" s="578"/>
      <c r="AN2346" s="578"/>
      <c r="AO2346" s="578"/>
      <c r="AP2346" s="578"/>
      <c r="AQ2346" s="578"/>
      <c r="AR2346" s="578"/>
      <c r="AS2346" s="578"/>
      <c r="AT2346" s="578"/>
    </row>
    <row r="2347" spans="3:47" s="29" customFormat="1" x14ac:dyDescent="0.25">
      <c r="C2347" s="115" t="s">
        <v>357</v>
      </c>
      <c r="D2347" s="115" t="s">
        <v>358</v>
      </c>
      <c r="E2347" s="115" t="s">
        <v>359</v>
      </c>
      <c r="F2347" s="115" t="s">
        <v>360</v>
      </c>
      <c r="G2347" s="115" t="s">
        <v>361</v>
      </c>
      <c r="M2347" s="750" t="s">
        <v>336</v>
      </c>
      <c r="N2347" s="750" t="s">
        <v>174</v>
      </c>
      <c r="O2347" s="750" t="s">
        <v>248</v>
      </c>
      <c r="P2347" s="750" t="s">
        <v>176</v>
      </c>
      <c r="Q2347" s="750" t="s">
        <v>337</v>
      </c>
      <c r="R2347" s="750" t="s">
        <v>1641</v>
      </c>
      <c r="S2347" s="750" t="s">
        <v>1642</v>
      </c>
      <c r="T2347" s="750" t="s">
        <v>1643</v>
      </c>
      <c r="U2347" s="750" t="s">
        <v>1644</v>
      </c>
      <c r="V2347" s="750" t="s">
        <v>1919</v>
      </c>
      <c r="W2347" s="750" t="s">
        <v>1920</v>
      </c>
      <c r="X2347" s="750" t="s">
        <v>1921</v>
      </c>
      <c r="Y2347" s="750" t="s">
        <v>1922</v>
      </c>
      <c r="Z2347" s="750" t="s">
        <v>1924</v>
      </c>
      <c r="AA2347" s="750" t="s">
        <v>1923</v>
      </c>
      <c r="AB2347" s="750" t="s">
        <v>1925</v>
      </c>
      <c r="AC2347" s="750" t="s">
        <v>1926</v>
      </c>
      <c r="AD2347" s="750" t="s">
        <v>1927</v>
      </c>
      <c r="AE2347" s="750" t="s">
        <v>1928</v>
      </c>
      <c r="AF2347" s="750" t="s">
        <v>1929</v>
      </c>
      <c r="AG2347" s="750" t="s">
        <v>1872</v>
      </c>
      <c r="AH2347" s="750" t="s">
        <v>1873</v>
      </c>
      <c r="AI2347" s="750" t="s">
        <v>1780</v>
      </c>
      <c r="AJ2347" s="750" t="s">
        <v>2035</v>
      </c>
      <c r="AK2347" s="750" t="s">
        <v>2036</v>
      </c>
      <c r="AL2347" s="750" t="s">
        <v>2037</v>
      </c>
      <c r="AM2347" s="750" t="s">
        <v>2038</v>
      </c>
      <c r="AN2347" s="750" t="s">
        <v>2039</v>
      </c>
      <c r="AO2347" s="750" t="s">
        <v>2040</v>
      </c>
      <c r="AP2347" s="750" t="s">
        <v>2041</v>
      </c>
      <c r="AQ2347" s="750" t="s">
        <v>2042</v>
      </c>
      <c r="AR2347" s="750" t="s">
        <v>2043</v>
      </c>
      <c r="AS2347" s="750" t="s">
        <v>2045</v>
      </c>
      <c r="AT2347" s="750" t="s">
        <v>2044</v>
      </c>
    </row>
    <row r="2348" spans="3:47" s="29" customFormat="1" ht="38.25" x14ac:dyDescent="0.25">
      <c r="C2348" s="1002" t="s">
        <v>362</v>
      </c>
      <c r="D2348" s="116" t="s">
        <v>385</v>
      </c>
      <c r="E2348" s="116" t="s">
        <v>1078</v>
      </c>
      <c r="F2348" s="116" t="s">
        <v>364</v>
      </c>
      <c r="G2348" s="116" t="s">
        <v>365</v>
      </c>
      <c r="M2348" s="750" t="s">
        <v>344</v>
      </c>
      <c r="N2348" s="750"/>
      <c r="O2348" s="750" t="s">
        <v>342</v>
      </c>
      <c r="P2348" s="750">
        <v>100</v>
      </c>
      <c r="Q2348" s="750">
        <f t="shared" ref="Q2348:Q2355" si="715">N2348*P2348</f>
        <v>0</v>
      </c>
      <c r="R2348" s="750">
        <v>0</v>
      </c>
      <c r="S2348" s="750">
        <f>P2348*R2348</f>
        <v>0</v>
      </c>
      <c r="T2348" s="750">
        <f>P2348-S2348</f>
        <v>100</v>
      </c>
      <c r="U2348" s="750">
        <f>Q2348+((S2348*Q2348)/P2348)</f>
        <v>0</v>
      </c>
      <c r="V2348" s="750"/>
      <c r="W2348" s="750"/>
      <c r="X2348" s="750"/>
      <c r="Y2348" s="750"/>
      <c r="Z2348" s="750"/>
      <c r="AA2348" s="750"/>
      <c r="AB2348" s="750"/>
      <c r="AC2348" s="750"/>
      <c r="AD2348" s="750"/>
      <c r="AE2348" s="750"/>
      <c r="AF2348" s="750"/>
      <c r="AG2348" s="750">
        <f>$AO$27/4</f>
        <v>18.899999999999999</v>
      </c>
      <c r="AH2348" s="750">
        <f t="shared" ref="AH2348:AH2374" si="716">$AO$29</f>
        <v>1547.3435977313275</v>
      </c>
      <c r="AI2348" s="750">
        <v>0.6</v>
      </c>
      <c r="AJ2348" s="750">
        <f>(((U2348+V2348+AG2348+AH2348)*AI2348)+(U2348+V2348+AG2348+AH2348))*1.08</f>
        <v>2706.4689368797344</v>
      </c>
      <c r="AK2348" s="750">
        <f>(((U2348+W2348+AG2348+AH2348)*AI2348)+(U2348+W2348+AG2348+AH2348))*1.08</f>
        <v>2706.4689368797344</v>
      </c>
      <c r="AL2348" s="750">
        <f>(((U2348+X2348+AG2348+AH2348)*AI2348)+(U2348+X2348+AG2348+AH2348))*1.08</f>
        <v>2706.4689368797344</v>
      </c>
      <c r="AM2348" s="750">
        <f t="shared" ref="AM2348:AM2354" si="717">(((U2348+Y2348+AG2348+AH2348)*AI2348)+(U2348+Y2348+AG2348+AH2348))*1.08</f>
        <v>2706.4689368797344</v>
      </c>
      <c r="AN2348" s="750">
        <f t="shared" ref="AN2348:AN2353" si="718">(((U2348+Z2348+AG2348+AH2348)*AI2348)+(U2348+Z2348+AG2348+AH2348))*1.08</f>
        <v>2706.4689368797344</v>
      </c>
      <c r="AO2348" s="750">
        <f>(((U2348+AA2348+AG2348+AH2348)*AI2348)+(U2348+AA2348+AG2348+AH2348))*1.08</f>
        <v>2706.4689368797344</v>
      </c>
      <c r="AP2348" s="750">
        <f>(((U2348+AB2348+AG2348+AH2348)*AI2348)+(U2348+AB2348+AG2348+AH2348))*1.08</f>
        <v>2706.4689368797344</v>
      </c>
      <c r="AQ2348" s="750">
        <f>(((U2348+AC2348+AG2348+AH2348)*AI2348)+(U2348+AC2348+AG2348+AH2348))*1.08</f>
        <v>2706.4689368797344</v>
      </c>
      <c r="AR2348" s="750">
        <f>(((U2348+AD2348+AG2348+AH2348)*AI2348)+(U2348+AD2348+AG2348+AH2348))*1.08</f>
        <v>2706.4689368797344</v>
      </c>
      <c r="AS2348" s="750">
        <f>(((U2348+AE2348+AG2348+AH2348)*AI2348)+(U2348+AE2348+AG2348+AH2348))*1.08</f>
        <v>2706.4689368797344</v>
      </c>
      <c r="AT2348" s="750">
        <f>(((U2348+AF2348+AG2348+AH2348)*AI2348)+(U2348+AF2348+AG2348+AH2348))*1.08</f>
        <v>2706.4689368797344</v>
      </c>
    </row>
    <row r="2349" spans="3:47" s="29" customFormat="1" ht="38.25" x14ac:dyDescent="0.25">
      <c r="C2349" s="1002"/>
      <c r="D2349" s="116" t="s">
        <v>959</v>
      </c>
      <c r="E2349" s="116" t="s">
        <v>1079</v>
      </c>
      <c r="F2349" s="116" t="s">
        <v>364</v>
      </c>
      <c r="G2349" s="116" t="s">
        <v>365</v>
      </c>
      <c r="M2349" s="750" t="s">
        <v>359</v>
      </c>
      <c r="N2349" s="750"/>
      <c r="O2349" s="750" t="s">
        <v>342</v>
      </c>
      <c r="P2349" s="750">
        <v>120</v>
      </c>
      <c r="Q2349" s="750">
        <f t="shared" si="715"/>
        <v>0</v>
      </c>
      <c r="R2349" s="750">
        <v>0</v>
      </c>
      <c r="S2349" s="750">
        <f t="shared" ref="S2349:S2374" si="719">P2349*R2349</f>
        <v>0</v>
      </c>
      <c r="T2349" s="750">
        <f t="shared" ref="T2349:T2374" si="720">P2349-S2349</f>
        <v>120</v>
      </c>
      <c r="U2349" s="750">
        <f t="shared" ref="U2349:U2370" si="721">Q2349+((S2349*Q2349)/P2349)</f>
        <v>0</v>
      </c>
      <c r="V2349" s="750"/>
      <c r="W2349" s="750"/>
      <c r="X2349" s="750"/>
      <c r="Y2349" s="750"/>
      <c r="Z2349" s="750"/>
      <c r="AA2349" s="750"/>
      <c r="AB2349" s="750"/>
      <c r="AC2349" s="750"/>
      <c r="AD2349" s="750"/>
      <c r="AE2349" s="750"/>
      <c r="AF2349" s="750"/>
      <c r="AG2349" s="750">
        <f t="shared" ref="AG2349:AG2374" si="722">$AO$27/4</f>
        <v>18.899999999999999</v>
      </c>
      <c r="AH2349" s="750">
        <f t="shared" si="716"/>
        <v>1547.3435977313275</v>
      </c>
      <c r="AI2349" s="750">
        <v>0.6</v>
      </c>
      <c r="AJ2349" s="750">
        <f>(((U2349+V2349+AG2349+AH2349)*AI2349)+(U2349+V2349+AG2349+AH2349))*1.08</f>
        <v>2706.4689368797344</v>
      </c>
      <c r="AK2349" s="750">
        <f>(((U2349+W2349+AG2349+AH2349)*AI2349)+(U2349+W2349+AG2349+AH2349))*1.08</f>
        <v>2706.4689368797344</v>
      </c>
      <c r="AL2349" s="750">
        <f>(((U2349+X2349+AG2349+AH2349)*AI2349)+(U2349+X2349+AG2349+AH2349))*1.08</f>
        <v>2706.4689368797344</v>
      </c>
      <c r="AM2349" s="750">
        <f t="shared" si="717"/>
        <v>2706.4689368797344</v>
      </c>
      <c r="AN2349" s="750">
        <f t="shared" si="718"/>
        <v>2706.4689368797344</v>
      </c>
      <c r="AO2349" s="750">
        <f>(((U2349+AA2349+AG2349+AH2349)*AI2349)+(U2349+AA2349+AG2349+AH2349))*1.08</f>
        <v>2706.4689368797344</v>
      </c>
      <c r="AP2349" s="750">
        <f>(((U2349+AB2349+AG2349+AH2349)*AI2349)+(U2349+AB2349+AG2349+AH2349))*1.08</f>
        <v>2706.4689368797344</v>
      </c>
      <c r="AQ2349" s="750">
        <f>(((U2349+AC2349+AG2349+AH2349)*AI2349)+(U2349+AC2349+AG2349+AH2349))*1.08</f>
        <v>2706.4689368797344</v>
      </c>
      <c r="AR2349" s="750">
        <f>(((U2349+AD2349+AG2349+AH2349)*AI2349)+(U2349+AD2349+AG2349+AH2349))*1.08</f>
        <v>2706.4689368797344</v>
      </c>
      <c r="AS2349" s="750">
        <f>(((U2349+AE2349+AG2349+AH2349)*AI2349)+(U2349+AE2349+AG2349+AH2349))*1.08</f>
        <v>2706.4689368797344</v>
      </c>
      <c r="AT2349" s="750">
        <f>(((U2349+AF2349+AG2349+AH2349)*AI2349)+(U2349+AF2349+AG2349+AH2349))*1.08</f>
        <v>2706.4689368797344</v>
      </c>
      <c r="AU2349" s="30"/>
    </row>
    <row r="2350" spans="3:47" s="29" customFormat="1" ht="38.25" x14ac:dyDescent="0.25">
      <c r="C2350" s="1002" t="s">
        <v>367</v>
      </c>
      <c r="D2350" s="116" t="s">
        <v>369</v>
      </c>
      <c r="E2350" s="116" t="s">
        <v>1080</v>
      </c>
      <c r="F2350" s="116" t="s">
        <v>1081</v>
      </c>
      <c r="G2350" s="116" t="s">
        <v>387</v>
      </c>
      <c r="M2350" s="750" t="s">
        <v>427</v>
      </c>
      <c r="N2350" s="750">
        <f>S8</f>
        <v>59</v>
      </c>
      <c r="O2350" s="750" t="str">
        <f>R8</f>
        <v>g</v>
      </c>
      <c r="P2350" s="750">
        <v>80</v>
      </c>
      <c r="Q2350" s="750">
        <f t="shared" si="715"/>
        <v>4720</v>
      </c>
      <c r="R2350" s="750">
        <f>AN4</f>
        <v>0.41</v>
      </c>
      <c r="S2350" s="750">
        <f t="shared" si="719"/>
        <v>32.799999999999997</v>
      </c>
      <c r="T2350" s="750">
        <f t="shared" si="720"/>
        <v>47.2</v>
      </c>
      <c r="U2350" s="750">
        <f t="shared" si="721"/>
        <v>6655.2</v>
      </c>
      <c r="V2350" s="577">
        <f>$AR$8</f>
        <v>267.22379169571428</v>
      </c>
      <c r="W2350" s="577">
        <f>$AR$9</f>
        <v>178.14919446380952</v>
      </c>
      <c r="X2350" s="577">
        <f>$AR$10</f>
        <v>267.22379169571428</v>
      </c>
      <c r="Y2350" s="577">
        <f>$AR$11</f>
        <v>267.22379169571428</v>
      </c>
      <c r="Z2350" s="577">
        <f>$AR$12</f>
        <v>267.22379169571428</v>
      </c>
      <c r="AA2350" s="577">
        <f>$AR$13</f>
        <v>178.14919446380952</v>
      </c>
      <c r="AB2350" s="577">
        <f>$AR$14</f>
        <v>178.14919446380952</v>
      </c>
      <c r="AC2350" s="577">
        <f>$AR$15</f>
        <v>267.22379169571428</v>
      </c>
      <c r="AD2350" s="577" t="s">
        <v>1963</v>
      </c>
      <c r="AE2350" s="577" t="s">
        <v>1963</v>
      </c>
      <c r="AF2350" s="577" t="s">
        <v>1963</v>
      </c>
      <c r="AG2350" s="750">
        <f t="shared" si="722"/>
        <v>18.899999999999999</v>
      </c>
      <c r="AH2350" s="750">
        <f t="shared" si="716"/>
        <v>1547.3435977313275</v>
      </c>
      <c r="AI2350" s="750">
        <v>0.6</v>
      </c>
      <c r="AJ2350" s="750">
        <f>(((U2350+V2350+AG2350+AH2350)*AI2350)+(U2350+V2350+AG2350+AH2350))*1.08</f>
        <v>14668.417248929929</v>
      </c>
      <c r="AK2350" s="750">
        <f>(((U2350+W2350+AG2350+AH2350)*AI2350)+(U2350+W2350+AG2350+AH2350))*1.08</f>
        <v>14514.496344913199</v>
      </c>
      <c r="AL2350" s="750">
        <f>(((U2350+X2350+AG2350+AH2350)*AI2350)+(U2350+X2350+AG2350+AH2350))*1.08</f>
        <v>14668.417248929929</v>
      </c>
      <c r="AM2350" s="750">
        <f t="shared" si="717"/>
        <v>14668.417248929929</v>
      </c>
      <c r="AN2350" s="750">
        <f t="shared" si="718"/>
        <v>14668.417248929929</v>
      </c>
      <c r="AO2350" s="750">
        <f>(((U2350+AA2350+AG2350+AH2350)*AI2350)+(U2350+AA2350+AG2350+AH2350))*1.08</f>
        <v>14514.496344913199</v>
      </c>
      <c r="AP2350" s="750">
        <f>(((U2350+AB2350+AG2350+AH2350)*AI2350)+(U2350+AB2350+AG2350+AH2350))*1.08</f>
        <v>14514.496344913199</v>
      </c>
      <c r="AQ2350" s="750">
        <f>(((U2350+AC2350+AG2350+AH2350)*AI2350)+(U2350+AC2350+AG2350+AH2350))*1.08</f>
        <v>14668.417248929929</v>
      </c>
      <c r="AR2350" s="750"/>
      <c r="AS2350" s="750"/>
      <c r="AT2350" s="750"/>
      <c r="AU2350" s="107"/>
    </row>
    <row r="2351" spans="3:47" s="29" customFormat="1" ht="76.5" x14ac:dyDescent="0.25">
      <c r="C2351" s="1002"/>
      <c r="D2351" s="116" t="s">
        <v>379</v>
      </c>
      <c r="E2351" s="116" t="s">
        <v>1082</v>
      </c>
      <c r="F2351" s="116" t="s">
        <v>1083</v>
      </c>
      <c r="G2351" s="116" t="s">
        <v>1084</v>
      </c>
      <c r="M2351" s="750" t="s">
        <v>484</v>
      </c>
      <c r="N2351" s="750">
        <f>S7</f>
        <v>54</v>
      </c>
      <c r="O2351" s="750" t="str">
        <f>R7</f>
        <v>g</v>
      </c>
      <c r="P2351" s="750">
        <v>80</v>
      </c>
      <c r="Q2351" s="750">
        <f t="shared" si="715"/>
        <v>4320</v>
      </c>
      <c r="R2351" s="750">
        <f>AN2</f>
        <v>0.33</v>
      </c>
      <c r="S2351" s="750">
        <f t="shared" si="719"/>
        <v>26.400000000000002</v>
      </c>
      <c r="T2351" s="750">
        <f t="shared" si="720"/>
        <v>53.599999999999994</v>
      </c>
      <c r="U2351" s="750">
        <f t="shared" si="721"/>
        <v>5745.6</v>
      </c>
      <c r="V2351" s="577" t="s">
        <v>1963</v>
      </c>
      <c r="W2351" s="577" t="s">
        <v>1963</v>
      </c>
      <c r="X2351" s="577" t="s">
        <v>1963</v>
      </c>
      <c r="Y2351" s="577">
        <f t="shared" ref="Y2351:Y2354" si="723">$AR$11</f>
        <v>267.22379169571428</v>
      </c>
      <c r="Z2351" s="577">
        <f t="shared" ref="Z2351:Z2353" si="724">$AR$12</f>
        <v>267.22379169571428</v>
      </c>
      <c r="AA2351" s="577">
        <f t="shared" ref="AA2351:AA2352" si="725">$AR$13</f>
        <v>178.14919446380952</v>
      </c>
      <c r="AB2351" s="577">
        <f t="shared" ref="AB2351:AB2352" si="726">$AR$14</f>
        <v>178.14919446380952</v>
      </c>
      <c r="AC2351" s="577" t="s">
        <v>1963</v>
      </c>
      <c r="AD2351" s="577" t="s">
        <v>1963</v>
      </c>
      <c r="AE2351" s="577" t="s">
        <v>1963</v>
      </c>
      <c r="AF2351" s="577">
        <f>AR18</f>
        <v>178.14919446380952</v>
      </c>
      <c r="AG2351" s="750">
        <f t="shared" si="722"/>
        <v>18.899999999999999</v>
      </c>
      <c r="AH2351" s="750">
        <f t="shared" si="716"/>
        <v>1547.3435977313275</v>
      </c>
      <c r="AI2351" s="750">
        <v>0.6</v>
      </c>
      <c r="AJ2351" s="750"/>
      <c r="AK2351" s="750"/>
      <c r="AL2351" s="750"/>
      <c r="AM2351" s="750">
        <f t="shared" si="717"/>
        <v>13096.628448929929</v>
      </c>
      <c r="AN2351" s="750">
        <f t="shared" si="718"/>
        <v>13096.628448929929</v>
      </c>
      <c r="AO2351" s="750">
        <f>(((U2351+AA2351+AG2351+AH2351)*AI2351)+(U2351+AA2351+AG2351+AH2351))*1.08</f>
        <v>12942.707544913197</v>
      </c>
      <c r="AP2351" s="750">
        <f>(((U2351+AB2351+AG2351+AH2351)*AI2351)+(U2351+AB2351+AG2351+AH2351))*1.08</f>
        <v>12942.707544913197</v>
      </c>
      <c r="AQ2351" s="750"/>
      <c r="AR2351" s="750"/>
      <c r="AS2351" s="750"/>
      <c r="AT2351" s="750">
        <f>(((U2351+AF2351+AG2351+AH2351)*AI2351)+(U2351+AF2351+AG2351+AH2351))*1.08</f>
        <v>12942.707544913197</v>
      </c>
      <c r="AU2351" s="107"/>
    </row>
    <row r="2352" spans="3:47" s="29" customFormat="1" ht="63.75" x14ac:dyDescent="0.25">
      <c r="C2352" s="1002" t="s">
        <v>370</v>
      </c>
      <c r="D2352" s="116" t="s">
        <v>377</v>
      </c>
      <c r="E2352" s="116" t="s">
        <v>1085</v>
      </c>
      <c r="F2352" s="116" t="s">
        <v>1086</v>
      </c>
      <c r="G2352" s="116" t="s">
        <v>1087</v>
      </c>
      <c r="M2352" s="750" t="s">
        <v>349</v>
      </c>
      <c r="N2352" s="750">
        <f>S15</f>
        <v>41</v>
      </c>
      <c r="O2352" s="750" t="str">
        <f>R15</f>
        <v>g</v>
      </c>
      <c r="P2352" s="750">
        <v>80</v>
      </c>
      <c r="Q2352" s="750">
        <f t="shared" si="715"/>
        <v>3280</v>
      </c>
      <c r="R2352" s="750">
        <f>AN3</f>
        <v>0.47</v>
      </c>
      <c r="S2352" s="750">
        <f t="shared" si="719"/>
        <v>37.599999999999994</v>
      </c>
      <c r="T2352" s="750">
        <f t="shared" si="720"/>
        <v>42.400000000000006</v>
      </c>
      <c r="U2352" s="750">
        <f t="shared" si="721"/>
        <v>4821.6000000000004</v>
      </c>
      <c r="V2352" s="577">
        <f t="shared" ref="V2352" si="727">$AR$8</f>
        <v>267.22379169571428</v>
      </c>
      <c r="W2352" s="577">
        <f t="shared" ref="W2352" si="728">$AR$9</f>
        <v>178.14919446380952</v>
      </c>
      <c r="X2352" s="577">
        <f t="shared" ref="X2352" si="729">$AR$10</f>
        <v>267.22379169571428</v>
      </c>
      <c r="Y2352" s="577">
        <f t="shared" si="723"/>
        <v>267.22379169571428</v>
      </c>
      <c r="Z2352" s="577">
        <f t="shared" si="724"/>
        <v>267.22379169571428</v>
      </c>
      <c r="AA2352" s="577">
        <f t="shared" si="725"/>
        <v>178.14919446380952</v>
      </c>
      <c r="AB2352" s="577">
        <f t="shared" si="726"/>
        <v>178.14919446380952</v>
      </c>
      <c r="AC2352" s="577">
        <f t="shared" ref="AC2352" si="730">$AR$15</f>
        <v>267.22379169571428</v>
      </c>
      <c r="AD2352" s="577" t="s">
        <v>1963</v>
      </c>
      <c r="AE2352" s="577" t="s">
        <v>1963</v>
      </c>
      <c r="AF2352" s="577" t="s">
        <v>1963</v>
      </c>
      <c r="AG2352" s="750">
        <f t="shared" si="722"/>
        <v>18.899999999999999</v>
      </c>
      <c r="AH2352" s="750">
        <f t="shared" si="716"/>
        <v>1547.3435977313275</v>
      </c>
      <c r="AI2352" s="750">
        <v>0.6</v>
      </c>
      <c r="AJ2352" s="750">
        <f>(((U2352+V2352+AG2352+AH2352)*AI2352)+(U2352+V2352+AG2352+AH2352))*1.08</f>
        <v>11499.95644892993</v>
      </c>
      <c r="AK2352" s="750">
        <f>(((U2352+W2352+AG2352+AH2352)*AI2352)+(U2352+W2352+AG2352+AH2352))*1.08</f>
        <v>11346.035544913197</v>
      </c>
      <c r="AL2352" s="750">
        <f>(((U2352+X2352+AG2352+AH2352)*AI2352)+(U2352+X2352+AG2352+AH2352))*1.08</f>
        <v>11499.95644892993</v>
      </c>
      <c r="AM2352" s="750">
        <f t="shared" si="717"/>
        <v>11499.95644892993</v>
      </c>
      <c r="AN2352" s="750">
        <f t="shared" si="718"/>
        <v>11499.95644892993</v>
      </c>
      <c r="AO2352" s="750">
        <f>(((U2352+AA2352+AG2352+AH2352)*AI2352)+(U2352+AA2352+AG2352+AH2352))*1.08</f>
        <v>11346.035544913197</v>
      </c>
      <c r="AP2352" s="750">
        <f>(((U2352+AB2352+AG2352+AH2352)*AI2352)+(U2352+AB2352+AG2352+AH2352))*1.08</f>
        <v>11346.035544913197</v>
      </c>
      <c r="AQ2352" s="750">
        <f>(((U2352+AC2352+AG2352+AH2352)*AI2352)+(U2352+AC2352+AG2352+AH2352))*1.08</f>
        <v>11499.95644892993</v>
      </c>
      <c r="AR2352" s="750"/>
      <c r="AS2352" s="750"/>
      <c r="AT2352" s="750"/>
      <c r="AU2352" s="107"/>
    </row>
    <row r="2353" spans="3:47" s="29" customFormat="1" ht="63.75" x14ac:dyDescent="0.25">
      <c r="C2353" s="1002"/>
      <c r="D2353" s="116" t="s">
        <v>708</v>
      </c>
      <c r="E2353" s="116" t="s">
        <v>1088</v>
      </c>
      <c r="F2353" s="116" t="s">
        <v>1089</v>
      </c>
      <c r="G2353" s="116" t="s">
        <v>1090</v>
      </c>
      <c r="M2353" s="750" t="s">
        <v>458</v>
      </c>
      <c r="N2353" s="750">
        <f>S10</f>
        <v>32.46</v>
      </c>
      <c r="O2353" s="750" t="str">
        <f>R10</f>
        <v>g</v>
      </c>
      <c r="P2353" s="750">
        <v>80</v>
      </c>
      <c r="Q2353" s="750">
        <f t="shared" si="715"/>
        <v>2596.8000000000002</v>
      </c>
      <c r="R2353" s="750">
        <v>0</v>
      </c>
      <c r="S2353" s="750">
        <f t="shared" si="719"/>
        <v>0</v>
      </c>
      <c r="T2353" s="750">
        <f t="shared" si="720"/>
        <v>80</v>
      </c>
      <c r="U2353" s="750">
        <f t="shared" si="721"/>
        <v>2596.8000000000002</v>
      </c>
      <c r="V2353" s="577" t="s">
        <v>1963</v>
      </c>
      <c r="W2353" s="577" t="s">
        <v>1963</v>
      </c>
      <c r="X2353" s="577" t="s">
        <v>1963</v>
      </c>
      <c r="Y2353" s="577">
        <f t="shared" si="723"/>
        <v>267.22379169571428</v>
      </c>
      <c r="Z2353" s="577">
        <f t="shared" si="724"/>
        <v>267.22379169571428</v>
      </c>
      <c r="AA2353" s="577" t="s">
        <v>1963</v>
      </c>
      <c r="AB2353" s="577" t="s">
        <v>1963</v>
      </c>
      <c r="AC2353" s="577" t="s">
        <v>1963</v>
      </c>
      <c r="AD2353" s="577" t="s">
        <v>1963</v>
      </c>
      <c r="AE2353" s="577" t="s">
        <v>1963</v>
      </c>
      <c r="AF2353" s="577" t="s">
        <v>1963</v>
      </c>
      <c r="AG2353" s="750">
        <f t="shared" si="722"/>
        <v>18.899999999999999</v>
      </c>
      <c r="AH2353" s="750">
        <f t="shared" si="716"/>
        <v>1547.3435977313275</v>
      </c>
      <c r="AI2353" s="750">
        <v>0.6</v>
      </c>
      <c r="AJ2353" s="750"/>
      <c r="AK2353" s="750"/>
      <c r="AL2353" s="750"/>
      <c r="AM2353" s="750">
        <f t="shared" si="717"/>
        <v>7655.5020489299286</v>
      </c>
      <c r="AN2353" s="750">
        <f t="shared" si="718"/>
        <v>7655.5020489299286</v>
      </c>
      <c r="AO2353" s="750"/>
      <c r="AP2353" s="750"/>
      <c r="AQ2353" s="750"/>
      <c r="AR2353" s="750"/>
      <c r="AS2353" s="750"/>
      <c r="AT2353" s="750"/>
      <c r="AU2353" s="107"/>
    </row>
    <row r="2354" spans="3:47" s="29" customFormat="1" x14ac:dyDescent="0.25">
      <c r="C2354" s="108"/>
      <c r="D2354" s="109"/>
      <c r="E2354" s="109"/>
      <c r="F2354" s="109"/>
      <c r="G2354" s="109"/>
      <c r="M2354" s="750" t="s">
        <v>469</v>
      </c>
      <c r="N2354" s="750">
        <f>S17</f>
        <v>153.78</v>
      </c>
      <c r="O2354" s="750" t="str">
        <f>R17</f>
        <v>g</v>
      </c>
      <c r="P2354" s="750">
        <v>80</v>
      </c>
      <c r="Q2354" s="750">
        <f t="shared" si="715"/>
        <v>12302.4</v>
      </c>
      <c r="R2354" s="750">
        <f>AN9</f>
        <v>0.52</v>
      </c>
      <c r="S2354" s="750">
        <f t="shared" si="719"/>
        <v>41.6</v>
      </c>
      <c r="T2354" s="750">
        <f t="shared" si="720"/>
        <v>38.4</v>
      </c>
      <c r="U2354" s="750">
        <f t="shared" si="721"/>
        <v>18699.648000000001</v>
      </c>
      <c r="V2354" s="577" t="s">
        <v>1963</v>
      </c>
      <c r="W2354" s="577">
        <f t="shared" ref="W2354" si="731">$AR$9</f>
        <v>178.14919446380952</v>
      </c>
      <c r="X2354" s="577" t="s">
        <v>1963</v>
      </c>
      <c r="Y2354" s="577">
        <f t="shared" si="723"/>
        <v>267.22379169571428</v>
      </c>
      <c r="Z2354" s="577" t="s">
        <v>1963</v>
      </c>
      <c r="AA2354" s="577" t="s">
        <v>1963</v>
      </c>
      <c r="AB2354" s="577" t="s">
        <v>1963</v>
      </c>
      <c r="AC2354" s="577" t="s">
        <v>1963</v>
      </c>
      <c r="AD2354" s="577">
        <f t="shared" ref="AD2354" si="732">$AR$16</f>
        <v>178.14919446380952</v>
      </c>
      <c r="AE2354" s="577">
        <f t="shared" ref="AE2354" si="733">$AR$17</f>
        <v>178.14919446380952</v>
      </c>
      <c r="AF2354" s="577">
        <f t="shared" ref="AF2354" si="734">$AR$18</f>
        <v>178.14919446380952</v>
      </c>
      <c r="AG2354" s="750">
        <f t="shared" si="722"/>
        <v>18.899999999999999</v>
      </c>
      <c r="AH2354" s="750">
        <f t="shared" si="716"/>
        <v>1547.3435977313275</v>
      </c>
      <c r="AI2354" s="750">
        <v>0.6</v>
      </c>
      <c r="AJ2354" s="750"/>
      <c r="AK2354" s="750">
        <f>(((U2354+W2354+AG2354+AH2354)*AI2354)+(U2354+W2354+AG2354+AH2354))*1.08</f>
        <v>35327.302488913207</v>
      </c>
      <c r="AL2354" s="750"/>
      <c r="AM2354" s="750">
        <f t="shared" si="717"/>
        <v>35481.223392929933</v>
      </c>
      <c r="AN2354" s="750"/>
      <c r="AO2354" s="750"/>
      <c r="AP2354" s="750"/>
      <c r="AQ2354" s="750"/>
      <c r="AR2354" s="750">
        <f>(((U2354+AD2354+AG2354+AH2354)*AI2354)+(U2354+AD2354+AG2354+AH2354))*1.08</f>
        <v>35327.302488913207</v>
      </c>
      <c r="AS2354" s="750">
        <f>(((U2354+AE2354+AG2354+AH2354)*AI2354)+(U2354+AE2354+AG2354+AH2354))*1.08</f>
        <v>35327.302488913207</v>
      </c>
      <c r="AT2354" s="750">
        <f>(((U2354+AF2354+AG2354+AH2354)*AI2354)+(U2354+AF2354+AG2354+AH2354))*1.08</f>
        <v>35327.302488913207</v>
      </c>
      <c r="AU2354" s="107"/>
    </row>
    <row r="2355" spans="3:47" s="29" customFormat="1" x14ac:dyDescent="0.25">
      <c r="C2355" s="108"/>
      <c r="D2355" s="109"/>
      <c r="E2355" s="109"/>
      <c r="F2355" s="109"/>
      <c r="G2355" s="109"/>
      <c r="M2355" s="750" t="s">
        <v>809</v>
      </c>
      <c r="N2355" s="750">
        <f>S11</f>
        <v>123</v>
      </c>
      <c r="O2355" s="750" t="str">
        <f>R11</f>
        <v>g</v>
      </c>
      <c r="P2355" s="750">
        <v>80</v>
      </c>
      <c r="Q2355" s="750">
        <f t="shared" si="715"/>
        <v>9840</v>
      </c>
      <c r="R2355" s="750">
        <f>AN9</f>
        <v>0.52</v>
      </c>
      <c r="S2355" s="750">
        <f t="shared" si="719"/>
        <v>41.6</v>
      </c>
      <c r="T2355" s="750">
        <f t="shared" si="720"/>
        <v>38.4</v>
      </c>
      <c r="U2355" s="750">
        <f t="shared" si="721"/>
        <v>14956.8</v>
      </c>
      <c r="V2355" s="577" t="s">
        <v>1963</v>
      </c>
      <c r="W2355" s="577">
        <f t="shared" ref="W2355" si="735">$AR$9</f>
        <v>178.14919446380952</v>
      </c>
      <c r="X2355" s="577" t="s">
        <v>1963</v>
      </c>
      <c r="Y2355" s="577" t="s">
        <v>1963</v>
      </c>
      <c r="Z2355" s="577">
        <f t="shared" ref="Z2355:Z2358" si="736">$AR$12</f>
        <v>267.22379169571428</v>
      </c>
      <c r="AA2355" s="577" t="s">
        <v>1963</v>
      </c>
      <c r="AB2355" s="577" t="s">
        <v>1963</v>
      </c>
      <c r="AC2355" s="577" t="s">
        <v>1963</v>
      </c>
      <c r="AD2355" s="577" t="s">
        <v>1963</v>
      </c>
      <c r="AE2355" s="577" t="s">
        <v>1963</v>
      </c>
      <c r="AF2355" s="577">
        <f t="shared" ref="AF2355:AF2373" si="737">$AR$18</f>
        <v>178.14919446380952</v>
      </c>
      <c r="AG2355" s="750">
        <f t="shared" si="722"/>
        <v>18.899999999999999</v>
      </c>
      <c r="AH2355" s="750">
        <f t="shared" si="716"/>
        <v>1547.3435977313275</v>
      </c>
      <c r="AI2355" s="750">
        <v>0.6</v>
      </c>
      <c r="AJ2355" s="750"/>
      <c r="AK2355" s="750">
        <f>(((U2355+W2355+AG2355+AH2355)*AI2355)+(U2355+W2355+AG2355+AH2355))*1.08</f>
        <v>28859.661144913192</v>
      </c>
      <c r="AL2355" s="750"/>
      <c r="AM2355" s="750"/>
      <c r="AN2355" s="750">
        <f>(((U2355+Z2355+AG2355+AH2355)*AI2355)+(U2355+Z2355+AG2355+AH2355))*1.08</f>
        <v>29013.582048929926</v>
      </c>
      <c r="AO2355" s="750"/>
      <c r="AP2355" s="750"/>
      <c r="AQ2355" s="750"/>
      <c r="AR2355" s="750"/>
      <c r="AS2355" s="750"/>
      <c r="AT2355" s="750">
        <f>(((U2355+AF2355+AG2355+AH2355)*AI2355)+(U2355+AF2355+AG2355+AH2355))*1.08</f>
        <v>28859.661144913192</v>
      </c>
      <c r="AU2355" s="107"/>
    </row>
    <row r="2356" spans="3:47" s="29" customFormat="1" x14ac:dyDescent="0.25">
      <c r="M2356" s="750" t="s">
        <v>485</v>
      </c>
      <c r="N2356" s="750">
        <f>V12</f>
        <v>25.98</v>
      </c>
      <c r="O2356" s="750" t="str">
        <f>U12</f>
        <v>g</v>
      </c>
      <c r="P2356" s="750">
        <v>30</v>
      </c>
      <c r="Q2356" s="750">
        <f t="shared" ref="Q2356:Q2374" si="738">N2356*P2356</f>
        <v>779.4</v>
      </c>
      <c r="R2356" s="750">
        <v>0</v>
      </c>
      <c r="S2356" s="750">
        <f t="shared" si="719"/>
        <v>0</v>
      </c>
      <c r="T2356" s="750">
        <f t="shared" si="720"/>
        <v>30</v>
      </c>
      <c r="U2356" s="750">
        <f t="shared" si="721"/>
        <v>779.4</v>
      </c>
      <c r="V2356" s="577" t="s">
        <v>1963</v>
      </c>
      <c r="W2356" s="577" t="s">
        <v>1963</v>
      </c>
      <c r="X2356" s="577" t="s">
        <v>1963</v>
      </c>
      <c r="Y2356" s="577">
        <f>AO26</f>
        <v>953.74829894127811</v>
      </c>
      <c r="Z2356" s="577" t="s">
        <v>1963</v>
      </c>
      <c r="AA2356" s="577">
        <f>AO26</f>
        <v>953.74829894127811</v>
      </c>
      <c r="AB2356" s="577" t="s">
        <v>1963</v>
      </c>
      <c r="AC2356" s="577" t="s">
        <v>1963</v>
      </c>
      <c r="AD2356" s="577" t="s">
        <v>1963</v>
      </c>
      <c r="AE2356" s="577" t="s">
        <v>1963</v>
      </c>
      <c r="AF2356" s="577" t="s">
        <v>1963</v>
      </c>
      <c r="AG2356" s="750">
        <f t="shared" si="722"/>
        <v>18.899999999999999</v>
      </c>
      <c r="AH2356" s="750">
        <f t="shared" si="716"/>
        <v>1547.3435977313275</v>
      </c>
      <c r="AI2356" s="750">
        <v>0.6</v>
      </c>
      <c r="AJ2356" s="750"/>
      <c r="AK2356" s="750"/>
      <c r="AL2356" s="750"/>
      <c r="AM2356" s="750">
        <f>(((U2356+Y2356+AG2356+AH2356)*AI2356)+(U2356+Y2356+AG2356+AH2356))*1.08</f>
        <v>5701.3491974502631</v>
      </c>
      <c r="AN2356" s="750"/>
      <c r="AO2356" s="750">
        <f>(((U2356+AA2356+AG2356+AH2356)*AI2356)+(U2356+AA2356+AG2356+AH2356))*1.08</f>
        <v>5701.3491974502631</v>
      </c>
      <c r="AP2356" s="750"/>
      <c r="AQ2356" s="750"/>
      <c r="AR2356" s="750"/>
      <c r="AS2356" s="750"/>
      <c r="AT2356" s="750"/>
      <c r="AU2356" s="107"/>
    </row>
    <row r="2357" spans="3:47" s="29" customFormat="1" x14ac:dyDescent="0.25">
      <c r="M2357" s="750" t="s">
        <v>487</v>
      </c>
      <c r="N2357" s="750">
        <f>S16</f>
        <v>31.23</v>
      </c>
      <c r="O2357" s="750" t="str">
        <f>R16</f>
        <v>g</v>
      </c>
      <c r="P2357" s="750">
        <v>70</v>
      </c>
      <c r="Q2357" s="750">
        <f t="shared" si="738"/>
        <v>2186.1</v>
      </c>
      <c r="R2357" s="750">
        <v>0</v>
      </c>
      <c r="S2357" s="750">
        <f t="shared" si="719"/>
        <v>0</v>
      </c>
      <c r="T2357" s="750">
        <f t="shared" si="720"/>
        <v>70</v>
      </c>
      <c r="U2357" s="750">
        <f t="shared" si="721"/>
        <v>2186.1</v>
      </c>
      <c r="V2357" s="577" t="s">
        <v>1963</v>
      </c>
      <c r="W2357" s="577" t="s">
        <v>1963</v>
      </c>
      <c r="X2357" s="577" t="s">
        <v>1963</v>
      </c>
      <c r="Y2357" s="577">
        <f t="shared" ref="Y2357:Y2358" si="739">$AR$11</f>
        <v>267.22379169571428</v>
      </c>
      <c r="Z2357" s="577">
        <f t="shared" si="736"/>
        <v>267.22379169571428</v>
      </c>
      <c r="AA2357" s="577" t="s">
        <v>1963</v>
      </c>
      <c r="AB2357" s="577" t="s">
        <v>1963</v>
      </c>
      <c r="AC2357" s="577" t="s">
        <v>1963</v>
      </c>
      <c r="AD2357" s="577" t="s">
        <v>1963</v>
      </c>
      <c r="AE2357" s="577" t="s">
        <v>1963</v>
      </c>
      <c r="AF2357" s="577" t="s">
        <v>1963</v>
      </c>
      <c r="AG2357" s="750">
        <f t="shared" si="722"/>
        <v>18.899999999999999</v>
      </c>
      <c r="AH2357" s="750">
        <f t="shared" si="716"/>
        <v>1547.3435977313275</v>
      </c>
      <c r="AI2357" s="750">
        <v>0.6</v>
      </c>
      <c r="AJ2357" s="750"/>
      <c r="AK2357" s="750"/>
      <c r="AL2357" s="750"/>
      <c r="AM2357" s="750">
        <f>(((U2357+Y2357+AG2357+AH2357)*AI2357)+(U2357+Y2357+AG2357+AH2357))*1.08</f>
        <v>6945.8124489299289</v>
      </c>
      <c r="AN2357" s="750">
        <f>(((U2357+Z2357+AG2357+AH2357)*AI2357)+(U2357+Z2357+AG2357+AH2357))*1.08</f>
        <v>6945.8124489299289</v>
      </c>
      <c r="AO2357" s="750"/>
      <c r="AP2357" s="750"/>
      <c r="AQ2357" s="750"/>
      <c r="AR2357" s="750"/>
      <c r="AS2357" s="750"/>
      <c r="AT2357" s="750"/>
      <c r="AU2357" s="107"/>
    </row>
    <row r="2358" spans="3:47" s="29" customFormat="1" x14ac:dyDescent="0.25">
      <c r="M2358" s="750" t="s">
        <v>675</v>
      </c>
      <c r="N2358" s="750">
        <f>S9</f>
        <v>46.63</v>
      </c>
      <c r="O2358" s="750" t="str">
        <f>R9</f>
        <v>g</v>
      </c>
      <c r="P2358" s="750">
        <v>70</v>
      </c>
      <c r="Q2358" s="750">
        <f t="shared" si="738"/>
        <v>3264.1000000000004</v>
      </c>
      <c r="R2358" s="750">
        <v>0</v>
      </c>
      <c r="S2358" s="750">
        <f t="shared" si="719"/>
        <v>0</v>
      </c>
      <c r="T2358" s="750">
        <f t="shared" si="720"/>
        <v>70</v>
      </c>
      <c r="U2358" s="750">
        <f t="shared" si="721"/>
        <v>3264.1000000000004</v>
      </c>
      <c r="V2358" s="577" t="s">
        <v>1963</v>
      </c>
      <c r="W2358" s="577" t="s">
        <v>1963</v>
      </c>
      <c r="X2358" s="577" t="s">
        <v>1963</v>
      </c>
      <c r="Y2358" s="577">
        <f t="shared" si="739"/>
        <v>267.22379169571428</v>
      </c>
      <c r="Z2358" s="577">
        <f t="shared" si="736"/>
        <v>267.22379169571428</v>
      </c>
      <c r="AA2358" s="577" t="s">
        <v>1963</v>
      </c>
      <c r="AB2358" s="577" t="s">
        <v>1963</v>
      </c>
      <c r="AC2358" s="577" t="s">
        <v>1963</v>
      </c>
      <c r="AD2358" s="577" t="s">
        <v>1963</v>
      </c>
      <c r="AE2358" s="577" t="s">
        <v>1963</v>
      </c>
      <c r="AF2358" s="577" t="s">
        <v>1963</v>
      </c>
      <c r="AG2358" s="750">
        <f t="shared" si="722"/>
        <v>18.899999999999999</v>
      </c>
      <c r="AH2358" s="750">
        <f t="shared" si="716"/>
        <v>1547.3435977313275</v>
      </c>
      <c r="AI2358" s="750">
        <v>0.6</v>
      </c>
      <c r="AJ2358" s="750"/>
      <c r="AK2358" s="750"/>
      <c r="AL2358" s="750"/>
      <c r="AM2358" s="750">
        <f>(((U2358+Y2358+AG2358+AH2358)*AI2358)+(U2358+Y2358+AG2358+AH2358))*1.08</f>
        <v>8808.5964489299295</v>
      </c>
      <c r="AN2358" s="750">
        <f>(((U2358+Z2358+AG2358+AH2358)*AI2358)+(U2358+Z2358+AG2358+AH2358))*1.08</f>
        <v>8808.5964489299295</v>
      </c>
      <c r="AO2358" s="750"/>
      <c r="AP2358" s="750"/>
      <c r="AQ2358" s="750"/>
      <c r="AR2358" s="750"/>
      <c r="AS2358" s="750"/>
      <c r="AT2358" s="750"/>
      <c r="AU2358" s="107"/>
    </row>
    <row r="2359" spans="3:47" s="29" customFormat="1" x14ac:dyDescent="0.25">
      <c r="M2359" s="750" t="s">
        <v>454</v>
      </c>
      <c r="N2359" s="750">
        <f>P14</f>
        <v>18.86</v>
      </c>
      <c r="O2359" s="750" t="str">
        <f>O14</f>
        <v>g</v>
      </c>
      <c r="P2359" s="750">
        <v>30</v>
      </c>
      <c r="Q2359" s="750">
        <f t="shared" si="738"/>
        <v>565.79999999999995</v>
      </c>
      <c r="R2359" s="750">
        <v>0</v>
      </c>
      <c r="S2359" s="750">
        <f t="shared" si="719"/>
        <v>0</v>
      </c>
      <c r="T2359" s="750">
        <f t="shared" si="720"/>
        <v>30</v>
      </c>
      <c r="U2359" s="750">
        <f t="shared" si="721"/>
        <v>565.79999999999995</v>
      </c>
      <c r="V2359" s="577" t="s">
        <v>1963</v>
      </c>
      <c r="W2359" s="577" t="s">
        <v>1963</v>
      </c>
      <c r="X2359" s="577" t="s">
        <v>1963</v>
      </c>
      <c r="Y2359" s="577" t="s">
        <v>1963</v>
      </c>
      <c r="Z2359" s="577" t="s">
        <v>1963</v>
      </c>
      <c r="AA2359" s="577" t="s">
        <v>1963</v>
      </c>
      <c r="AB2359" s="577" t="s">
        <v>1963</v>
      </c>
      <c r="AC2359" s="577" t="s">
        <v>1963</v>
      </c>
      <c r="AD2359" s="577" t="s">
        <v>1963</v>
      </c>
      <c r="AE2359" s="577">
        <f t="shared" ref="AE2359:AE2373" si="740">$AR$17</f>
        <v>178.14919446380952</v>
      </c>
      <c r="AF2359" s="577">
        <f t="shared" si="737"/>
        <v>178.14919446380952</v>
      </c>
      <c r="AG2359" s="750">
        <f t="shared" si="722"/>
        <v>18.899999999999999</v>
      </c>
      <c r="AH2359" s="750">
        <f t="shared" si="716"/>
        <v>1547.3435977313275</v>
      </c>
      <c r="AI2359" s="750">
        <v>0.6</v>
      </c>
      <c r="AJ2359" s="750"/>
      <c r="AK2359" s="750"/>
      <c r="AL2359" s="750"/>
      <c r="AM2359" s="750"/>
      <c r="AN2359" s="750"/>
      <c r="AO2359" s="750"/>
      <c r="AP2359" s="750"/>
      <c r="AQ2359" s="750"/>
      <c r="AR2359" s="750"/>
      <c r="AS2359" s="750">
        <f>(((U2359+AE2359+AG2359+AH2359)*AI2359)+(U2359+AE2359+AG2359+AH2359))*1.08</f>
        <v>3992.0131449131968</v>
      </c>
      <c r="AT2359" s="750">
        <f>(((U2359+AF2359+AG2359+AH2359)*AI2359)+(U2359+AF2359+AG2359+AH2359))*1.08</f>
        <v>3992.0131449131968</v>
      </c>
      <c r="AU2359" s="107"/>
    </row>
    <row r="2360" spans="3:47" s="29" customFormat="1" x14ac:dyDescent="0.25">
      <c r="M2360" s="750" t="s">
        <v>541</v>
      </c>
      <c r="N2360" s="750">
        <f>V16</f>
        <v>54.41</v>
      </c>
      <c r="O2360" s="750" t="str">
        <f>U16</f>
        <v>g</v>
      </c>
      <c r="P2360" s="750">
        <v>40</v>
      </c>
      <c r="Q2360" s="750">
        <f t="shared" si="738"/>
        <v>2176.3999999999996</v>
      </c>
      <c r="R2360" s="750">
        <v>0</v>
      </c>
      <c r="S2360" s="750">
        <f t="shared" si="719"/>
        <v>0</v>
      </c>
      <c r="T2360" s="750">
        <f t="shared" si="720"/>
        <v>40</v>
      </c>
      <c r="U2360" s="750">
        <f t="shared" si="721"/>
        <v>2176.3999999999996</v>
      </c>
      <c r="V2360" s="577" t="s">
        <v>1963</v>
      </c>
      <c r="W2360" s="577" t="s">
        <v>1963</v>
      </c>
      <c r="X2360" s="577" t="s">
        <v>1963</v>
      </c>
      <c r="Y2360" s="577">
        <f>AO26</f>
        <v>953.74829894127811</v>
      </c>
      <c r="Z2360" s="577" t="s">
        <v>1963</v>
      </c>
      <c r="AA2360" s="577">
        <f>AO26</f>
        <v>953.74829894127811</v>
      </c>
      <c r="AB2360" s="577" t="s">
        <v>1963</v>
      </c>
      <c r="AC2360" s="577" t="s">
        <v>1963</v>
      </c>
      <c r="AD2360" s="577" t="s">
        <v>1963</v>
      </c>
      <c r="AE2360" s="577" t="s">
        <v>1963</v>
      </c>
      <c r="AF2360" s="577" t="s">
        <v>1963</v>
      </c>
      <c r="AG2360" s="750">
        <f t="shared" si="722"/>
        <v>18.899999999999999</v>
      </c>
      <c r="AH2360" s="750">
        <f t="shared" si="716"/>
        <v>1547.3435977313275</v>
      </c>
      <c r="AI2360" s="750">
        <v>0.6</v>
      </c>
      <c r="AJ2360" s="750"/>
      <c r="AK2360" s="750"/>
      <c r="AL2360" s="750"/>
      <c r="AM2360" s="750">
        <f>(((U2360+Y2360+AG2360+AH2360)*AI2360)+(U2360+Y2360+AG2360+AH2360))*1.08</f>
        <v>8115.3651974502618</v>
      </c>
      <c r="AN2360" s="750"/>
      <c r="AO2360" s="750">
        <f>(((U2360+AA2360+AG2360+AH2360)*AI2360)+(U2360+AA2360+AG2360+AH2360))*1.08</f>
        <v>8115.3651974502618</v>
      </c>
      <c r="AP2360" s="750"/>
      <c r="AQ2360" s="750"/>
      <c r="AR2360" s="750"/>
      <c r="AS2360" s="750"/>
      <c r="AT2360" s="750"/>
      <c r="AU2360" s="107"/>
    </row>
    <row r="2361" spans="3:47" s="29" customFormat="1" x14ac:dyDescent="0.25">
      <c r="M2361" s="750" t="s">
        <v>540</v>
      </c>
      <c r="N2361" s="750">
        <f>P18</f>
        <v>5</v>
      </c>
      <c r="O2361" s="750" t="str">
        <f>O18</f>
        <v>g</v>
      </c>
      <c r="P2361" s="750">
        <v>50</v>
      </c>
      <c r="Q2361" s="750">
        <f t="shared" si="738"/>
        <v>250</v>
      </c>
      <c r="R2361" s="750">
        <f>AJ11</f>
        <v>0.23</v>
      </c>
      <c r="S2361" s="750">
        <f t="shared" si="719"/>
        <v>11.5</v>
      </c>
      <c r="T2361" s="750">
        <f t="shared" si="720"/>
        <v>38.5</v>
      </c>
      <c r="U2361" s="750">
        <f t="shared" si="721"/>
        <v>307.5</v>
      </c>
      <c r="V2361" s="577" t="s">
        <v>1963</v>
      </c>
      <c r="W2361" s="577" t="s">
        <v>1963</v>
      </c>
      <c r="X2361" s="577" t="s">
        <v>1963</v>
      </c>
      <c r="Y2361" s="577" t="s">
        <v>1963</v>
      </c>
      <c r="Z2361" s="577" t="s">
        <v>1963</v>
      </c>
      <c r="AA2361" s="577" t="s">
        <v>1963</v>
      </c>
      <c r="AB2361" s="577" t="s">
        <v>1963</v>
      </c>
      <c r="AC2361" s="577" t="s">
        <v>1963</v>
      </c>
      <c r="AD2361" s="577" t="s">
        <v>1963</v>
      </c>
      <c r="AE2361" s="577">
        <f t="shared" si="740"/>
        <v>178.14919446380952</v>
      </c>
      <c r="AF2361" s="577">
        <f t="shared" si="737"/>
        <v>178.14919446380952</v>
      </c>
      <c r="AG2361" s="750">
        <f t="shared" si="722"/>
        <v>18.899999999999999</v>
      </c>
      <c r="AH2361" s="750">
        <f t="shared" si="716"/>
        <v>1547.3435977313275</v>
      </c>
      <c r="AI2361" s="750">
        <v>0.6</v>
      </c>
      <c r="AJ2361" s="750"/>
      <c r="AK2361" s="750"/>
      <c r="AL2361" s="750"/>
      <c r="AM2361" s="750"/>
      <c r="AN2361" s="750"/>
      <c r="AO2361" s="750"/>
      <c r="AP2361" s="750"/>
      <c r="AQ2361" s="750"/>
      <c r="AR2361" s="750"/>
      <c r="AS2361" s="750">
        <f t="shared" ref="AS2361:AS2373" si="741">(((U2361+AE2361+AG2361+AH2361)*AI2361)+(U2361+AE2361+AG2361+AH2361))*1.08</f>
        <v>3545.6707449131973</v>
      </c>
      <c r="AT2361" s="750">
        <f>(((U2361+AF2361+AG2361+AH2361)*AI2361)+(U2361+AF2361+AG2361+AH2361))*1.08</f>
        <v>3545.6707449131973</v>
      </c>
      <c r="AU2361" s="107"/>
    </row>
    <row r="2362" spans="3:47" s="29" customFormat="1" x14ac:dyDescent="0.25">
      <c r="M2362" s="750" t="s">
        <v>475</v>
      </c>
      <c r="N2362" s="750">
        <f>P24</f>
        <v>3.5</v>
      </c>
      <c r="O2362" s="750" t="str">
        <f>O24</f>
        <v>g</v>
      </c>
      <c r="P2362" s="750">
        <v>50</v>
      </c>
      <c r="Q2362" s="750">
        <f t="shared" si="738"/>
        <v>175</v>
      </c>
      <c r="R2362" s="750">
        <f>AJ15</f>
        <v>0.26</v>
      </c>
      <c r="S2362" s="750">
        <f t="shared" si="719"/>
        <v>13</v>
      </c>
      <c r="T2362" s="750">
        <f t="shared" si="720"/>
        <v>37</v>
      </c>
      <c r="U2362" s="750">
        <f t="shared" si="721"/>
        <v>220.5</v>
      </c>
      <c r="V2362" s="577" t="s">
        <v>1963</v>
      </c>
      <c r="W2362" s="577" t="s">
        <v>1963</v>
      </c>
      <c r="X2362" s="577" t="s">
        <v>1963</v>
      </c>
      <c r="Y2362" s="577" t="s">
        <v>1963</v>
      </c>
      <c r="Z2362" s="577" t="s">
        <v>1963</v>
      </c>
      <c r="AA2362" s="577" t="s">
        <v>1963</v>
      </c>
      <c r="AB2362" s="577" t="s">
        <v>1963</v>
      </c>
      <c r="AC2362" s="577" t="s">
        <v>1963</v>
      </c>
      <c r="AD2362" s="577" t="s">
        <v>1963</v>
      </c>
      <c r="AE2362" s="577">
        <f t="shared" si="740"/>
        <v>178.14919446380952</v>
      </c>
      <c r="AF2362" s="577">
        <f t="shared" si="737"/>
        <v>178.14919446380952</v>
      </c>
      <c r="AG2362" s="750">
        <f t="shared" si="722"/>
        <v>18.899999999999999</v>
      </c>
      <c r="AH2362" s="750">
        <f t="shared" si="716"/>
        <v>1547.3435977313275</v>
      </c>
      <c r="AI2362" s="750">
        <v>0.6</v>
      </c>
      <c r="AJ2362" s="750"/>
      <c r="AK2362" s="750"/>
      <c r="AL2362" s="750"/>
      <c r="AM2362" s="750"/>
      <c r="AN2362" s="750"/>
      <c r="AO2362" s="750"/>
      <c r="AP2362" s="750"/>
      <c r="AQ2362" s="750"/>
      <c r="AR2362" s="750"/>
      <c r="AS2362" s="750">
        <f t="shared" si="741"/>
        <v>3395.3347449131966</v>
      </c>
      <c r="AT2362" s="750">
        <f>(((U2362+AF2362+AG2362+AH2362)*AI2362)+(U2362+AF2362+AG2362+AH2362))*1.08</f>
        <v>3395.3347449131966</v>
      </c>
      <c r="AU2362" s="107"/>
    </row>
    <row r="2363" spans="3:47" s="29" customFormat="1" x14ac:dyDescent="0.25">
      <c r="M2363" s="750" t="s">
        <v>670</v>
      </c>
      <c r="N2363" s="750">
        <f>AB4</f>
        <v>4.8</v>
      </c>
      <c r="O2363" s="750" t="str">
        <f>AA4</f>
        <v>g</v>
      </c>
      <c r="P2363" s="750">
        <v>50</v>
      </c>
      <c r="Q2363" s="750">
        <f t="shared" si="738"/>
        <v>240</v>
      </c>
      <c r="R2363" s="750">
        <v>0</v>
      </c>
      <c r="S2363" s="750">
        <f t="shared" si="719"/>
        <v>0</v>
      </c>
      <c r="T2363" s="750">
        <f t="shared" si="720"/>
        <v>50</v>
      </c>
      <c r="U2363" s="750">
        <f t="shared" si="721"/>
        <v>240</v>
      </c>
      <c r="V2363" s="577" t="s">
        <v>1963</v>
      </c>
      <c r="W2363" s="577" t="s">
        <v>1963</v>
      </c>
      <c r="X2363" s="577">
        <f t="shared" ref="X2363:X2372" si="742">$AR$10</f>
        <v>267.22379169571428</v>
      </c>
      <c r="Y2363" s="577" t="s">
        <v>1963</v>
      </c>
      <c r="Z2363" s="577" t="s">
        <v>1963</v>
      </c>
      <c r="AA2363" s="577" t="s">
        <v>1963</v>
      </c>
      <c r="AB2363" s="577" t="s">
        <v>1963</v>
      </c>
      <c r="AC2363" s="577" t="s">
        <v>1963</v>
      </c>
      <c r="AD2363" s="577" t="s">
        <v>1963</v>
      </c>
      <c r="AE2363" s="577">
        <f t="shared" si="740"/>
        <v>178.14919446380952</v>
      </c>
      <c r="AF2363" s="577" t="s">
        <v>1963</v>
      </c>
      <c r="AG2363" s="750">
        <f t="shared" si="722"/>
        <v>18.899999999999999</v>
      </c>
      <c r="AH2363" s="750">
        <f t="shared" si="716"/>
        <v>1547.3435977313275</v>
      </c>
      <c r="AI2363" s="750">
        <v>0.6</v>
      </c>
      <c r="AJ2363" s="750"/>
      <c r="AK2363" s="750"/>
      <c r="AL2363" s="750">
        <f>(((U2363+X2363+AG2363+AH2363)*AI2363)+(U2363+X2363+AG2363+AH2363))*1.08</f>
        <v>3582.9516489299285</v>
      </c>
      <c r="AM2363" s="750"/>
      <c r="AN2363" s="750"/>
      <c r="AO2363" s="750"/>
      <c r="AP2363" s="750"/>
      <c r="AQ2363" s="750"/>
      <c r="AR2363" s="750"/>
      <c r="AS2363" s="750">
        <f t="shared" si="741"/>
        <v>3429.0307449131969</v>
      </c>
      <c r="AT2363" s="750"/>
      <c r="AU2363" s="107"/>
    </row>
    <row r="2364" spans="3:47" s="29" customFormat="1" x14ac:dyDescent="0.25">
      <c r="M2364" s="750" t="s">
        <v>653</v>
      </c>
      <c r="N2364" s="750">
        <f>P17</f>
        <v>14.478999999999999</v>
      </c>
      <c r="O2364" s="750" t="str">
        <f>O17</f>
        <v>g</v>
      </c>
      <c r="P2364" s="750">
        <v>50</v>
      </c>
      <c r="Q2364" s="750">
        <f t="shared" si="738"/>
        <v>723.94999999999993</v>
      </c>
      <c r="R2364" s="750">
        <f>AJ10</f>
        <v>0</v>
      </c>
      <c r="S2364" s="750">
        <f t="shared" si="719"/>
        <v>0</v>
      </c>
      <c r="T2364" s="750">
        <f t="shared" si="720"/>
        <v>50</v>
      </c>
      <c r="U2364" s="750">
        <f t="shared" si="721"/>
        <v>723.94999999999993</v>
      </c>
      <c r="V2364" s="577" t="s">
        <v>1963</v>
      </c>
      <c r="W2364" s="577" t="s">
        <v>1963</v>
      </c>
      <c r="X2364" s="577" t="s">
        <v>1963</v>
      </c>
      <c r="Y2364" s="577" t="s">
        <v>1963</v>
      </c>
      <c r="Z2364" s="577" t="s">
        <v>1963</v>
      </c>
      <c r="AA2364" s="577" t="s">
        <v>1963</v>
      </c>
      <c r="AB2364" s="577" t="s">
        <v>1963</v>
      </c>
      <c r="AC2364" s="577" t="s">
        <v>1963</v>
      </c>
      <c r="AD2364" s="577" t="s">
        <v>1963</v>
      </c>
      <c r="AE2364" s="577">
        <f t="shared" si="740"/>
        <v>178.14919446380952</v>
      </c>
      <c r="AF2364" s="577">
        <f t="shared" si="737"/>
        <v>178.14919446380952</v>
      </c>
      <c r="AG2364" s="750">
        <f t="shared" si="722"/>
        <v>18.899999999999999</v>
      </c>
      <c r="AH2364" s="750">
        <f t="shared" si="716"/>
        <v>1547.3435977313275</v>
      </c>
      <c r="AI2364" s="750">
        <v>0.6</v>
      </c>
      <c r="AJ2364" s="750"/>
      <c r="AK2364" s="750"/>
      <c r="AL2364" s="750"/>
      <c r="AM2364" s="750"/>
      <c r="AN2364" s="750"/>
      <c r="AO2364" s="750"/>
      <c r="AP2364" s="750"/>
      <c r="AQ2364" s="750"/>
      <c r="AR2364" s="750"/>
      <c r="AS2364" s="750">
        <f t="shared" si="741"/>
        <v>4265.2963449131967</v>
      </c>
      <c r="AT2364" s="750">
        <f>(((U2364+AF2364+AG2364+AH2364)*AI2364)+(U2364+AF2364+AG2364+AH2364))*1.08</f>
        <v>4265.2963449131967</v>
      </c>
      <c r="AU2364" s="107"/>
    </row>
    <row r="2365" spans="3:47" s="29" customFormat="1" x14ac:dyDescent="0.25">
      <c r="M2365" s="750" t="s">
        <v>672</v>
      </c>
      <c r="N2365" s="750">
        <f>P8</f>
        <v>3.3330000000000002</v>
      </c>
      <c r="O2365" s="750" t="str">
        <f>O8</f>
        <v>g</v>
      </c>
      <c r="P2365" s="750">
        <v>80</v>
      </c>
      <c r="Q2365" s="750">
        <f t="shared" si="738"/>
        <v>266.64</v>
      </c>
      <c r="R2365" s="750">
        <f>AJ6</f>
        <v>0.5</v>
      </c>
      <c r="S2365" s="750">
        <f t="shared" si="719"/>
        <v>40</v>
      </c>
      <c r="T2365" s="750">
        <f t="shared" si="720"/>
        <v>40</v>
      </c>
      <c r="U2365" s="750">
        <f t="shared" si="721"/>
        <v>399.96</v>
      </c>
      <c r="V2365" s="577" t="s">
        <v>1963</v>
      </c>
      <c r="W2365" s="577" t="s">
        <v>1963</v>
      </c>
      <c r="X2365" s="577" t="s">
        <v>1963</v>
      </c>
      <c r="Y2365" s="577" t="s">
        <v>1963</v>
      </c>
      <c r="Z2365" s="577" t="s">
        <v>1963</v>
      </c>
      <c r="AA2365" s="577" t="s">
        <v>1963</v>
      </c>
      <c r="AB2365" s="577" t="s">
        <v>1963</v>
      </c>
      <c r="AC2365" s="577" t="s">
        <v>1963</v>
      </c>
      <c r="AD2365" s="577" t="s">
        <v>1963</v>
      </c>
      <c r="AE2365" s="577">
        <f t="shared" si="740"/>
        <v>178.14919446380952</v>
      </c>
      <c r="AF2365" s="577">
        <f t="shared" si="737"/>
        <v>178.14919446380952</v>
      </c>
      <c r="AG2365" s="750">
        <f t="shared" si="722"/>
        <v>18.899999999999999</v>
      </c>
      <c r="AH2365" s="750">
        <f t="shared" si="716"/>
        <v>1547.3435977313275</v>
      </c>
      <c r="AI2365" s="750">
        <v>0.6</v>
      </c>
      <c r="AJ2365" s="750"/>
      <c r="AK2365" s="750"/>
      <c r="AL2365" s="750"/>
      <c r="AM2365" s="750"/>
      <c r="AN2365" s="750"/>
      <c r="AO2365" s="750"/>
      <c r="AP2365" s="750"/>
      <c r="AQ2365" s="750"/>
      <c r="AR2365" s="750"/>
      <c r="AS2365" s="750">
        <f t="shared" si="741"/>
        <v>3705.4416249131968</v>
      </c>
      <c r="AT2365" s="750">
        <f>(((U2365+AF2365+AG2365+AH2365)*AI2365)+(U2365+AF2365+AG2365+AH2365))*1.08</f>
        <v>3705.4416249131968</v>
      </c>
      <c r="AU2365" s="107"/>
    </row>
    <row r="2366" spans="3:47" s="29" customFormat="1" x14ac:dyDescent="0.25">
      <c r="M2366" s="750" t="s">
        <v>436</v>
      </c>
      <c r="N2366" s="750">
        <f>P31</f>
        <v>2.6</v>
      </c>
      <c r="O2366" s="750" t="str">
        <f>O31</f>
        <v>g</v>
      </c>
      <c r="P2366" s="750">
        <v>50</v>
      </c>
      <c r="Q2366" s="750">
        <f t="shared" si="738"/>
        <v>130</v>
      </c>
      <c r="R2366" s="750">
        <f>AJ19</f>
        <v>0.37</v>
      </c>
      <c r="S2366" s="750">
        <f t="shared" si="719"/>
        <v>18.5</v>
      </c>
      <c r="T2366" s="750">
        <f t="shared" si="720"/>
        <v>31.5</v>
      </c>
      <c r="U2366" s="750">
        <f t="shared" si="721"/>
        <v>178.1</v>
      </c>
      <c r="V2366" s="577" t="s">
        <v>1963</v>
      </c>
      <c r="W2366" s="577" t="s">
        <v>1963</v>
      </c>
      <c r="X2366" s="577" t="s">
        <v>1963</v>
      </c>
      <c r="Y2366" s="577" t="s">
        <v>1963</v>
      </c>
      <c r="Z2366" s="577" t="s">
        <v>1963</v>
      </c>
      <c r="AA2366" s="577" t="s">
        <v>1963</v>
      </c>
      <c r="AB2366" s="577" t="s">
        <v>1963</v>
      </c>
      <c r="AC2366" s="577" t="s">
        <v>1963</v>
      </c>
      <c r="AD2366" s="577" t="s">
        <v>1963</v>
      </c>
      <c r="AE2366" s="577">
        <f t="shared" si="740"/>
        <v>178.14919446380952</v>
      </c>
      <c r="AF2366" s="577">
        <f t="shared" si="737"/>
        <v>178.14919446380952</v>
      </c>
      <c r="AG2366" s="750">
        <f t="shared" si="722"/>
        <v>18.899999999999999</v>
      </c>
      <c r="AH2366" s="750">
        <f t="shared" si="716"/>
        <v>1547.3435977313275</v>
      </c>
      <c r="AI2366" s="750">
        <v>0.6</v>
      </c>
      <c r="AJ2366" s="750"/>
      <c r="AK2366" s="750"/>
      <c r="AL2366" s="750"/>
      <c r="AM2366" s="750"/>
      <c r="AN2366" s="750"/>
      <c r="AO2366" s="750"/>
      <c r="AP2366" s="750"/>
      <c r="AQ2366" s="750"/>
      <c r="AR2366" s="750"/>
      <c r="AS2366" s="750">
        <f t="shared" si="741"/>
        <v>3322.0675449131973</v>
      </c>
      <c r="AT2366" s="750">
        <f>(((U2366+AF2366+AG2366+AH2366)*AI2366)+(U2366+AF2366+AG2366+AH2366))*1.08</f>
        <v>3322.0675449131973</v>
      </c>
      <c r="AU2366" s="107"/>
    </row>
    <row r="2367" spans="3:47" s="29" customFormat="1" x14ac:dyDescent="0.25">
      <c r="M2367" s="750" t="s">
        <v>515</v>
      </c>
      <c r="N2367" s="750">
        <f>P6</f>
        <v>7.8</v>
      </c>
      <c r="O2367" s="750" t="str">
        <f>O6</f>
        <v>g</v>
      </c>
      <c r="P2367" s="750">
        <v>30</v>
      </c>
      <c r="Q2367" s="750">
        <f t="shared" si="738"/>
        <v>234</v>
      </c>
      <c r="R2367" s="750">
        <f>AJ4</f>
        <v>0.55000000000000004</v>
      </c>
      <c r="S2367" s="750">
        <f t="shared" si="719"/>
        <v>16.5</v>
      </c>
      <c r="T2367" s="750">
        <f t="shared" si="720"/>
        <v>13.5</v>
      </c>
      <c r="U2367" s="750">
        <f t="shared" si="721"/>
        <v>362.7</v>
      </c>
      <c r="V2367" s="577" t="s">
        <v>1963</v>
      </c>
      <c r="W2367" s="577" t="s">
        <v>1963</v>
      </c>
      <c r="X2367" s="577">
        <f t="shared" si="742"/>
        <v>267.22379169571428</v>
      </c>
      <c r="Y2367" s="577" t="s">
        <v>1963</v>
      </c>
      <c r="Z2367" s="577" t="s">
        <v>1963</v>
      </c>
      <c r="AA2367" s="577" t="s">
        <v>1963</v>
      </c>
      <c r="AB2367" s="577" t="s">
        <v>1963</v>
      </c>
      <c r="AC2367" s="577" t="s">
        <v>1963</v>
      </c>
      <c r="AD2367" s="577" t="s">
        <v>1963</v>
      </c>
      <c r="AE2367" s="577">
        <f t="shared" si="740"/>
        <v>178.14919446380952</v>
      </c>
      <c r="AF2367" s="577" t="s">
        <v>1963</v>
      </c>
      <c r="AG2367" s="750">
        <f t="shared" si="722"/>
        <v>18.899999999999999</v>
      </c>
      <c r="AH2367" s="750">
        <f t="shared" si="716"/>
        <v>1547.3435977313275</v>
      </c>
      <c r="AI2367" s="750">
        <v>0.6</v>
      </c>
      <c r="AJ2367" s="750"/>
      <c r="AK2367" s="750"/>
      <c r="AL2367" s="750">
        <f>(((U2367+X2367+AG2367+AH2367)*AI2367)+(U2367+X2367+AG2367+AH2367))*1.08</f>
        <v>3794.977248929928</v>
      </c>
      <c r="AM2367" s="750"/>
      <c r="AN2367" s="750"/>
      <c r="AO2367" s="750"/>
      <c r="AP2367" s="750"/>
      <c r="AQ2367" s="750"/>
      <c r="AR2367" s="750"/>
      <c r="AS2367" s="750">
        <f t="shared" si="741"/>
        <v>3641.0563449131969</v>
      </c>
      <c r="AT2367" s="750"/>
      <c r="AU2367" s="107"/>
    </row>
    <row r="2368" spans="3:47" s="29" customFormat="1" x14ac:dyDescent="0.25">
      <c r="M2368" s="750" t="s">
        <v>474</v>
      </c>
      <c r="N2368" s="750">
        <f>P26</f>
        <v>3.5</v>
      </c>
      <c r="O2368" s="750" t="str">
        <f>O26</f>
        <v>g</v>
      </c>
      <c r="P2368" s="750">
        <v>50</v>
      </c>
      <c r="Q2368" s="750">
        <f t="shared" si="738"/>
        <v>175</v>
      </c>
      <c r="R2368" s="750">
        <f>AJ15</f>
        <v>0.26</v>
      </c>
      <c r="S2368" s="750">
        <f t="shared" si="719"/>
        <v>13</v>
      </c>
      <c r="T2368" s="750">
        <f t="shared" si="720"/>
        <v>37</v>
      </c>
      <c r="U2368" s="750">
        <f t="shared" si="721"/>
        <v>220.5</v>
      </c>
      <c r="V2368" s="577" t="s">
        <v>1963</v>
      </c>
      <c r="W2368" s="577" t="s">
        <v>1963</v>
      </c>
      <c r="X2368" s="577" t="s">
        <v>1963</v>
      </c>
      <c r="Y2368" s="577" t="s">
        <v>1963</v>
      </c>
      <c r="Z2368" s="577" t="s">
        <v>1963</v>
      </c>
      <c r="AA2368" s="577" t="s">
        <v>1963</v>
      </c>
      <c r="AB2368" s="577" t="s">
        <v>1963</v>
      </c>
      <c r="AC2368" s="577" t="s">
        <v>1963</v>
      </c>
      <c r="AD2368" s="577" t="s">
        <v>1963</v>
      </c>
      <c r="AE2368" s="577">
        <f t="shared" si="740"/>
        <v>178.14919446380952</v>
      </c>
      <c r="AF2368" s="577">
        <f t="shared" si="737"/>
        <v>178.14919446380952</v>
      </c>
      <c r="AG2368" s="750">
        <f t="shared" si="722"/>
        <v>18.899999999999999</v>
      </c>
      <c r="AH2368" s="750">
        <f t="shared" si="716"/>
        <v>1547.3435977313275</v>
      </c>
      <c r="AI2368" s="750">
        <v>0.6</v>
      </c>
      <c r="AJ2368" s="750"/>
      <c r="AK2368" s="750"/>
      <c r="AL2368" s="750"/>
      <c r="AM2368" s="750"/>
      <c r="AN2368" s="750"/>
      <c r="AO2368" s="750"/>
      <c r="AP2368" s="750"/>
      <c r="AQ2368" s="750"/>
      <c r="AR2368" s="750"/>
      <c r="AS2368" s="750">
        <f t="shared" si="741"/>
        <v>3395.3347449131966</v>
      </c>
      <c r="AT2368" s="750">
        <f>(((U2368+AF2368+AG2368+AH2368)*AI2368)+(U2368+AF2368+AG2368+AH2368))*1.08</f>
        <v>3395.3347449131966</v>
      </c>
      <c r="AU2368" s="107"/>
    </row>
    <row r="2369" spans="3:47" s="29" customFormat="1" x14ac:dyDescent="0.25">
      <c r="M2369" s="750" t="s">
        <v>665</v>
      </c>
      <c r="N2369" s="750">
        <f>P20</f>
        <v>4</v>
      </c>
      <c r="O2369" s="750" t="str">
        <f>O20</f>
        <v>g</v>
      </c>
      <c r="P2369" s="750">
        <v>80</v>
      </c>
      <c r="Q2369" s="750">
        <f t="shared" si="738"/>
        <v>320</v>
      </c>
      <c r="R2369" s="750">
        <v>0</v>
      </c>
      <c r="S2369" s="750">
        <f t="shared" si="719"/>
        <v>0</v>
      </c>
      <c r="T2369" s="750">
        <f t="shared" si="720"/>
        <v>80</v>
      </c>
      <c r="U2369" s="750">
        <f t="shared" si="721"/>
        <v>320</v>
      </c>
      <c r="V2369" s="577" t="s">
        <v>1963</v>
      </c>
      <c r="W2369" s="577" t="s">
        <v>1963</v>
      </c>
      <c r="X2369" s="577" t="s">
        <v>1963</v>
      </c>
      <c r="Y2369" s="577" t="s">
        <v>1963</v>
      </c>
      <c r="Z2369" s="577" t="s">
        <v>1963</v>
      </c>
      <c r="AA2369" s="577" t="s">
        <v>1963</v>
      </c>
      <c r="AB2369" s="577" t="s">
        <v>1963</v>
      </c>
      <c r="AC2369" s="577" t="s">
        <v>1963</v>
      </c>
      <c r="AD2369" s="577" t="s">
        <v>1963</v>
      </c>
      <c r="AE2369" s="577">
        <f t="shared" si="740"/>
        <v>178.14919446380952</v>
      </c>
      <c r="AF2369" s="577">
        <f t="shared" si="737"/>
        <v>178.14919446380952</v>
      </c>
      <c r="AG2369" s="750">
        <f t="shared" si="722"/>
        <v>18.899999999999999</v>
      </c>
      <c r="AH2369" s="750">
        <f t="shared" si="716"/>
        <v>1547.3435977313275</v>
      </c>
      <c r="AI2369" s="750">
        <v>0.6</v>
      </c>
      <c r="AJ2369" s="750"/>
      <c r="AK2369" s="750"/>
      <c r="AL2369" s="750"/>
      <c r="AM2369" s="750"/>
      <c r="AN2369" s="750"/>
      <c r="AO2369" s="750"/>
      <c r="AP2369" s="750"/>
      <c r="AQ2369" s="750"/>
      <c r="AR2369" s="750"/>
      <c r="AS2369" s="750">
        <f t="shared" si="741"/>
        <v>3567.2707449131972</v>
      </c>
      <c r="AT2369" s="750">
        <f>(((U2369+AF2369+AG2369+AH2369)*AI2369)+(U2369+AF2369+AG2369+AH2369))*1.08</f>
        <v>3567.2707449131972</v>
      </c>
      <c r="AU2369" s="107"/>
    </row>
    <row r="2370" spans="3:47" s="29" customFormat="1" x14ac:dyDescent="0.25">
      <c r="M2370" s="750" t="s">
        <v>508</v>
      </c>
      <c r="N2370" s="750">
        <f>P22</f>
        <v>3.4</v>
      </c>
      <c r="O2370" s="750" t="str">
        <f>O22</f>
        <v>g</v>
      </c>
      <c r="P2370" s="750">
        <v>90</v>
      </c>
      <c r="Q2370" s="750">
        <f t="shared" si="738"/>
        <v>306</v>
      </c>
      <c r="R2370" s="750">
        <f>AJ13</f>
        <v>0.15</v>
      </c>
      <c r="S2370" s="750">
        <f t="shared" si="719"/>
        <v>13.5</v>
      </c>
      <c r="T2370" s="750">
        <f t="shared" si="720"/>
        <v>76.5</v>
      </c>
      <c r="U2370" s="750">
        <f t="shared" si="721"/>
        <v>351.9</v>
      </c>
      <c r="V2370" s="577" t="s">
        <v>1963</v>
      </c>
      <c r="W2370" s="577" t="s">
        <v>1963</v>
      </c>
      <c r="X2370" s="577" t="s">
        <v>1963</v>
      </c>
      <c r="Y2370" s="577" t="s">
        <v>1963</v>
      </c>
      <c r="Z2370" s="577" t="s">
        <v>1963</v>
      </c>
      <c r="AA2370" s="577" t="s">
        <v>1963</v>
      </c>
      <c r="AB2370" s="577" t="s">
        <v>1963</v>
      </c>
      <c r="AC2370" s="577" t="s">
        <v>1963</v>
      </c>
      <c r="AD2370" s="577" t="s">
        <v>1963</v>
      </c>
      <c r="AE2370" s="577">
        <f t="shared" si="740"/>
        <v>178.14919446380952</v>
      </c>
      <c r="AF2370" s="577">
        <f t="shared" si="737"/>
        <v>178.14919446380952</v>
      </c>
      <c r="AG2370" s="750">
        <f t="shared" si="722"/>
        <v>18.899999999999999</v>
      </c>
      <c r="AH2370" s="750">
        <f t="shared" si="716"/>
        <v>1547.3435977313275</v>
      </c>
      <c r="AI2370" s="750">
        <v>0.6</v>
      </c>
      <c r="AJ2370" s="750"/>
      <c r="AK2370" s="750"/>
      <c r="AL2370" s="750"/>
      <c r="AM2370" s="750"/>
      <c r="AN2370" s="750"/>
      <c r="AO2370" s="750"/>
      <c r="AP2370" s="750"/>
      <c r="AQ2370" s="750"/>
      <c r="AR2370" s="750"/>
      <c r="AS2370" s="750">
        <f t="shared" si="741"/>
        <v>3622.3939449131967</v>
      </c>
      <c r="AT2370" s="750">
        <f>(((U2370+AF2370+AG2370+AH2370)*AI2370)+(U2370+AF2370+AG2370+AH2370))*1.08</f>
        <v>3622.3939449131967</v>
      </c>
      <c r="AU2370" s="107"/>
    </row>
    <row r="2371" spans="3:47" s="29" customFormat="1" x14ac:dyDescent="0.25">
      <c r="M2371" s="750" t="s">
        <v>1091</v>
      </c>
      <c r="N2371" s="750">
        <f>AB5</f>
        <v>3.6</v>
      </c>
      <c r="O2371" s="750" t="str">
        <f>AA5</f>
        <v>g</v>
      </c>
      <c r="P2371" s="750">
        <v>120</v>
      </c>
      <c r="Q2371" s="750">
        <f t="shared" si="738"/>
        <v>432</v>
      </c>
      <c r="R2371" s="750">
        <v>0</v>
      </c>
      <c r="S2371" s="750">
        <f t="shared" si="719"/>
        <v>0</v>
      </c>
      <c r="T2371" s="750">
        <f t="shared" si="720"/>
        <v>120</v>
      </c>
      <c r="U2371" s="750">
        <f>Q2371+((S2371*Q2371)/P2371)</f>
        <v>432</v>
      </c>
      <c r="V2371" s="577" t="s">
        <v>1963</v>
      </c>
      <c r="W2371" s="577" t="s">
        <v>1963</v>
      </c>
      <c r="X2371" s="577">
        <f t="shared" si="742"/>
        <v>267.22379169571428</v>
      </c>
      <c r="Y2371" s="577" t="s">
        <v>1963</v>
      </c>
      <c r="Z2371" s="577" t="s">
        <v>1963</v>
      </c>
      <c r="AA2371" s="577" t="s">
        <v>1963</v>
      </c>
      <c r="AB2371" s="577" t="s">
        <v>1963</v>
      </c>
      <c r="AC2371" s="577" t="s">
        <v>1963</v>
      </c>
      <c r="AD2371" s="577" t="s">
        <v>1963</v>
      </c>
      <c r="AE2371" s="577">
        <f t="shared" si="740"/>
        <v>178.14919446380952</v>
      </c>
      <c r="AF2371" s="577" t="s">
        <v>1963</v>
      </c>
      <c r="AG2371" s="750">
        <f t="shared" si="722"/>
        <v>18.899999999999999</v>
      </c>
      <c r="AH2371" s="750">
        <f t="shared" si="716"/>
        <v>1547.3435977313275</v>
      </c>
      <c r="AI2371" s="750">
        <v>0.6</v>
      </c>
      <c r="AJ2371" s="750"/>
      <c r="AK2371" s="750"/>
      <c r="AL2371" s="750">
        <f>(((U2371+X2371+AG2371+AH2371)*AI2371)+(U2371+X2371+AG2371+AH2371))*1.08</f>
        <v>3914.7276489299284</v>
      </c>
      <c r="AM2371" s="750"/>
      <c r="AN2371" s="750"/>
      <c r="AO2371" s="750"/>
      <c r="AP2371" s="750"/>
      <c r="AQ2371" s="750"/>
      <c r="AR2371" s="750"/>
      <c r="AS2371" s="750">
        <f t="shared" si="741"/>
        <v>3760.8067449131968</v>
      </c>
      <c r="AT2371" s="750"/>
      <c r="AU2371" s="107"/>
    </row>
    <row r="2372" spans="3:47" s="29" customFormat="1" x14ac:dyDescent="0.25">
      <c r="M2372" s="750" t="s">
        <v>531</v>
      </c>
      <c r="N2372" s="750">
        <f>AB6</f>
        <v>5.18</v>
      </c>
      <c r="O2372" s="750" t="str">
        <f>AA6</f>
        <v>g</v>
      </c>
      <c r="P2372" s="750">
        <v>120</v>
      </c>
      <c r="Q2372" s="750">
        <f t="shared" si="738"/>
        <v>621.59999999999991</v>
      </c>
      <c r="R2372" s="750">
        <v>0</v>
      </c>
      <c r="S2372" s="750">
        <f t="shared" si="719"/>
        <v>0</v>
      </c>
      <c r="T2372" s="750">
        <f t="shared" si="720"/>
        <v>120</v>
      </c>
      <c r="U2372" s="750">
        <f t="shared" ref="U2372:U2374" si="743">Q2372+((S2372*Q2372)/P2372)</f>
        <v>621.59999999999991</v>
      </c>
      <c r="V2372" s="577" t="s">
        <v>1963</v>
      </c>
      <c r="W2372" s="577" t="s">
        <v>1963</v>
      </c>
      <c r="X2372" s="577">
        <f t="shared" si="742"/>
        <v>267.22379169571428</v>
      </c>
      <c r="Y2372" s="577" t="s">
        <v>1963</v>
      </c>
      <c r="Z2372" s="577" t="s">
        <v>1963</v>
      </c>
      <c r="AA2372" s="577" t="s">
        <v>1963</v>
      </c>
      <c r="AB2372" s="577" t="s">
        <v>1963</v>
      </c>
      <c r="AC2372" s="577" t="s">
        <v>1963</v>
      </c>
      <c r="AD2372" s="577" t="s">
        <v>1963</v>
      </c>
      <c r="AE2372" s="577">
        <f t="shared" si="740"/>
        <v>178.14919446380952</v>
      </c>
      <c r="AF2372" s="577" t="s">
        <v>1963</v>
      </c>
      <c r="AG2372" s="750">
        <f t="shared" si="722"/>
        <v>18.899999999999999</v>
      </c>
      <c r="AH2372" s="750">
        <f t="shared" si="716"/>
        <v>1547.3435977313275</v>
      </c>
      <c r="AI2372" s="750">
        <v>0.6</v>
      </c>
      <c r="AJ2372" s="750"/>
      <c r="AK2372" s="750"/>
      <c r="AL2372" s="750">
        <f>(((U2372+X2372+AG2372+AH2372)*AI2372)+(U2372+X2372+AG2372+AH2372))*1.08</f>
        <v>4242.3564489299279</v>
      </c>
      <c r="AM2372" s="750"/>
      <c r="AN2372" s="750"/>
      <c r="AO2372" s="750"/>
      <c r="AP2372" s="750"/>
      <c r="AQ2372" s="750"/>
      <c r="AR2372" s="750"/>
      <c r="AS2372" s="750">
        <f t="shared" si="741"/>
        <v>4088.4355449131967</v>
      </c>
      <c r="AT2372" s="750"/>
      <c r="AU2372" s="107"/>
    </row>
    <row r="2373" spans="3:47" s="29" customFormat="1" x14ac:dyDescent="0.25">
      <c r="M2373" s="750" t="s">
        <v>691</v>
      </c>
      <c r="N2373" s="750">
        <f>P16</f>
        <v>1.5</v>
      </c>
      <c r="O2373" s="750" t="str">
        <f>O16</f>
        <v>g</v>
      </c>
      <c r="P2373" s="750">
        <v>70</v>
      </c>
      <c r="Q2373" s="750">
        <f t="shared" si="738"/>
        <v>105</v>
      </c>
      <c r="R2373" s="750">
        <f>AJ9</f>
        <v>0.55000000000000004</v>
      </c>
      <c r="S2373" s="750">
        <f t="shared" si="719"/>
        <v>38.5</v>
      </c>
      <c r="T2373" s="750">
        <f t="shared" si="720"/>
        <v>31.5</v>
      </c>
      <c r="U2373" s="750">
        <f t="shared" si="743"/>
        <v>162.75</v>
      </c>
      <c r="V2373" s="577" t="s">
        <v>1963</v>
      </c>
      <c r="W2373" s="577" t="s">
        <v>1963</v>
      </c>
      <c r="X2373" s="577" t="s">
        <v>1963</v>
      </c>
      <c r="Y2373" s="577" t="s">
        <v>1963</v>
      </c>
      <c r="Z2373" s="577" t="s">
        <v>1963</v>
      </c>
      <c r="AA2373" s="577" t="s">
        <v>1963</v>
      </c>
      <c r="AB2373" s="577" t="s">
        <v>1963</v>
      </c>
      <c r="AC2373" s="577" t="s">
        <v>1963</v>
      </c>
      <c r="AD2373" s="577" t="s">
        <v>1963</v>
      </c>
      <c r="AE2373" s="577">
        <f t="shared" si="740"/>
        <v>178.14919446380952</v>
      </c>
      <c r="AF2373" s="577">
        <f t="shared" si="737"/>
        <v>178.14919446380952</v>
      </c>
      <c r="AG2373" s="750">
        <f t="shared" si="722"/>
        <v>18.899999999999999</v>
      </c>
      <c r="AH2373" s="750">
        <f t="shared" si="716"/>
        <v>1547.3435977313275</v>
      </c>
      <c r="AI2373" s="750">
        <v>0.6</v>
      </c>
      <c r="AJ2373" s="750"/>
      <c r="AK2373" s="750"/>
      <c r="AL2373" s="750"/>
      <c r="AM2373" s="750"/>
      <c r="AN2373" s="750"/>
      <c r="AO2373" s="750"/>
      <c r="AP2373" s="750"/>
      <c r="AQ2373" s="750"/>
      <c r="AR2373" s="750"/>
      <c r="AS2373" s="750">
        <f t="shared" si="741"/>
        <v>3295.5427449131967</v>
      </c>
      <c r="AT2373" s="750">
        <f>(((U2373+AF2373+AG2373+AH2373)*AI2373)+(U2373+AF2373+AG2373+AH2373))*1.08</f>
        <v>3295.5427449131967</v>
      </c>
      <c r="AU2373" s="107"/>
    </row>
    <row r="2374" spans="3:47" s="29" customFormat="1" x14ac:dyDescent="0.25">
      <c r="M2374" s="750" t="s">
        <v>463</v>
      </c>
      <c r="N2374" s="577">
        <f>Y13</f>
        <v>105.4</v>
      </c>
      <c r="O2374" s="750" t="str">
        <f>X18</f>
        <v>g</v>
      </c>
      <c r="P2374" s="750">
        <v>5</v>
      </c>
      <c r="Q2374" s="750">
        <f t="shared" si="738"/>
        <v>527</v>
      </c>
      <c r="R2374" s="750">
        <v>0</v>
      </c>
      <c r="S2374" s="750">
        <f t="shared" si="719"/>
        <v>0</v>
      </c>
      <c r="T2374" s="750">
        <f t="shared" si="720"/>
        <v>5</v>
      </c>
      <c r="U2374" s="750">
        <f t="shared" si="743"/>
        <v>527</v>
      </c>
      <c r="V2374" s="577" t="s">
        <v>1963</v>
      </c>
      <c r="W2374" s="577" t="s">
        <v>1963</v>
      </c>
      <c r="X2374" s="577" t="s">
        <v>1963</v>
      </c>
      <c r="Y2374" s="577" t="s">
        <v>1963</v>
      </c>
      <c r="Z2374" s="577" t="s">
        <v>1963</v>
      </c>
      <c r="AA2374" s="577" t="s">
        <v>1963</v>
      </c>
      <c r="AB2374" s="577" t="s">
        <v>1963</v>
      </c>
      <c r="AC2374" s="577" t="s">
        <v>1963</v>
      </c>
      <c r="AD2374" s="577" t="s">
        <v>1963</v>
      </c>
      <c r="AE2374" s="577" t="s">
        <v>1963</v>
      </c>
      <c r="AF2374" s="577" t="s">
        <v>1963</v>
      </c>
      <c r="AG2374" s="750">
        <f t="shared" si="722"/>
        <v>18.899999999999999</v>
      </c>
      <c r="AH2374" s="750">
        <f t="shared" si="716"/>
        <v>1547.3435977313275</v>
      </c>
      <c r="AI2374" s="750">
        <v>0.6</v>
      </c>
      <c r="AJ2374" s="750"/>
      <c r="AK2374" s="750"/>
      <c r="AL2374" s="750"/>
      <c r="AM2374" s="750"/>
      <c r="AN2374" s="750"/>
      <c r="AO2374" s="750"/>
      <c r="AP2374" s="750"/>
      <c r="AQ2374" s="750"/>
      <c r="AR2374" s="750"/>
      <c r="AS2374" s="750"/>
      <c r="AT2374" s="750"/>
      <c r="AU2374" s="30"/>
    </row>
    <row r="2375" spans="3:47" s="29" customFormat="1" x14ac:dyDescent="0.25">
      <c r="M2375" s="750"/>
      <c r="N2375" s="750"/>
      <c r="O2375" s="750"/>
      <c r="P2375" s="750"/>
      <c r="Q2375" s="750"/>
      <c r="R2375" s="750"/>
      <c r="S2375" s="750"/>
      <c r="T2375" s="750"/>
      <c r="U2375" s="750"/>
      <c r="V2375" s="750"/>
      <c r="W2375" s="750"/>
      <c r="X2375" s="750"/>
      <c r="Y2375" s="750"/>
      <c r="Z2375" s="750"/>
      <c r="AA2375" s="750"/>
      <c r="AB2375" s="750"/>
      <c r="AC2375" s="750"/>
      <c r="AD2375" s="750"/>
      <c r="AE2375" s="750"/>
      <c r="AF2375" s="750"/>
      <c r="AG2375" s="750"/>
      <c r="AH2375" s="750"/>
      <c r="AI2375" s="750"/>
      <c r="AJ2375" s="750"/>
      <c r="AK2375" s="750"/>
      <c r="AL2375" s="750"/>
      <c r="AM2375" s="750"/>
      <c r="AN2375" s="750"/>
      <c r="AO2375" s="750"/>
      <c r="AP2375" s="750"/>
      <c r="AQ2375" s="750"/>
      <c r="AR2375" s="750"/>
      <c r="AS2375" s="750"/>
      <c r="AT2375" s="750"/>
      <c r="AU2375" s="30"/>
    </row>
    <row r="2376" spans="3:47" s="29" customFormat="1" x14ac:dyDescent="0.25">
      <c r="M2376" s="750" t="s">
        <v>337</v>
      </c>
      <c r="N2376" s="750">
        <f>SUM(N2348:N2375)</f>
        <v>808.44199999999989</v>
      </c>
      <c r="O2376" s="750"/>
      <c r="P2376" s="750">
        <f>SUM(P2348:P2375)</f>
        <v>1835</v>
      </c>
      <c r="Q2376" s="750">
        <f>SUM(Q2348:Q2375)</f>
        <v>50537.189999999995</v>
      </c>
      <c r="R2376" s="750"/>
      <c r="S2376" s="750"/>
      <c r="T2376" s="750"/>
      <c r="U2376" s="750">
        <f>SUM(U2348:U2375)</f>
        <v>67515.907999999996</v>
      </c>
      <c r="V2376" s="750"/>
      <c r="W2376" s="750"/>
      <c r="X2376" s="750"/>
      <c r="Y2376" s="750"/>
      <c r="Z2376" s="750"/>
      <c r="AA2376" s="750"/>
      <c r="AB2376" s="750"/>
      <c r="AC2376" s="750"/>
      <c r="AD2376" s="750"/>
      <c r="AE2376" s="750"/>
      <c r="AF2376" s="750"/>
      <c r="AG2376" s="750"/>
      <c r="AH2376" s="750"/>
      <c r="AI2376" s="750"/>
      <c r="AJ2376" s="750"/>
      <c r="AK2376" s="750"/>
      <c r="AL2376" s="750"/>
      <c r="AM2376" s="750"/>
      <c r="AN2376" s="750"/>
      <c r="AO2376" s="750"/>
      <c r="AP2376" s="750"/>
      <c r="AQ2376" s="750"/>
      <c r="AR2376" s="750"/>
      <c r="AS2376" s="750"/>
      <c r="AT2376" s="750"/>
    </row>
    <row r="2377" spans="3:47" s="29" customFormat="1" x14ac:dyDescent="0.25">
      <c r="M2377" s="578"/>
      <c r="N2377" s="578"/>
      <c r="O2377" s="578"/>
      <c r="P2377" s="578"/>
      <c r="Q2377" s="578"/>
      <c r="R2377" s="578"/>
      <c r="S2377" s="578"/>
      <c r="T2377" s="578"/>
      <c r="U2377" s="578"/>
      <c r="V2377" s="578"/>
      <c r="W2377" s="578"/>
      <c r="X2377" s="578"/>
      <c r="Y2377" s="578"/>
      <c r="Z2377" s="578"/>
      <c r="AA2377" s="578"/>
      <c r="AB2377" s="578"/>
      <c r="AC2377" s="578"/>
      <c r="AD2377" s="578"/>
      <c r="AE2377" s="578"/>
      <c r="AF2377" s="578"/>
      <c r="AG2377" s="578"/>
      <c r="AH2377" s="578"/>
      <c r="AI2377" s="578"/>
      <c r="AJ2377" s="578"/>
      <c r="AK2377" s="578"/>
      <c r="AL2377" s="578"/>
      <c r="AM2377" s="578"/>
      <c r="AN2377" s="578"/>
      <c r="AO2377" s="578"/>
      <c r="AP2377" s="578"/>
      <c r="AQ2377" s="578"/>
      <c r="AR2377" s="578"/>
      <c r="AS2377" s="578"/>
      <c r="AT2377" s="578"/>
    </row>
    <row r="2378" spans="3:47" s="29" customFormat="1" x14ac:dyDescent="0.25">
      <c r="M2378" s="578"/>
      <c r="N2378" s="578"/>
      <c r="O2378" s="578"/>
      <c r="P2378" s="578"/>
      <c r="Q2378" s="578"/>
      <c r="R2378" s="578"/>
      <c r="S2378" s="578"/>
      <c r="T2378" s="578"/>
      <c r="U2378" s="578"/>
      <c r="V2378" s="578"/>
      <c r="W2378" s="578"/>
      <c r="X2378" s="578"/>
      <c r="Y2378" s="578"/>
      <c r="Z2378" s="578"/>
      <c r="AA2378" s="578"/>
      <c r="AB2378" s="578"/>
      <c r="AC2378" s="578"/>
      <c r="AD2378" s="578"/>
      <c r="AE2378" s="578"/>
      <c r="AF2378" s="578"/>
      <c r="AG2378" s="578"/>
      <c r="AH2378" s="578"/>
      <c r="AI2378" s="578"/>
      <c r="AJ2378" s="578"/>
      <c r="AK2378" s="578"/>
      <c r="AL2378" s="578"/>
      <c r="AM2378" s="578"/>
      <c r="AN2378" s="578"/>
      <c r="AO2378" s="578"/>
      <c r="AP2378" s="578"/>
      <c r="AQ2378" s="578"/>
      <c r="AR2378" s="578"/>
      <c r="AS2378" s="578"/>
      <c r="AT2378" s="578"/>
    </row>
    <row r="2379" spans="3:47" s="29" customFormat="1" x14ac:dyDescent="0.25">
      <c r="M2379" s="578"/>
      <c r="N2379" s="578"/>
      <c r="O2379" s="578"/>
      <c r="P2379" s="578"/>
      <c r="Q2379" s="578"/>
      <c r="R2379" s="578"/>
      <c r="S2379" s="578"/>
      <c r="T2379" s="578"/>
      <c r="U2379" s="578"/>
      <c r="V2379" s="578"/>
      <c r="W2379" s="578"/>
      <c r="X2379" s="578"/>
      <c r="Y2379" s="578"/>
      <c r="Z2379" s="578"/>
      <c r="AA2379" s="578"/>
      <c r="AB2379" s="578"/>
      <c r="AC2379" s="578"/>
      <c r="AD2379" s="578"/>
      <c r="AE2379" s="578"/>
      <c r="AF2379" s="578"/>
      <c r="AG2379" s="578"/>
      <c r="AH2379" s="578"/>
      <c r="AI2379" s="578"/>
      <c r="AJ2379" s="578"/>
      <c r="AK2379" s="578"/>
      <c r="AL2379" s="578"/>
      <c r="AM2379" s="578"/>
      <c r="AN2379" s="578"/>
      <c r="AO2379" s="578"/>
      <c r="AP2379" s="578"/>
      <c r="AQ2379" s="578"/>
      <c r="AR2379" s="578"/>
      <c r="AS2379" s="578"/>
      <c r="AT2379" s="578"/>
    </row>
    <row r="2380" spans="3:47" s="29" customFormat="1" x14ac:dyDescent="0.25">
      <c r="C2380" s="115" t="s">
        <v>357</v>
      </c>
      <c r="D2380" s="115" t="s">
        <v>358</v>
      </c>
      <c r="E2380" s="115" t="s">
        <v>359</v>
      </c>
      <c r="F2380" s="115" t="s">
        <v>360</v>
      </c>
      <c r="G2380" s="115" t="s">
        <v>361</v>
      </c>
      <c r="M2380" s="750" t="s">
        <v>336</v>
      </c>
      <c r="N2380" s="750" t="s">
        <v>174</v>
      </c>
      <c r="O2380" s="750" t="s">
        <v>248</v>
      </c>
      <c r="P2380" s="750" t="s">
        <v>176</v>
      </c>
      <c r="Q2380" s="750" t="s">
        <v>337</v>
      </c>
      <c r="R2380" s="750" t="s">
        <v>1641</v>
      </c>
      <c r="S2380" s="750" t="s">
        <v>1642</v>
      </c>
      <c r="T2380" s="750" t="s">
        <v>1643</v>
      </c>
      <c r="U2380" s="750" t="s">
        <v>1644</v>
      </c>
      <c r="V2380" s="750" t="s">
        <v>1919</v>
      </c>
      <c r="W2380" s="750" t="s">
        <v>1920</v>
      </c>
      <c r="X2380" s="750" t="s">
        <v>1921</v>
      </c>
      <c r="Y2380" s="750" t="s">
        <v>1922</v>
      </c>
      <c r="Z2380" s="750" t="s">
        <v>1924</v>
      </c>
      <c r="AA2380" s="750" t="s">
        <v>1923</v>
      </c>
      <c r="AB2380" s="750" t="s">
        <v>1925</v>
      </c>
      <c r="AC2380" s="750" t="s">
        <v>1926</v>
      </c>
      <c r="AD2380" s="750" t="s">
        <v>1927</v>
      </c>
      <c r="AE2380" s="750" t="s">
        <v>1928</v>
      </c>
      <c r="AF2380" s="750" t="s">
        <v>1929</v>
      </c>
      <c r="AG2380" s="750" t="s">
        <v>1872</v>
      </c>
      <c r="AH2380" s="750" t="s">
        <v>1873</v>
      </c>
      <c r="AI2380" s="750" t="s">
        <v>1780</v>
      </c>
      <c r="AJ2380" s="750" t="s">
        <v>2035</v>
      </c>
      <c r="AK2380" s="750" t="s">
        <v>2036</v>
      </c>
      <c r="AL2380" s="750" t="s">
        <v>2037</v>
      </c>
      <c r="AM2380" s="750" t="s">
        <v>2038</v>
      </c>
      <c r="AN2380" s="750" t="s">
        <v>2039</v>
      </c>
      <c r="AO2380" s="750" t="s">
        <v>2040</v>
      </c>
      <c r="AP2380" s="750" t="s">
        <v>2041</v>
      </c>
      <c r="AQ2380" s="750" t="s">
        <v>2042</v>
      </c>
      <c r="AR2380" s="750" t="s">
        <v>2043</v>
      </c>
      <c r="AS2380" s="750" t="s">
        <v>2045</v>
      </c>
      <c r="AT2380" s="750" t="s">
        <v>2044</v>
      </c>
    </row>
    <row r="2381" spans="3:47" s="29" customFormat="1" ht="38.25" x14ac:dyDescent="0.25">
      <c r="C2381" s="1002" t="s">
        <v>362</v>
      </c>
      <c r="D2381" s="116" t="s">
        <v>373</v>
      </c>
      <c r="E2381" s="116" t="s">
        <v>1092</v>
      </c>
      <c r="F2381" s="116" t="s">
        <v>364</v>
      </c>
      <c r="G2381" s="116" t="s">
        <v>365</v>
      </c>
      <c r="M2381" s="750" t="s">
        <v>344</v>
      </c>
      <c r="N2381" s="750"/>
      <c r="O2381" s="750" t="s">
        <v>342</v>
      </c>
      <c r="P2381" s="750">
        <v>100</v>
      </c>
      <c r="Q2381" s="750">
        <f t="shared" ref="Q2381:Q2406" si="744">N2381*P2381</f>
        <v>0</v>
      </c>
      <c r="R2381" s="750">
        <v>0</v>
      </c>
      <c r="S2381" s="750">
        <f>P2381*R2381</f>
        <v>0</v>
      </c>
      <c r="T2381" s="750">
        <f>P2381-S2381</f>
        <v>100</v>
      </c>
      <c r="U2381" s="750">
        <f>Q2381+((S2381*Q2381)/P2381)</f>
        <v>0</v>
      </c>
      <c r="V2381" s="750"/>
      <c r="W2381" s="750"/>
      <c r="X2381" s="750"/>
      <c r="Y2381" s="750"/>
      <c r="Z2381" s="750"/>
      <c r="AA2381" s="750"/>
      <c r="AB2381" s="750"/>
      <c r="AC2381" s="750"/>
      <c r="AD2381" s="750"/>
      <c r="AE2381" s="750"/>
      <c r="AF2381" s="750"/>
      <c r="AG2381" s="750">
        <f>$AO$27/4</f>
        <v>18.899999999999999</v>
      </c>
      <c r="AH2381" s="750">
        <f t="shared" ref="AH2381:AH2406" si="745">$AO$29</f>
        <v>1547.3435977313275</v>
      </c>
      <c r="AI2381" s="750">
        <v>0.6</v>
      </c>
      <c r="AJ2381" s="750">
        <f>(((U2381+V2381+AG2381+AH2381)*AI2381)+(U2381+V2381+AG2381+AH2381))*1.08</f>
        <v>2706.4689368797344</v>
      </c>
      <c r="AK2381" s="750">
        <f>(((U2381+W2381+AG2381+AH2381)*AI2381)+(U2381+W2381+AG2381+AH2381))*1.08</f>
        <v>2706.4689368797344</v>
      </c>
      <c r="AL2381" s="750">
        <f>(((U2381+X2381+AG2381+AH2381)*AI2381)+(U2381+X2381+AG2381+AH2381))*1.08</f>
        <v>2706.4689368797344</v>
      </c>
      <c r="AM2381" s="750">
        <f t="shared" ref="AM2381:AM2389" si="746">(((U2381+Y2381+AG2381+AH2381)*AI2381)+(U2381+Y2381+AG2381+AH2381))*1.08</f>
        <v>2706.4689368797344</v>
      </c>
      <c r="AN2381" s="750">
        <f t="shared" ref="AN2381:AN2386" si="747">(((U2381+Z2381+AG2381+AH2381)*AI2381)+(U2381+Z2381+AG2381+AH2381))*1.08</f>
        <v>2706.4689368797344</v>
      </c>
      <c r="AO2381" s="750">
        <f>(((U2381+AA2381+AG2381+AH2381)*AI2381)+(U2381+AA2381+AG2381+AH2381))*1.08</f>
        <v>2706.4689368797344</v>
      </c>
      <c r="AP2381" s="750">
        <f>(((U2381+AB2381+AG2381+AH2381)*AI2381)+(U2381+AB2381+AG2381+AH2381))*1.08</f>
        <v>2706.4689368797344</v>
      </c>
      <c r="AQ2381" s="750">
        <f>(((U2381+AC2381+AG2381+AH2381)*AI2381)+(U2381+AC2381+AG2381+AH2381))*1.08</f>
        <v>2706.4689368797344</v>
      </c>
      <c r="AR2381" s="750">
        <f>(((U2381+AD2381+AG2381+AH2381)*AI2381)+(U2381+AD2381+AG2381+AH2381))*1.08</f>
        <v>2706.4689368797344</v>
      </c>
      <c r="AS2381" s="750">
        <f>(((U2381+AE2381+AG2381+AH2381)*AI2381)+(U2381+AE2381+AG2381+AH2381))*1.08</f>
        <v>2706.4689368797344</v>
      </c>
      <c r="AT2381" s="750">
        <f>(((U2381+AF2381+AG2381+AH2381)*AI2381)+(U2381+AF2381+AG2381+AH2381))*1.08</f>
        <v>2706.4689368797344</v>
      </c>
    </row>
    <row r="2382" spans="3:47" s="29" customFormat="1" ht="38.25" x14ac:dyDescent="0.25">
      <c r="C2382" s="1002"/>
      <c r="D2382" s="116" t="s">
        <v>386</v>
      </c>
      <c r="E2382" s="116" t="s">
        <v>1093</v>
      </c>
      <c r="F2382" s="116" t="s">
        <v>364</v>
      </c>
      <c r="G2382" s="116" t="s">
        <v>365</v>
      </c>
      <c r="M2382" s="750" t="s">
        <v>359</v>
      </c>
      <c r="N2382" s="750"/>
      <c r="O2382" s="750" t="s">
        <v>342</v>
      </c>
      <c r="P2382" s="750">
        <v>120</v>
      </c>
      <c r="Q2382" s="750">
        <f t="shared" si="744"/>
        <v>0</v>
      </c>
      <c r="R2382" s="750">
        <v>0</v>
      </c>
      <c r="S2382" s="750">
        <f t="shared" ref="S2382:S2406" si="748">P2382*R2382</f>
        <v>0</v>
      </c>
      <c r="T2382" s="750">
        <f t="shared" ref="T2382:T2406" si="749">P2382-S2382</f>
        <v>120</v>
      </c>
      <c r="U2382" s="750">
        <f t="shared" ref="U2382:U2403" si="750">Q2382+((S2382*Q2382)/P2382)</f>
        <v>0</v>
      </c>
      <c r="V2382" s="750"/>
      <c r="W2382" s="750"/>
      <c r="X2382" s="750"/>
      <c r="Y2382" s="750"/>
      <c r="Z2382" s="750"/>
      <c r="AA2382" s="750"/>
      <c r="AB2382" s="750"/>
      <c r="AC2382" s="750"/>
      <c r="AD2382" s="750"/>
      <c r="AE2382" s="750"/>
      <c r="AF2382" s="750"/>
      <c r="AG2382" s="750">
        <f t="shared" ref="AG2382:AG2406" si="751">$AO$27/4</f>
        <v>18.899999999999999</v>
      </c>
      <c r="AH2382" s="750">
        <f t="shared" si="745"/>
        <v>1547.3435977313275</v>
      </c>
      <c r="AI2382" s="750">
        <v>0.6</v>
      </c>
      <c r="AJ2382" s="750">
        <f>(((U2382+V2382+AG2382+AH2382)*AI2382)+(U2382+V2382+AG2382+AH2382))*1.08</f>
        <v>2706.4689368797344</v>
      </c>
      <c r="AK2382" s="750">
        <f>(((U2382+W2382+AG2382+AH2382)*AI2382)+(U2382+W2382+AG2382+AH2382))*1.08</f>
        <v>2706.4689368797344</v>
      </c>
      <c r="AL2382" s="750">
        <f>(((U2382+X2382+AG2382+AH2382)*AI2382)+(U2382+X2382+AG2382+AH2382))*1.08</f>
        <v>2706.4689368797344</v>
      </c>
      <c r="AM2382" s="750">
        <f t="shared" si="746"/>
        <v>2706.4689368797344</v>
      </c>
      <c r="AN2382" s="750">
        <f t="shared" si="747"/>
        <v>2706.4689368797344</v>
      </c>
      <c r="AO2382" s="750">
        <f>(((U2382+AA2382+AG2382+AH2382)*AI2382)+(U2382+AA2382+AG2382+AH2382))*1.08</f>
        <v>2706.4689368797344</v>
      </c>
      <c r="AP2382" s="750">
        <f>(((U2382+AB2382+AG2382+AH2382)*AI2382)+(U2382+AB2382+AG2382+AH2382))*1.08</f>
        <v>2706.4689368797344</v>
      </c>
      <c r="AQ2382" s="750">
        <f>(((U2382+AC2382+AG2382+AH2382)*AI2382)+(U2382+AC2382+AG2382+AH2382))*1.08</f>
        <v>2706.4689368797344</v>
      </c>
      <c r="AR2382" s="750">
        <f>(((U2382+AD2382+AG2382+AH2382)*AI2382)+(U2382+AD2382+AG2382+AH2382))*1.08</f>
        <v>2706.4689368797344</v>
      </c>
      <c r="AS2382" s="750">
        <f>(((U2382+AE2382+AG2382+AH2382)*AI2382)+(U2382+AE2382+AG2382+AH2382))*1.08</f>
        <v>2706.4689368797344</v>
      </c>
      <c r="AT2382" s="750">
        <f>(((U2382+AF2382+AG2382+AH2382)*AI2382)+(U2382+AF2382+AG2382+AH2382))*1.08</f>
        <v>2706.4689368797344</v>
      </c>
      <c r="AU2382" s="30"/>
    </row>
    <row r="2383" spans="3:47" s="29" customFormat="1" ht="63.75" x14ac:dyDescent="0.25">
      <c r="C2383" s="1002" t="s">
        <v>367</v>
      </c>
      <c r="D2383" s="116" t="s">
        <v>389</v>
      </c>
      <c r="E2383" s="116" t="s">
        <v>1094</v>
      </c>
      <c r="F2383" s="116" t="s">
        <v>390</v>
      </c>
      <c r="G2383" s="116" t="s">
        <v>1095</v>
      </c>
      <c r="M2383" s="750" t="s">
        <v>427</v>
      </c>
      <c r="N2383" s="750">
        <f>S8</f>
        <v>59</v>
      </c>
      <c r="O2383" s="750" t="str">
        <f>R8</f>
        <v>g</v>
      </c>
      <c r="P2383" s="750">
        <v>80</v>
      </c>
      <c r="Q2383" s="750">
        <f t="shared" si="744"/>
        <v>4720</v>
      </c>
      <c r="R2383" s="750">
        <f>AN4</f>
        <v>0.41</v>
      </c>
      <c r="S2383" s="750">
        <f t="shared" si="748"/>
        <v>32.799999999999997</v>
      </c>
      <c r="T2383" s="750">
        <f t="shared" si="749"/>
        <v>47.2</v>
      </c>
      <c r="U2383" s="750">
        <f t="shared" si="750"/>
        <v>6655.2</v>
      </c>
      <c r="V2383" s="577">
        <f>$AR$8</f>
        <v>267.22379169571428</v>
      </c>
      <c r="W2383" s="577">
        <f>$AR$9</f>
        <v>178.14919446380952</v>
      </c>
      <c r="X2383" s="577">
        <f>$AR$10</f>
        <v>267.22379169571428</v>
      </c>
      <c r="Y2383" s="577">
        <f>$AR$11</f>
        <v>267.22379169571428</v>
      </c>
      <c r="Z2383" s="577">
        <f>$AR$12</f>
        <v>267.22379169571428</v>
      </c>
      <c r="AA2383" s="577">
        <f>$AR$13</f>
        <v>178.14919446380952</v>
      </c>
      <c r="AB2383" s="577">
        <f>$AR$14</f>
        <v>178.14919446380952</v>
      </c>
      <c r="AC2383" s="577">
        <f>$AR$15</f>
        <v>267.22379169571428</v>
      </c>
      <c r="AD2383" s="577" t="s">
        <v>1963</v>
      </c>
      <c r="AE2383" s="577" t="s">
        <v>1963</v>
      </c>
      <c r="AF2383" s="577" t="s">
        <v>1963</v>
      </c>
      <c r="AG2383" s="750">
        <f t="shared" si="751"/>
        <v>18.899999999999999</v>
      </c>
      <c r="AH2383" s="750">
        <f t="shared" si="745"/>
        <v>1547.3435977313275</v>
      </c>
      <c r="AI2383" s="750">
        <v>0.6</v>
      </c>
      <c r="AJ2383" s="750">
        <f>(((U2383+V2383+AG2383+AH2383)*AI2383)+(U2383+V2383+AG2383+AH2383))*1.08</f>
        <v>14668.417248929929</v>
      </c>
      <c r="AK2383" s="750">
        <f>(((U2383+W2383+AG2383+AH2383)*AI2383)+(U2383+W2383+AG2383+AH2383))*1.08</f>
        <v>14514.496344913199</v>
      </c>
      <c r="AL2383" s="750">
        <f>(((U2383+X2383+AG2383+AH2383)*AI2383)+(U2383+X2383+AG2383+AH2383))*1.08</f>
        <v>14668.417248929929</v>
      </c>
      <c r="AM2383" s="750">
        <f t="shared" si="746"/>
        <v>14668.417248929929</v>
      </c>
      <c r="AN2383" s="750">
        <f t="shared" si="747"/>
        <v>14668.417248929929</v>
      </c>
      <c r="AO2383" s="750">
        <f>(((U2383+AA2383+AG2383+AH2383)*AI2383)+(U2383+AA2383+AG2383+AH2383))*1.08</f>
        <v>14514.496344913199</v>
      </c>
      <c r="AP2383" s="750">
        <f>(((U2383+AB2383+AG2383+AH2383)*AI2383)+(U2383+AB2383+AG2383+AH2383))*1.08</f>
        <v>14514.496344913199</v>
      </c>
      <c r="AQ2383" s="750">
        <f>(((U2383+AC2383+AG2383+AH2383)*AI2383)+(U2383+AC2383+AG2383+AH2383))*1.08</f>
        <v>14668.417248929929</v>
      </c>
      <c r="AR2383" s="750"/>
      <c r="AS2383" s="750"/>
      <c r="AT2383" s="750"/>
      <c r="AU2383" s="107"/>
    </row>
    <row r="2384" spans="3:47" s="29" customFormat="1" ht="76.5" x14ac:dyDescent="0.25">
      <c r="C2384" s="1002"/>
      <c r="D2384" s="116" t="s">
        <v>375</v>
      </c>
      <c r="E2384" s="116" t="s">
        <v>1096</v>
      </c>
      <c r="F2384" s="116" t="s">
        <v>810</v>
      </c>
      <c r="G2384" s="116" t="s">
        <v>1097</v>
      </c>
      <c r="M2384" s="750" t="s">
        <v>484</v>
      </c>
      <c r="N2384" s="750">
        <f>S7</f>
        <v>54</v>
      </c>
      <c r="O2384" s="750" t="str">
        <f>R7</f>
        <v>g</v>
      </c>
      <c r="P2384" s="750">
        <v>80</v>
      </c>
      <c r="Q2384" s="750">
        <f t="shared" si="744"/>
        <v>4320</v>
      </c>
      <c r="R2384" s="750">
        <f>AN2</f>
        <v>0.33</v>
      </c>
      <c r="S2384" s="750">
        <f t="shared" si="748"/>
        <v>26.400000000000002</v>
      </c>
      <c r="T2384" s="750">
        <f t="shared" si="749"/>
        <v>53.599999999999994</v>
      </c>
      <c r="U2384" s="750">
        <f t="shared" si="750"/>
        <v>5745.6</v>
      </c>
      <c r="V2384" s="577" t="s">
        <v>1963</v>
      </c>
      <c r="W2384" s="577" t="s">
        <v>1963</v>
      </c>
      <c r="X2384" s="577" t="s">
        <v>1963</v>
      </c>
      <c r="Y2384" s="577">
        <f t="shared" ref="Y2384:Y2386" si="752">$AR$11</f>
        <v>267.22379169571428</v>
      </c>
      <c r="Z2384" s="577">
        <f t="shared" ref="Z2384:Z2386" si="753">$AR$12</f>
        <v>267.22379169571428</v>
      </c>
      <c r="AA2384" s="577">
        <f t="shared" ref="AA2384:AA2385" si="754">$AR$13</f>
        <v>178.14919446380952</v>
      </c>
      <c r="AB2384" s="577">
        <f t="shared" ref="AB2384:AB2385" si="755">$AR$14</f>
        <v>178.14919446380952</v>
      </c>
      <c r="AC2384" s="577" t="s">
        <v>1963</v>
      </c>
      <c r="AD2384" s="577" t="s">
        <v>1963</v>
      </c>
      <c r="AE2384" s="577" t="s">
        <v>1963</v>
      </c>
      <c r="AF2384" s="577">
        <f>AR18</f>
        <v>178.14919446380952</v>
      </c>
      <c r="AG2384" s="750">
        <f t="shared" si="751"/>
        <v>18.899999999999999</v>
      </c>
      <c r="AH2384" s="750">
        <f t="shared" si="745"/>
        <v>1547.3435977313275</v>
      </c>
      <c r="AI2384" s="750">
        <v>0.6</v>
      </c>
      <c r="AJ2384" s="750"/>
      <c r="AK2384" s="750"/>
      <c r="AL2384" s="750"/>
      <c r="AM2384" s="750">
        <f t="shared" si="746"/>
        <v>13096.628448929929</v>
      </c>
      <c r="AN2384" s="750">
        <f t="shared" si="747"/>
        <v>13096.628448929929</v>
      </c>
      <c r="AO2384" s="750">
        <f>(((U2384+AA2384+AG2384+AH2384)*AI2384)+(U2384+AA2384+AG2384+AH2384))*1.08</f>
        <v>12942.707544913197</v>
      </c>
      <c r="AP2384" s="750">
        <f>(((U2384+AB2384+AG2384+AH2384)*AI2384)+(U2384+AB2384+AG2384+AH2384))*1.08</f>
        <v>12942.707544913197</v>
      </c>
      <c r="AQ2384" s="750"/>
      <c r="AR2384" s="750"/>
      <c r="AS2384" s="750"/>
      <c r="AT2384" s="750">
        <f>(((U2384+AF2384+AG2384+AH2384)*AI2384)+(U2384+AF2384+AG2384+AH2384))*1.08</f>
        <v>12942.707544913197</v>
      </c>
      <c r="AU2384" s="107"/>
    </row>
    <row r="2385" spans="3:47" s="29" customFormat="1" ht="63.75" x14ac:dyDescent="0.25">
      <c r="C2385" s="1002" t="s">
        <v>370</v>
      </c>
      <c r="D2385" s="116" t="s">
        <v>381</v>
      </c>
      <c r="E2385" s="116" t="s">
        <v>1098</v>
      </c>
      <c r="F2385" s="116" t="s">
        <v>1099</v>
      </c>
      <c r="G2385" s="116" t="s">
        <v>1100</v>
      </c>
      <c r="M2385" s="750" t="s">
        <v>349</v>
      </c>
      <c r="N2385" s="750">
        <f>S15</f>
        <v>41</v>
      </c>
      <c r="O2385" s="750" t="str">
        <f>R15</f>
        <v>g</v>
      </c>
      <c r="P2385" s="750">
        <v>80</v>
      </c>
      <c r="Q2385" s="750">
        <f t="shared" si="744"/>
        <v>3280</v>
      </c>
      <c r="R2385" s="750">
        <f>AN3</f>
        <v>0.47</v>
      </c>
      <c r="S2385" s="750">
        <f t="shared" si="748"/>
        <v>37.599999999999994</v>
      </c>
      <c r="T2385" s="750">
        <f t="shared" si="749"/>
        <v>42.400000000000006</v>
      </c>
      <c r="U2385" s="750">
        <f t="shared" si="750"/>
        <v>4821.6000000000004</v>
      </c>
      <c r="V2385" s="577">
        <f t="shared" ref="V2385" si="756">$AR$8</f>
        <v>267.22379169571428</v>
      </c>
      <c r="W2385" s="577">
        <f t="shared" ref="W2385" si="757">$AR$9</f>
        <v>178.14919446380952</v>
      </c>
      <c r="X2385" s="577">
        <f t="shared" ref="X2385" si="758">$AR$10</f>
        <v>267.22379169571428</v>
      </c>
      <c r="Y2385" s="577">
        <f t="shared" si="752"/>
        <v>267.22379169571428</v>
      </c>
      <c r="Z2385" s="577">
        <f t="shared" si="753"/>
        <v>267.22379169571428</v>
      </c>
      <c r="AA2385" s="577">
        <f t="shared" si="754"/>
        <v>178.14919446380952</v>
      </c>
      <c r="AB2385" s="577">
        <f t="shared" si="755"/>
        <v>178.14919446380952</v>
      </c>
      <c r="AC2385" s="577">
        <f t="shared" ref="AC2385" si="759">$AR$15</f>
        <v>267.22379169571428</v>
      </c>
      <c r="AD2385" s="577" t="s">
        <v>1963</v>
      </c>
      <c r="AE2385" s="577" t="s">
        <v>1963</v>
      </c>
      <c r="AF2385" s="577" t="s">
        <v>1963</v>
      </c>
      <c r="AG2385" s="750">
        <f t="shared" si="751"/>
        <v>18.899999999999999</v>
      </c>
      <c r="AH2385" s="750">
        <f t="shared" si="745"/>
        <v>1547.3435977313275</v>
      </c>
      <c r="AI2385" s="750">
        <v>0.6</v>
      </c>
      <c r="AJ2385" s="750">
        <f>(((U2385+V2385+AG2385+AH2385)*AI2385)+(U2385+V2385+AG2385+AH2385))*1.08</f>
        <v>11499.95644892993</v>
      </c>
      <c r="AK2385" s="750">
        <f>(((U2385+W2385+AG2385+AH2385)*AI2385)+(U2385+W2385+AG2385+AH2385))*1.08</f>
        <v>11346.035544913197</v>
      </c>
      <c r="AL2385" s="750">
        <f>(((U2385+X2385+AG2385+AH2385)*AI2385)+(U2385+X2385+AG2385+AH2385))*1.08</f>
        <v>11499.95644892993</v>
      </c>
      <c r="AM2385" s="750">
        <f t="shared" si="746"/>
        <v>11499.95644892993</v>
      </c>
      <c r="AN2385" s="750">
        <f t="shared" si="747"/>
        <v>11499.95644892993</v>
      </c>
      <c r="AO2385" s="750">
        <f>(((U2385+AA2385+AG2385+AH2385)*AI2385)+(U2385+AA2385+AG2385+AH2385))*1.08</f>
        <v>11346.035544913197</v>
      </c>
      <c r="AP2385" s="750">
        <f>(((U2385+AB2385+AG2385+AH2385)*AI2385)+(U2385+AB2385+AG2385+AH2385))*1.08</f>
        <v>11346.035544913197</v>
      </c>
      <c r="AQ2385" s="750">
        <f>(((U2385+AC2385+AG2385+AH2385)*AI2385)+(U2385+AC2385+AG2385+AH2385))*1.08</f>
        <v>11499.95644892993</v>
      </c>
      <c r="AR2385" s="750"/>
      <c r="AS2385" s="750"/>
      <c r="AT2385" s="750"/>
      <c r="AU2385" s="107"/>
    </row>
    <row r="2386" spans="3:47" s="29" customFormat="1" ht="76.5" x14ac:dyDescent="0.25">
      <c r="C2386" s="1002"/>
      <c r="D2386" s="116" t="s">
        <v>372</v>
      </c>
      <c r="E2386" s="116" t="s">
        <v>1101</v>
      </c>
      <c r="F2386" s="116" t="s">
        <v>1102</v>
      </c>
      <c r="G2386" s="116" t="s">
        <v>1103</v>
      </c>
      <c r="M2386" s="750" t="s">
        <v>458</v>
      </c>
      <c r="N2386" s="750">
        <f>S10</f>
        <v>32.46</v>
      </c>
      <c r="O2386" s="750" t="str">
        <f>R10</f>
        <v>g</v>
      </c>
      <c r="P2386" s="750">
        <v>80</v>
      </c>
      <c r="Q2386" s="750">
        <f t="shared" si="744"/>
        <v>2596.8000000000002</v>
      </c>
      <c r="R2386" s="750">
        <v>0</v>
      </c>
      <c r="S2386" s="750">
        <f t="shared" si="748"/>
        <v>0</v>
      </c>
      <c r="T2386" s="750">
        <f t="shared" si="749"/>
        <v>80</v>
      </c>
      <c r="U2386" s="750">
        <f t="shared" si="750"/>
        <v>2596.8000000000002</v>
      </c>
      <c r="V2386" s="577" t="s">
        <v>1963</v>
      </c>
      <c r="W2386" s="577" t="s">
        <v>1963</v>
      </c>
      <c r="X2386" s="577" t="s">
        <v>1963</v>
      </c>
      <c r="Y2386" s="577">
        <f t="shared" si="752"/>
        <v>267.22379169571428</v>
      </c>
      <c r="Z2386" s="577">
        <f t="shared" si="753"/>
        <v>267.22379169571428</v>
      </c>
      <c r="AA2386" s="577" t="s">
        <v>1963</v>
      </c>
      <c r="AB2386" s="577" t="s">
        <v>1963</v>
      </c>
      <c r="AC2386" s="577" t="s">
        <v>1963</v>
      </c>
      <c r="AD2386" s="577" t="s">
        <v>1963</v>
      </c>
      <c r="AE2386" s="577" t="s">
        <v>1963</v>
      </c>
      <c r="AF2386" s="577" t="s">
        <v>1963</v>
      </c>
      <c r="AG2386" s="750">
        <f t="shared" si="751"/>
        <v>18.899999999999999</v>
      </c>
      <c r="AH2386" s="750">
        <f t="shared" si="745"/>
        <v>1547.3435977313275</v>
      </c>
      <c r="AI2386" s="750">
        <v>0.6</v>
      </c>
      <c r="AJ2386" s="750"/>
      <c r="AK2386" s="750"/>
      <c r="AL2386" s="750"/>
      <c r="AM2386" s="750">
        <f t="shared" si="746"/>
        <v>7655.5020489299286</v>
      </c>
      <c r="AN2386" s="750">
        <f t="shared" si="747"/>
        <v>7655.5020489299286</v>
      </c>
      <c r="AO2386" s="750"/>
      <c r="AP2386" s="750"/>
      <c r="AQ2386" s="750"/>
      <c r="AR2386" s="750"/>
      <c r="AS2386" s="750"/>
      <c r="AT2386" s="750"/>
      <c r="AU2386" s="107"/>
    </row>
    <row r="2387" spans="3:47" s="29" customFormat="1" x14ac:dyDescent="0.25">
      <c r="M2387" s="750" t="s">
        <v>485</v>
      </c>
      <c r="N2387" s="750">
        <f>V12</f>
        <v>25.98</v>
      </c>
      <c r="O2387" s="750" t="str">
        <f>U12</f>
        <v>g</v>
      </c>
      <c r="P2387" s="750">
        <v>30</v>
      </c>
      <c r="Q2387" s="750">
        <f t="shared" si="744"/>
        <v>779.4</v>
      </c>
      <c r="R2387" s="750">
        <v>0</v>
      </c>
      <c r="S2387" s="750">
        <f t="shared" si="748"/>
        <v>0</v>
      </c>
      <c r="T2387" s="750">
        <f t="shared" si="749"/>
        <v>30</v>
      </c>
      <c r="U2387" s="750">
        <f t="shared" si="750"/>
        <v>779.4</v>
      </c>
      <c r="V2387" s="577" t="s">
        <v>1963</v>
      </c>
      <c r="W2387" s="577" t="s">
        <v>1963</v>
      </c>
      <c r="X2387" s="577" t="s">
        <v>1963</v>
      </c>
      <c r="Y2387" s="577">
        <f>AO26</f>
        <v>953.74829894127811</v>
      </c>
      <c r="Z2387" s="577" t="s">
        <v>1963</v>
      </c>
      <c r="AA2387" s="577">
        <f>AO26</f>
        <v>953.74829894127811</v>
      </c>
      <c r="AB2387" s="577" t="s">
        <v>1963</v>
      </c>
      <c r="AC2387" s="577" t="s">
        <v>1963</v>
      </c>
      <c r="AD2387" s="577" t="s">
        <v>1963</v>
      </c>
      <c r="AE2387" s="577" t="s">
        <v>1963</v>
      </c>
      <c r="AF2387" s="577" t="s">
        <v>1963</v>
      </c>
      <c r="AG2387" s="750">
        <f t="shared" si="751"/>
        <v>18.899999999999999</v>
      </c>
      <c r="AH2387" s="750">
        <f t="shared" si="745"/>
        <v>1547.3435977313275</v>
      </c>
      <c r="AI2387" s="750">
        <v>0.6</v>
      </c>
      <c r="AJ2387" s="750"/>
      <c r="AK2387" s="750"/>
      <c r="AL2387" s="750"/>
      <c r="AM2387" s="750">
        <f t="shared" si="746"/>
        <v>5701.3491974502631</v>
      </c>
      <c r="AN2387" s="750"/>
      <c r="AO2387" s="750">
        <f>(((U2387+AA2387+AG2387+AH2387)*AI2387)+(U2387+AA2387+AG2387+AH2387))*1.08</f>
        <v>5701.3491974502631</v>
      </c>
      <c r="AP2387" s="750"/>
      <c r="AQ2387" s="750"/>
      <c r="AR2387" s="750"/>
      <c r="AS2387" s="750"/>
      <c r="AT2387" s="750"/>
      <c r="AU2387" s="107"/>
    </row>
    <row r="2388" spans="3:47" s="29" customFormat="1" x14ac:dyDescent="0.25">
      <c r="M2388" s="750" t="s">
        <v>808</v>
      </c>
      <c r="N2388" s="750">
        <f>S13</f>
        <v>53.54</v>
      </c>
      <c r="O2388" s="750" t="str">
        <f>R13</f>
        <v>g</v>
      </c>
      <c r="P2388" s="750">
        <v>80</v>
      </c>
      <c r="Q2388" s="750">
        <f t="shared" si="744"/>
        <v>4283.2</v>
      </c>
      <c r="R2388" s="750">
        <f>AN9</f>
        <v>0.52</v>
      </c>
      <c r="S2388" s="750">
        <f t="shared" si="748"/>
        <v>41.6</v>
      </c>
      <c r="T2388" s="750">
        <f t="shared" si="749"/>
        <v>38.4</v>
      </c>
      <c r="U2388" s="750">
        <f t="shared" si="750"/>
        <v>6510.4639999999999</v>
      </c>
      <c r="V2388" s="577" t="s">
        <v>1963</v>
      </c>
      <c r="W2388" s="577" t="s">
        <v>1963</v>
      </c>
      <c r="X2388" s="577" t="s">
        <v>1963</v>
      </c>
      <c r="Y2388" s="577">
        <f t="shared" ref="Y2388:Y2389" si="760">$AR$11</f>
        <v>267.22379169571428</v>
      </c>
      <c r="Z2388" s="577" t="s">
        <v>1963</v>
      </c>
      <c r="AA2388" s="577" t="s">
        <v>1963</v>
      </c>
      <c r="AB2388" s="577" t="s">
        <v>1963</v>
      </c>
      <c r="AC2388" s="577" t="s">
        <v>1963</v>
      </c>
      <c r="AD2388" s="577" t="s">
        <v>1963</v>
      </c>
      <c r="AE2388" s="577">
        <f t="shared" ref="AE2388:AE2405" si="761">$AR$17</f>
        <v>178.14919446380952</v>
      </c>
      <c r="AF2388" s="577" t="s">
        <v>1963</v>
      </c>
      <c r="AG2388" s="750">
        <f t="shared" si="751"/>
        <v>18.899999999999999</v>
      </c>
      <c r="AH2388" s="750">
        <f t="shared" si="745"/>
        <v>1547.3435977313275</v>
      </c>
      <c r="AI2388" s="750">
        <v>0.6</v>
      </c>
      <c r="AJ2388" s="750"/>
      <c r="AK2388" s="750"/>
      <c r="AL2388" s="750"/>
      <c r="AM2388" s="750">
        <f t="shared" si="746"/>
        <v>14418.313440929929</v>
      </c>
      <c r="AN2388" s="750"/>
      <c r="AO2388" s="750"/>
      <c r="AP2388" s="750"/>
      <c r="AQ2388" s="750"/>
      <c r="AR2388" s="750"/>
      <c r="AS2388" s="750">
        <f>(((U2388+AE2388+AG2388+AH2388)*AI2388)+(U2388+AE2388+AG2388+AH2388))*1.08</f>
        <v>14264.392536913196</v>
      </c>
      <c r="AT2388" s="750"/>
      <c r="AU2388" s="107"/>
    </row>
    <row r="2389" spans="3:47" s="29" customFormat="1" x14ac:dyDescent="0.25">
      <c r="M2389" s="750" t="s">
        <v>469</v>
      </c>
      <c r="N2389" s="750">
        <f>S17</f>
        <v>153.78</v>
      </c>
      <c r="O2389" s="750" t="str">
        <f>R17</f>
        <v>g</v>
      </c>
      <c r="P2389" s="750">
        <v>80</v>
      </c>
      <c r="Q2389" s="750">
        <f t="shared" si="744"/>
        <v>12302.4</v>
      </c>
      <c r="R2389" s="750">
        <f>AN9</f>
        <v>0.52</v>
      </c>
      <c r="S2389" s="750">
        <f t="shared" si="748"/>
        <v>41.6</v>
      </c>
      <c r="T2389" s="750">
        <f t="shared" si="749"/>
        <v>38.4</v>
      </c>
      <c r="U2389" s="750">
        <f t="shared" si="750"/>
        <v>18699.648000000001</v>
      </c>
      <c r="V2389" s="577" t="s">
        <v>1963</v>
      </c>
      <c r="W2389" s="577">
        <f t="shared" ref="W2389" si="762">$AR$9</f>
        <v>178.14919446380952</v>
      </c>
      <c r="X2389" s="577" t="s">
        <v>1963</v>
      </c>
      <c r="Y2389" s="577">
        <f t="shared" si="760"/>
        <v>267.22379169571428</v>
      </c>
      <c r="Z2389" s="577" t="s">
        <v>1963</v>
      </c>
      <c r="AA2389" s="577" t="s">
        <v>1963</v>
      </c>
      <c r="AB2389" s="577" t="s">
        <v>1963</v>
      </c>
      <c r="AC2389" s="577" t="s">
        <v>1963</v>
      </c>
      <c r="AD2389" s="577">
        <f t="shared" ref="AD2389" si="763">$AR$16</f>
        <v>178.14919446380952</v>
      </c>
      <c r="AE2389" s="577">
        <f t="shared" si="761"/>
        <v>178.14919446380952</v>
      </c>
      <c r="AF2389" s="577">
        <f t="shared" ref="AF2389" si="764">$AR$18</f>
        <v>178.14919446380952</v>
      </c>
      <c r="AG2389" s="750">
        <f t="shared" si="751"/>
        <v>18.899999999999999</v>
      </c>
      <c r="AH2389" s="750">
        <f t="shared" si="745"/>
        <v>1547.3435977313275</v>
      </c>
      <c r="AI2389" s="750">
        <v>0.6</v>
      </c>
      <c r="AJ2389" s="750"/>
      <c r="AK2389" s="750">
        <f>(((U2389+W2389+AG2389+AH2389)*AI2389)+(U2389+W2389+AG2389+AH2389))*1.08</f>
        <v>35327.302488913207</v>
      </c>
      <c r="AL2389" s="750"/>
      <c r="AM2389" s="750">
        <f t="shared" si="746"/>
        <v>35481.223392929933</v>
      </c>
      <c r="AN2389" s="750"/>
      <c r="AO2389" s="750"/>
      <c r="AP2389" s="750"/>
      <c r="AQ2389" s="750"/>
      <c r="AR2389" s="750">
        <f>(((U2389+AD2389+AG2389+AH2389)*AI2389)+(U2389+AD2389+AG2389+AH2389))*1.08</f>
        <v>35327.302488913207</v>
      </c>
      <c r="AS2389" s="750">
        <f>(((U2389+AE2389+AG2389+AH2389)*AI2389)+(U2389+AE2389+AG2389+AH2389))*1.08</f>
        <v>35327.302488913207</v>
      </c>
      <c r="AT2389" s="750">
        <f>(((U2389+AF2389+AG2389+AH2389)*AI2389)+(U2389+AF2389+AG2389+AH2389))*1.08</f>
        <v>35327.302488913207</v>
      </c>
      <c r="AU2389" s="107"/>
    </row>
    <row r="2390" spans="3:47" s="29" customFormat="1" x14ac:dyDescent="0.25">
      <c r="M2390" s="750" t="s">
        <v>809</v>
      </c>
      <c r="N2390" s="750">
        <f>S11</f>
        <v>123</v>
      </c>
      <c r="O2390" s="750" t="str">
        <f>R11</f>
        <v>g</v>
      </c>
      <c r="P2390" s="750">
        <v>80</v>
      </c>
      <c r="Q2390" s="750">
        <f t="shared" si="744"/>
        <v>9840</v>
      </c>
      <c r="R2390" s="750">
        <f>AN9</f>
        <v>0.52</v>
      </c>
      <c r="S2390" s="750">
        <f t="shared" si="748"/>
        <v>41.6</v>
      </c>
      <c r="T2390" s="750">
        <f t="shared" si="749"/>
        <v>38.4</v>
      </c>
      <c r="U2390" s="750">
        <f t="shared" si="750"/>
        <v>14956.8</v>
      </c>
      <c r="V2390" s="577" t="s">
        <v>1963</v>
      </c>
      <c r="W2390" s="577">
        <f t="shared" ref="W2390:W2391" si="765">$AR$9</f>
        <v>178.14919446380952</v>
      </c>
      <c r="X2390" s="577" t="s">
        <v>1963</v>
      </c>
      <c r="Y2390" s="577" t="s">
        <v>1963</v>
      </c>
      <c r="Z2390" s="577">
        <f t="shared" ref="Z2390:Z2391" si="766">$AR$12</f>
        <v>267.22379169571428</v>
      </c>
      <c r="AA2390" s="577" t="s">
        <v>1963</v>
      </c>
      <c r="AB2390" s="577" t="s">
        <v>1963</v>
      </c>
      <c r="AC2390" s="577" t="s">
        <v>1963</v>
      </c>
      <c r="AD2390" s="577" t="s">
        <v>1963</v>
      </c>
      <c r="AE2390" s="577" t="s">
        <v>1963</v>
      </c>
      <c r="AF2390" s="577">
        <f t="shared" ref="AF2390:AF2405" si="767">$AR$18</f>
        <v>178.14919446380952</v>
      </c>
      <c r="AG2390" s="750">
        <f t="shared" si="751"/>
        <v>18.899999999999999</v>
      </c>
      <c r="AH2390" s="750">
        <f t="shared" si="745"/>
        <v>1547.3435977313275</v>
      </c>
      <c r="AI2390" s="750">
        <v>0.6</v>
      </c>
      <c r="AJ2390" s="750"/>
      <c r="AK2390" s="750">
        <f>(((U2390+W2390+AG2390+AH2390)*AI2390)+(U2390+W2390+AG2390+AH2390))*1.08</f>
        <v>28859.661144913192</v>
      </c>
      <c r="AL2390" s="750"/>
      <c r="AM2390" s="750"/>
      <c r="AN2390" s="750">
        <f>(((U2390+Z2390+AG2390+AH2390)*AI2390)+(U2390+Z2390+AG2390+AH2390))*1.08</f>
        <v>29013.582048929926</v>
      </c>
      <c r="AO2390" s="750"/>
      <c r="AP2390" s="750"/>
      <c r="AQ2390" s="750"/>
      <c r="AR2390" s="750"/>
      <c r="AS2390" s="750"/>
      <c r="AT2390" s="750">
        <f>(((U2390+AF2390+AG2390+AH2390)*AI2390)+(U2390+AF2390+AG2390+AH2390))*1.08</f>
        <v>28859.661144913192</v>
      </c>
      <c r="AU2390" s="107"/>
    </row>
    <row r="2391" spans="3:47" s="29" customFormat="1" x14ac:dyDescent="0.25">
      <c r="M2391" s="750" t="s">
        <v>459</v>
      </c>
      <c r="N2391" s="750">
        <f>S6</f>
        <v>30</v>
      </c>
      <c r="O2391" s="750" t="str">
        <f>R6</f>
        <v>g</v>
      </c>
      <c r="P2391" s="750">
        <v>70</v>
      </c>
      <c r="Q2391" s="750">
        <f t="shared" si="744"/>
        <v>2100</v>
      </c>
      <c r="R2391" s="750">
        <f>AN6</f>
        <v>0</v>
      </c>
      <c r="S2391" s="750">
        <f t="shared" si="748"/>
        <v>0</v>
      </c>
      <c r="T2391" s="750">
        <f t="shared" si="749"/>
        <v>70</v>
      </c>
      <c r="U2391" s="750">
        <f t="shared" si="750"/>
        <v>2100</v>
      </c>
      <c r="V2391" s="577" t="s">
        <v>1963</v>
      </c>
      <c r="W2391" s="577">
        <f t="shared" si="765"/>
        <v>178.14919446380952</v>
      </c>
      <c r="X2391" s="577" t="s">
        <v>1963</v>
      </c>
      <c r="Y2391" s="577" t="s">
        <v>1963</v>
      </c>
      <c r="Z2391" s="577">
        <f t="shared" si="766"/>
        <v>267.22379169571428</v>
      </c>
      <c r="AA2391" s="577" t="s">
        <v>1963</v>
      </c>
      <c r="AB2391" s="577" t="s">
        <v>1963</v>
      </c>
      <c r="AC2391" s="577" t="s">
        <v>1963</v>
      </c>
      <c r="AD2391" s="577" t="s">
        <v>1963</v>
      </c>
      <c r="AE2391" s="577" t="s">
        <v>1963</v>
      </c>
      <c r="AF2391" s="577">
        <f t="shared" si="767"/>
        <v>178.14919446380952</v>
      </c>
      <c r="AG2391" s="750">
        <f t="shared" si="751"/>
        <v>18.899999999999999</v>
      </c>
      <c r="AH2391" s="750">
        <f t="shared" si="745"/>
        <v>1547.3435977313275</v>
      </c>
      <c r="AI2391" s="750">
        <v>0.6</v>
      </c>
      <c r="AJ2391" s="750"/>
      <c r="AK2391" s="750">
        <f>(((U2391+W2391+AG2391+AH2391)*AI2391)+(U2391+W2391+AG2391+AH2391))*1.08</f>
        <v>6643.1107449131969</v>
      </c>
      <c r="AL2391" s="750"/>
      <c r="AM2391" s="750"/>
      <c r="AN2391" s="750">
        <f>(((U2391+Z2391+AG2391+AH2391)*AI2391)+(U2391+Z2391+AG2391+AH2391))*1.08</f>
        <v>6797.0316489299285</v>
      </c>
      <c r="AO2391" s="750"/>
      <c r="AP2391" s="750"/>
      <c r="AQ2391" s="750"/>
      <c r="AR2391" s="750"/>
      <c r="AS2391" s="750"/>
      <c r="AT2391" s="750">
        <f>(((U2391+AF2391+AG2391+AH2391)*AI2391)+(U2391+AF2391+AG2391+AH2391))*1.08</f>
        <v>6643.1107449131969</v>
      </c>
      <c r="AU2391" s="107"/>
    </row>
    <row r="2392" spans="3:47" s="29" customFormat="1" x14ac:dyDescent="0.25">
      <c r="M2392" s="750" t="s">
        <v>454</v>
      </c>
      <c r="N2392" s="750">
        <f>P14</f>
        <v>18.86</v>
      </c>
      <c r="O2392" s="750" t="str">
        <f>O14</f>
        <v>g</v>
      </c>
      <c r="P2392" s="750">
        <v>30</v>
      </c>
      <c r="Q2392" s="750">
        <f t="shared" si="744"/>
        <v>565.79999999999995</v>
      </c>
      <c r="R2392" s="750">
        <v>0</v>
      </c>
      <c r="S2392" s="750">
        <f t="shared" si="748"/>
        <v>0</v>
      </c>
      <c r="T2392" s="750">
        <f t="shared" si="749"/>
        <v>30</v>
      </c>
      <c r="U2392" s="750">
        <f t="shared" si="750"/>
        <v>565.79999999999995</v>
      </c>
      <c r="V2392" s="577" t="s">
        <v>1963</v>
      </c>
      <c r="W2392" s="577" t="s">
        <v>1963</v>
      </c>
      <c r="X2392" s="577" t="s">
        <v>1963</v>
      </c>
      <c r="Y2392" s="577" t="s">
        <v>1963</v>
      </c>
      <c r="Z2392" s="577" t="s">
        <v>1963</v>
      </c>
      <c r="AA2392" s="577" t="s">
        <v>1963</v>
      </c>
      <c r="AB2392" s="577" t="s">
        <v>1963</v>
      </c>
      <c r="AC2392" s="577" t="s">
        <v>1963</v>
      </c>
      <c r="AD2392" s="577" t="s">
        <v>1963</v>
      </c>
      <c r="AE2392" s="577">
        <f t="shared" si="761"/>
        <v>178.14919446380952</v>
      </c>
      <c r="AF2392" s="577">
        <f t="shared" si="767"/>
        <v>178.14919446380952</v>
      </c>
      <c r="AG2392" s="750">
        <f t="shared" si="751"/>
        <v>18.899999999999999</v>
      </c>
      <c r="AH2392" s="750">
        <f t="shared" si="745"/>
        <v>1547.3435977313275</v>
      </c>
      <c r="AI2392" s="750">
        <v>0.6</v>
      </c>
      <c r="AJ2392" s="750"/>
      <c r="AK2392" s="750"/>
      <c r="AL2392" s="750"/>
      <c r="AM2392" s="750"/>
      <c r="AN2392" s="750"/>
      <c r="AO2392" s="750"/>
      <c r="AP2392" s="750"/>
      <c r="AQ2392" s="750"/>
      <c r="AR2392" s="750"/>
      <c r="AS2392" s="750">
        <f>(((U2392+AE2392+AG2392+AH2392)*AI2392)+(U2392+AE2392+AG2392+AH2392))*1.08</f>
        <v>3992.0131449131968</v>
      </c>
      <c r="AT2392" s="750">
        <f>(((U2392+AF2392+AG2392+AH2392)*AI2392)+(U2392+AF2392+AG2392+AH2392))*1.08</f>
        <v>3992.0131449131968</v>
      </c>
      <c r="AU2392" s="107"/>
    </row>
    <row r="2393" spans="3:47" s="29" customFormat="1" x14ac:dyDescent="0.25">
      <c r="M2393" s="750" t="s">
        <v>541</v>
      </c>
      <c r="N2393" s="750">
        <f>V16</f>
        <v>54.41</v>
      </c>
      <c r="O2393" s="750" t="str">
        <f>U16</f>
        <v>g</v>
      </c>
      <c r="P2393" s="750">
        <v>40</v>
      </c>
      <c r="Q2393" s="750">
        <f t="shared" si="744"/>
        <v>2176.3999999999996</v>
      </c>
      <c r="R2393" s="750">
        <v>0</v>
      </c>
      <c r="S2393" s="750">
        <f t="shared" si="748"/>
        <v>0</v>
      </c>
      <c r="T2393" s="750">
        <f t="shared" si="749"/>
        <v>40</v>
      </c>
      <c r="U2393" s="750">
        <f t="shared" si="750"/>
        <v>2176.3999999999996</v>
      </c>
      <c r="V2393" s="577" t="s">
        <v>1963</v>
      </c>
      <c r="W2393" s="577" t="s">
        <v>1963</v>
      </c>
      <c r="X2393" s="577" t="s">
        <v>1963</v>
      </c>
      <c r="Y2393" s="577">
        <f>AO26</f>
        <v>953.74829894127811</v>
      </c>
      <c r="Z2393" s="577" t="s">
        <v>1963</v>
      </c>
      <c r="AA2393" s="577">
        <f>AO26</f>
        <v>953.74829894127811</v>
      </c>
      <c r="AB2393" s="577" t="s">
        <v>1963</v>
      </c>
      <c r="AC2393" s="577" t="s">
        <v>1963</v>
      </c>
      <c r="AD2393" s="577" t="s">
        <v>1963</v>
      </c>
      <c r="AE2393" s="577" t="s">
        <v>1963</v>
      </c>
      <c r="AF2393" s="577" t="s">
        <v>1963</v>
      </c>
      <c r="AG2393" s="750">
        <f t="shared" si="751"/>
        <v>18.899999999999999</v>
      </c>
      <c r="AH2393" s="750">
        <f t="shared" si="745"/>
        <v>1547.3435977313275</v>
      </c>
      <c r="AI2393" s="750">
        <v>0.6</v>
      </c>
      <c r="AJ2393" s="750"/>
      <c r="AK2393" s="750"/>
      <c r="AL2393" s="750"/>
      <c r="AM2393" s="750">
        <f>(((U2393+Y2393+AG2393+AH2393)*AI2393)+(U2393+Y2393+AG2393+AH2393))*1.08</f>
        <v>8115.3651974502618</v>
      </c>
      <c r="AN2393" s="750"/>
      <c r="AO2393" s="750">
        <f>(((U2393+AA2393+AG2393+AH2393)*AI2393)+(U2393+AA2393+AG2393+AH2393))*1.08</f>
        <v>8115.3651974502618</v>
      </c>
      <c r="AP2393" s="750"/>
      <c r="AQ2393" s="750"/>
      <c r="AR2393" s="750"/>
      <c r="AS2393" s="750"/>
      <c r="AT2393" s="750"/>
      <c r="AU2393" s="107"/>
    </row>
    <row r="2394" spans="3:47" s="29" customFormat="1" x14ac:dyDescent="0.25">
      <c r="M2394" s="750" t="s">
        <v>540</v>
      </c>
      <c r="N2394" s="750">
        <f>P18</f>
        <v>5</v>
      </c>
      <c r="O2394" s="750" t="str">
        <f>O18</f>
        <v>g</v>
      </c>
      <c r="P2394" s="750">
        <v>50</v>
      </c>
      <c r="Q2394" s="750">
        <f t="shared" si="744"/>
        <v>250</v>
      </c>
      <c r="R2394" s="750">
        <f>AJ11</f>
        <v>0.23</v>
      </c>
      <c r="S2394" s="750">
        <f t="shared" si="748"/>
        <v>11.5</v>
      </c>
      <c r="T2394" s="750">
        <f t="shared" si="749"/>
        <v>38.5</v>
      </c>
      <c r="U2394" s="750">
        <f t="shared" si="750"/>
        <v>307.5</v>
      </c>
      <c r="V2394" s="577" t="s">
        <v>1963</v>
      </c>
      <c r="W2394" s="577" t="s">
        <v>1963</v>
      </c>
      <c r="X2394" s="577" t="s">
        <v>1963</v>
      </c>
      <c r="Y2394" s="577" t="s">
        <v>1963</v>
      </c>
      <c r="Z2394" s="577" t="s">
        <v>1963</v>
      </c>
      <c r="AA2394" s="577" t="s">
        <v>1963</v>
      </c>
      <c r="AB2394" s="577" t="s">
        <v>1963</v>
      </c>
      <c r="AC2394" s="577" t="s">
        <v>1963</v>
      </c>
      <c r="AD2394" s="577" t="s">
        <v>1963</v>
      </c>
      <c r="AE2394" s="577">
        <f t="shared" si="761"/>
        <v>178.14919446380952</v>
      </c>
      <c r="AF2394" s="577">
        <f t="shared" si="767"/>
        <v>178.14919446380952</v>
      </c>
      <c r="AG2394" s="750">
        <f t="shared" si="751"/>
        <v>18.899999999999999</v>
      </c>
      <c r="AH2394" s="750">
        <f t="shared" si="745"/>
        <v>1547.3435977313275</v>
      </c>
      <c r="AI2394" s="750">
        <v>0.6</v>
      </c>
      <c r="AJ2394" s="750"/>
      <c r="AK2394" s="750"/>
      <c r="AL2394" s="750"/>
      <c r="AM2394" s="750"/>
      <c r="AN2394" s="750"/>
      <c r="AO2394" s="750"/>
      <c r="AP2394" s="750"/>
      <c r="AQ2394" s="750"/>
      <c r="AR2394" s="750"/>
      <c r="AS2394" s="750">
        <f t="shared" ref="AS2394:AS2405" si="768">(((U2394+AE2394+AG2394+AH2394)*AI2394)+(U2394+AE2394+AG2394+AH2394))*1.08</f>
        <v>3545.6707449131973</v>
      </c>
      <c r="AT2394" s="750">
        <f>(((U2394+AF2394+AG2394+AH2394)*AI2394)+(U2394+AF2394+AG2394+AH2394))*1.08</f>
        <v>3545.6707449131973</v>
      </c>
      <c r="AU2394" s="107"/>
    </row>
    <row r="2395" spans="3:47" s="29" customFormat="1" x14ac:dyDescent="0.25">
      <c r="M2395" s="750" t="s">
        <v>672</v>
      </c>
      <c r="N2395" s="750">
        <f>P8</f>
        <v>3.3330000000000002</v>
      </c>
      <c r="O2395" s="750" t="str">
        <f>O8</f>
        <v>g</v>
      </c>
      <c r="P2395" s="750">
        <v>80</v>
      </c>
      <c r="Q2395" s="750">
        <f t="shared" si="744"/>
        <v>266.64</v>
      </c>
      <c r="R2395" s="750">
        <f>AJ6</f>
        <v>0.5</v>
      </c>
      <c r="S2395" s="750">
        <f t="shared" si="748"/>
        <v>40</v>
      </c>
      <c r="T2395" s="750">
        <f t="shared" si="749"/>
        <v>40</v>
      </c>
      <c r="U2395" s="750">
        <f t="shared" si="750"/>
        <v>399.96</v>
      </c>
      <c r="V2395" s="577" t="s">
        <v>1963</v>
      </c>
      <c r="W2395" s="577" t="s">
        <v>1963</v>
      </c>
      <c r="X2395" s="577" t="s">
        <v>1963</v>
      </c>
      <c r="Y2395" s="577" t="s">
        <v>1963</v>
      </c>
      <c r="Z2395" s="577" t="s">
        <v>1963</v>
      </c>
      <c r="AA2395" s="577" t="s">
        <v>1963</v>
      </c>
      <c r="AB2395" s="577" t="s">
        <v>1963</v>
      </c>
      <c r="AC2395" s="577" t="s">
        <v>1963</v>
      </c>
      <c r="AD2395" s="577" t="s">
        <v>1963</v>
      </c>
      <c r="AE2395" s="577">
        <f t="shared" si="761"/>
        <v>178.14919446380952</v>
      </c>
      <c r="AF2395" s="577">
        <f t="shared" si="767"/>
        <v>178.14919446380952</v>
      </c>
      <c r="AG2395" s="750">
        <f t="shared" si="751"/>
        <v>18.899999999999999</v>
      </c>
      <c r="AH2395" s="750">
        <f t="shared" si="745"/>
        <v>1547.3435977313275</v>
      </c>
      <c r="AI2395" s="750">
        <v>0.6</v>
      </c>
      <c r="AJ2395" s="750"/>
      <c r="AK2395" s="750"/>
      <c r="AL2395" s="750"/>
      <c r="AM2395" s="750"/>
      <c r="AN2395" s="750"/>
      <c r="AO2395" s="750"/>
      <c r="AP2395" s="750"/>
      <c r="AQ2395" s="750"/>
      <c r="AR2395" s="750"/>
      <c r="AS2395" s="750">
        <f t="shared" si="768"/>
        <v>3705.4416249131968</v>
      </c>
      <c r="AT2395" s="750">
        <f>(((U2395+AF2395+AG2395+AH2395)*AI2395)+(U2395+AF2395+AG2395+AH2395))*1.08</f>
        <v>3705.4416249131968</v>
      </c>
      <c r="AU2395" s="107"/>
    </row>
    <row r="2396" spans="3:47" s="29" customFormat="1" x14ac:dyDescent="0.25">
      <c r="M2396" s="750" t="s">
        <v>436</v>
      </c>
      <c r="N2396" s="750">
        <f>P31</f>
        <v>2.6</v>
      </c>
      <c r="O2396" s="750" t="str">
        <f>O31</f>
        <v>g</v>
      </c>
      <c r="P2396" s="750">
        <v>50</v>
      </c>
      <c r="Q2396" s="750">
        <f t="shared" si="744"/>
        <v>130</v>
      </c>
      <c r="R2396" s="750">
        <f>AJ19</f>
        <v>0.37</v>
      </c>
      <c r="S2396" s="750">
        <f t="shared" si="748"/>
        <v>18.5</v>
      </c>
      <c r="T2396" s="750">
        <f t="shared" si="749"/>
        <v>31.5</v>
      </c>
      <c r="U2396" s="750">
        <f t="shared" si="750"/>
        <v>178.1</v>
      </c>
      <c r="V2396" s="577" t="s">
        <v>1963</v>
      </c>
      <c r="W2396" s="577" t="s">
        <v>1963</v>
      </c>
      <c r="X2396" s="577" t="s">
        <v>1963</v>
      </c>
      <c r="Y2396" s="577" t="s">
        <v>1963</v>
      </c>
      <c r="Z2396" s="577" t="s">
        <v>1963</v>
      </c>
      <c r="AA2396" s="577" t="s">
        <v>1963</v>
      </c>
      <c r="AB2396" s="577" t="s">
        <v>1963</v>
      </c>
      <c r="AC2396" s="577" t="s">
        <v>1963</v>
      </c>
      <c r="AD2396" s="577" t="s">
        <v>1963</v>
      </c>
      <c r="AE2396" s="577">
        <f t="shared" si="761"/>
        <v>178.14919446380952</v>
      </c>
      <c r="AF2396" s="577">
        <f t="shared" si="767"/>
        <v>178.14919446380952</v>
      </c>
      <c r="AG2396" s="750">
        <f t="shared" si="751"/>
        <v>18.899999999999999</v>
      </c>
      <c r="AH2396" s="750">
        <f t="shared" si="745"/>
        <v>1547.3435977313275</v>
      </c>
      <c r="AI2396" s="750">
        <v>0.6</v>
      </c>
      <c r="AJ2396" s="750"/>
      <c r="AK2396" s="750"/>
      <c r="AL2396" s="750"/>
      <c r="AM2396" s="750"/>
      <c r="AN2396" s="750"/>
      <c r="AO2396" s="750"/>
      <c r="AP2396" s="750"/>
      <c r="AQ2396" s="750"/>
      <c r="AR2396" s="750"/>
      <c r="AS2396" s="750">
        <f t="shared" si="768"/>
        <v>3322.0675449131973</v>
      </c>
      <c r="AT2396" s="750">
        <f>(((U2396+AF2396+AG2396+AH2396)*AI2396)+(U2396+AF2396+AG2396+AH2396))*1.08</f>
        <v>3322.0675449131973</v>
      </c>
      <c r="AU2396" s="107"/>
    </row>
    <row r="2397" spans="3:47" s="29" customFormat="1" x14ac:dyDescent="0.25">
      <c r="M2397" s="750" t="s">
        <v>515</v>
      </c>
      <c r="N2397" s="750">
        <f>P6</f>
        <v>7.8</v>
      </c>
      <c r="O2397" s="750" t="str">
        <f>O6</f>
        <v>g</v>
      </c>
      <c r="P2397" s="750">
        <v>30</v>
      </c>
      <c r="Q2397" s="750">
        <f t="shared" si="744"/>
        <v>234</v>
      </c>
      <c r="R2397" s="750">
        <f>AJ4</f>
        <v>0.55000000000000004</v>
      </c>
      <c r="S2397" s="750">
        <f t="shared" si="748"/>
        <v>16.5</v>
      </c>
      <c r="T2397" s="750">
        <f t="shared" si="749"/>
        <v>13.5</v>
      </c>
      <c r="U2397" s="750">
        <f t="shared" si="750"/>
        <v>362.7</v>
      </c>
      <c r="V2397" s="577" t="s">
        <v>1963</v>
      </c>
      <c r="W2397" s="577" t="s">
        <v>1963</v>
      </c>
      <c r="X2397" s="577">
        <f t="shared" ref="X2397:X2403" si="769">$AR$10</f>
        <v>267.22379169571428</v>
      </c>
      <c r="Y2397" s="577" t="s">
        <v>1963</v>
      </c>
      <c r="Z2397" s="577" t="s">
        <v>1963</v>
      </c>
      <c r="AA2397" s="577" t="s">
        <v>1963</v>
      </c>
      <c r="AB2397" s="577" t="s">
        <v>1963</v>
      </c>
      <c r="AC2397" s="577" t="s">
        <v>1963</v>
      </c>
      <c r="AD2397" s="577" t="s">
        <v>1963</v>
      </c>
      <c r="AE2397" s="577">
        <f t="shared" si="761"/>
        <v>178.14919446380952</v>
      </c>
      <c r="AF2397" s="577" t="s">
        <v>1963</v>
      </c>
      <c r="AG2397" s="750">
        <f t="shared" si="751"/>
        <v>18.899999999999999</v>
      </c>
      <c r="AH2397" s="750">
        <f t="shared" si="745"/>
        <v>1547.3435977313275</v>
      </c>
      <c r="AI2397" s="750">
        <v>0.6</v>
      </c>
      <c r="AJ2397" s="750"/>
      <c r="AK2397" s="750"/>
      <c r="AL2397" s="750">
        <f>(((U2397+X2397+AG2397+AH2397)*AI2397)+(U2397+X2397+AG2397+AH2397))*1.08</f>
        <v>3794.977248929928</v>
      </c>
      <c r="AM2397" s="750"/>
      <c r="AN2397" s="750"/>
      <c r="AO2397" s="750"/>
      <c r="AP2397" s="750"/>
      <c r="AQ2397" s="750"/>
      <c r="AR2397" s="750"/>
      <c r="AS2397" s="750">
        <f t="shared" si="768"/>
        <v>3641.0563449131969</v>
      </c>
      <c r="AT2397" s="750"/>
      <c r="AU2397" s="107"/>
    </row>
    <row r="2398" spans="3:47" s="29" customFormat="1" x14ac:dyDescent="0.25">
      <c r="M2398" s="750" t="s">
        <v>510</v>
      </c>
      <c r="N2398" s="750">
        <f>P21</f>
        <v>1.6</v>
      </c>
      <c r="O2398" s="750" t="str">
        <f>O21</f>
        <v>g</v>
      </c>
      <c r="P2398" s="750">
        <v>50</v>
      </c>
      <c r="Q2398" s="750">
        <f t="shared" si="744"/>
        <v>80</v>
      </c>
      <c r="R2398" s="750">
        <f>AJ12</f>
        <v>0</v>
      </c>
      <c r="S2398" s="750">
        <f t="shared" si="748"/>
        <v>0</v>
      </c>
      <c r="T2398" s="750">
        <f t="shared" si="749"/>
        <v>50</v>
      </c>
      <c r="U2398" s="750">
        <f t="shared" si="750"/>
        <v>80</v>
      </c>
      <c r="V2398" s="577" t="s">
        <v>1963</v>
      </c>
      <c r="W2398" s="577" t="s">
        <v>1963</v>
      </c>
      <c r="X2398" s="577">
        <f t="shared" si="769"/>
        <v>267.22379169571428</v>
      </c>
      <c r="Y2398" s="577" t="s">
        <v>1963</v>
      </c>
      <c r="Z2398" s="577" t="s">
        <v>1963</v>
      </c>
      <c r="AA2398" s="577" t="s">
        <v>1963</v>
      </c>
      <c r="AB2398" s="577" t="s">
        <v>1963</v>
      </c>
      <c r="AC2398" s="577" t="s">
        <v>1963</v>
      </c>
      <c r="AD2398" s="577" t="s">
        <v>1963</v>
      </c>
      <c r="AE2398" s="577">
        <f t="shared" si="761"/>
        <v>178.14919446380952</v>
      </c>
      <c r="AF2398" s="577" t="s">
        <v>1963</v>
      </c>
      <c r="AG2398" s="750">
        <f t="shared" si="751"/>
        <v>18.899999999999999</v>
      </c>
      <c r="AH2398" s="750">
        <f t="shared" si="745"/>
        <v>1547.3435977313275</v>
      </c>
      <c r="AI2398" s="750">
        <v>0.6</v>
      </c>
      <c r="AJ2398" s="750"/>
      <c r="AK2398" s="750"/>
      <c r="AL2398" s="750">
        <f>(((U2398+X2398+AG2398+AH2398)*AI2398)+(U2398+X2398+AG2398+AH2398))*1.08</f>
        <v>3306.4716489299285</v>
      </c>
      <c r="AM2398" s="750"/>
      <c r="AN2398" s="750"/>
      <c r="AO2398" s="750"/>
      <c r="AP2398" s="750"/>
      <c r="AQ2398" s="750"/>
      <c r="AR2398" s="750"/>
      <c r="AS2398" s="750">
        <f t="shared" si="768"/>
        <v>3152.5507449131969</v>
      </c>
      <c r="AT2398" s="750"/>
      <c r="AU2398" s="107"/>
    </row>
    <row r="2399" spans="3:47" s="29" customFormat="1" x14ac:dyDescent="0.25">
      <c r="M2399" s="750" t="s">
        <v>653</v>
      </c>
      <c r="N2399" s="750">
        <f>P17</f>
        <v>14.478999999999999</v>
      </c>
      <c r="O2399" s="750" t="str">
        <f>O17</f>
        <v>g</v>
      </c>
      <c r="P2399" s="750">
        <v>50</v>
      </c>
      <c r="Q2399" s="750">
        <f t="shared" si="744"/>
        <v>723.94999999999993</v>
      </c>
      <c r="R2399" s="750">
        <f>AJ10</f>
        <v>0</v>
      </c>
      <c r="S2399" s="750">
        <f t="shared" si="748"/>
        <v>0</v>
      </c>
      <c r="T2399" s="750">
        <f t="shared" si="749"/>
        <v>50</v>
      </c>
      <c r="U2399" s="750">
        <f t="shared" si="750"/>
        <v>723.94999999999993</v>
      </c>
      <c r="V2399" s="577" t="s">
        <v>1963</v>
      </c>
      <c r="W2399" s="577" t="s">
        <v>1963</v>
      </c>
      <c r="X2399" s="577" t="s">
        <v>1963</v>
      </c>
      <c r="Y2399" s="577" t="s">
        <v>1963</v>
      </c>
      <c r="Z2399" s="577" t="s">
        <v>1963</v>
      </c>
      <c r="AA2399" s="577" t="s">
        <v>1963</v>
      </c>
      <c r="AB2399" s="577" t="s">
        <v>1963</v>
      </c>
      <c r="AC2399" s="577" t="s">
        <v>1963</v>
      </c>
      <c r="AD2399" s="577" t="s">
        <v>1963</v>
      </c>
      <c r="AE2399" s="577">
        <f t="shared" si="761"/>
        <v>178.14919446380952</v>
      </c>
      <c r="AF2399" s="577">
        <f t="shared" si="767"/>
        <v>178.14919446380952</v>
      </c>
      <c r="AG2399" s="750">
        <f t="shared" si="751"/>
        <v>18.899999999999999</v>
      </c>
      <c r="AH2399" s="750">
        <f t="shared" si="745"/>
        <v>1547.3435977313275</v>
      </c>
      <c r="AI2399" s="750">
        <v>0.6</v>
      </c>
      <c r="AJ2399" s="750"/>
      <c r="AK2399" s="750"/>
      <c r="AL2399" s="750"/>
      <c r="AM2399" s="750"/>
      <c r="AN2399" s="750"/>
      <c r="AO2399" s="750"/>
      <c r="AP2399" s="750"/>
      <c r="AQ2399" s="750"/>
      <c r="AR2399" s="750"/>
      <c r="AS2399" s="750">
        <f t="shared" si="768"/>
        <v>4265.2963449131967</v>
      </c>
      <c r="AT2399" s="750">
        <f>(((U2399+AF2399+AG2399+AH2399)*AI2399)+(U2399+AF2399+AG2399+AH2399))*1.08</f>
        <v>4265.2963449131967</v>
      </c>
      <c r="AU2399" s="107"/>
    </row>
    <row r="2400" spans="3:47" s="29" customFormat="1" x14ac:dyDescent="0.25">
      <c r="M2400" s="750" t="s">
        <v>435</v>
      </c>
      <c r="N2400" s="750">
        <f>P5</f>
        <v>2.5</v>
      </c>
      <c r="O2400" s="750" t="str">
        <f>O5</f>
        <v>g</v>
      </c>
      <c r="P2400" s="750">
        <v>10</v>
      </c>
      <c r="Q2400" s="750">
        <f t="shared" si="744"/>
        <v>25</v>
      </c>
      <c r="R2400" s="750">
        <f>AJ3</f>
        <v>0.37</v>
      </c>
      <c r="S2400" s="750">
        <f t="shared" si="748"/>
        <v>3.7</v>
      </c>
      <c r="T2400" s="750">
        <f t="shared" si="749"/>
        <v>6.3</v>
      </c>
      <c r="U2400" s="750">
        <f t="shared" si="750"/>
        <v>34.25</v>
      </c>
      <c r="V2400" s="577" t="s">
        <v>1963</v>
      </c>
      <c r="W2400" s="577" t="s">
        <v>1963</v>
      </c>
      <c r="X2400" s="577" t="s">
        <v>1963</v>
      </c>
      <c r="Y2400" s="577" t="s">
        <v>1963</v>
      </c>
      <c r="Z2400" s="577" t="s">
        <v>1963</v>
      </c>
      <c r="AA2400" s="577" t="s">
        <v>1963</v>
      </c>
      <c r="AB2400" s="577" t="s">
        <v>1963</v>
      </c>
      <c r="AC2400" s="577" t="s">
        <v>1963</v>
      </c>
      <c r="AD2400" s="577" t="s">
        <v>1963</v>
      </c>
      <c r="AE2400" s="577">
        <f t="shared" si="761"/>
        <v>178.14919446380952</v>
      </c>
      <c r="AF2400" s="577">
        <f t="shared" si="767"/>
        <v>178.14919446380952</v>
      </c>
      <c r="AG2400" s="750">
        <f t="shared" si="751"/>
        <v>18.899999999999999</v>
      </c>
      <c r="AH2400" s="750">
        <f t="shared" si="745"/>
        <v>1547.3435977313275</v>
      </c>
      <c r="AI2400" s="750">
        <v>0.6</v>
      </c>
      <c r="AJ2400" s="750"/>
      <c r="AK2400" s="750"/>
      <c r="AL2400" s="750"/>
      <c r="AM2400" s="750"/>
      <c r="AN2400" s="750"/>
      <c r="AO2400" s="750"/>
      <c r="AP2400" s="750"/>
      <c r="AQ2400" s="750"/>
      <c r="AR2400" s="750"/>
      <c r="AS2400" s="750">
        <f t="shared" si="768"/>
        <v>3073.4947449131969</v>
      </c>
      <c r="AT2400" s="750">
        <f>(((U2400+AF2400+AG2400+AH2400)*AI2400)+(U2400+AF2400+AG2400+AH2400))*1.08</f>
        <v>3073.4947449131969</v>
      </c>
      <c r="AU2400" s="107"/>
    </row>
    <row r="2401" spans="3:47" s="29" customFormat="1" x14ac:dyDescent="0.25">
      <c r="M2401" s="750" t="s">
        <v>572</v>
      </c>
      <c r="N2401" s="750">
        <f>P30</f>
        <v>3</v>
      </c>
      <c r="O2401" s="750" t="str">
        <f>O30</f>
        <v>g</v>
      </c>
      <c r="P2401" s="750">
        <v>60</v>
      </c>
      <c r="Q2401" s="750">
        <f t="shared" si="744"/>
        <v>180</v>
      </c>
      <c r="R2401" s="750">
        <v>0</v>
      </c>
      <c r="S2401" s="750">
        <f t="shared" si="748"/>
        <v>0</v>
      </c>
      <c r="T2401" s="750">
        <f t="shared" si="749"/>
        <v>60</v>
      </c>
      <c r="U2401" s="750">
        <f t="shared" si="750"/>
        <v>180</v>
      </c>
      <c r="V2401" s="577" t="s">
        <v>1963</v>
      </c>
      <c r="W2401" s="577" t="s">
        <v>1963</v>
      </c>
      <c r="X2401" s="577" t="s">
        <v>1963</v>
      </c>
      <c r="Y2401" s="577" t="s">
        <v>1963</v>
      </c>
      <c r="Z2401" s="577" t="s">
        <v>1963</v>
      </c>
      <c r="AA2401" s="577" t="s">
        <v>1963</v>
      </c>
      <c r="AB2401" s="577" t="s">
        <v>1963</v>
      </c>
      <c r="AC2401" s="577" t="s">
        <v>1963</v>
      </c>
      <c r="AD2401" s="577" t="s">
        <v>1963</v>
      </c>
      <c r="AE2401" s="577">
        <f t="shared" si="761"/>
        <v>178.14919446380952</v>
      </c>
      <c r="AF2401" s="577">
        <f t="shared" si="767"/>
        <v>178.14919446380952</v>
      </c>
      <c r="AG2401" s="750">
        <f t="shared" si="751"/>
        <v>18.899999999999999</v>
      </c>
      <c r="AH2401" s="750">
        <f t="shared" si="745"/>
        <v>1547.3435977313275</v>
      </c>
      <c r="AI2401" s="750">
        <v>0.6</v>
      </c>
      <c r="AJ2401" s="750"/>
      <c r="AK2401" s="750"/>
      <c r="AL2401" s="750"/>
      <c r="AM2401" s="750"/>
      <c r="AN2401" s="750"/>
      <c r="AO2401" s="750"/>
      <c r="AP2401" s="750"/>
      <c r="AQ2401" s="750"/>
      <c r="AR2401" s="750"/>
      <c r="AS2401" s="750">
        <f t="shared" si="768"/>
        <v>3325.3507449131971</v>
      </c>
      <c r="AT2401" s="750">
        <f>(((U2401+AF2401+AG2401+AH2401)*AI2401)+(U2401+AF2401+AG2401+AH2401))*1.08</f>
        <v>3325.3507449131971</v>
      </c>
      <c r="AU2401" s="107"/>
    </row>
    <row r="2402" spans="3:47" s="29" customFormat="1" x14ac:dyDescent="0.25">
      <c r="M2402" s="750" t="s">
        <v>670</v>
      </c>
      <c r="N2402" s="750">
        <f>AB4</f>
        <v>4.8</v>
      </c>
      <c r="O2402" s="750" t="str">
        <f>AA4</f>
        <v>g</v>
      </c>
      <c r="P2402" s="750">
        <v>50</v>
      </c>
      <c r="Q2402" s="750">
        <f t="shared" si="744"/>
        <v>240</v>
      </c>
      <c r="R2402" s="750">
        <v>0</v>
      </c>
      <c r="S2402" s="750">
        <f t="shared" si="748"/>
        <v>0</v>
      </c>
      <c r="T2402" s="750">
        <f t="shared" si="749"/>
        <v>50</v>
      </c>
      <c r="U2402" s="750">
        <f t="shared" si="750"/>
        <v>240</v>
      </c>
      <c r="V2402" s="577" t="s">
        <v>1963</v>
      </c>
      <c r="W2402" s="577" t="s">
        <v>1963</v>
      </c>
      <c r="X2402" s="577">
        <f t="shared" si="769"/>
        <v>267.22379169571428</v>
      </c>
      <c r="Y2402" s="577" t="s">
        <v>1963</v>
      </c>
      <c r="Z2402" s="577" t="s">
        <v>1963</v>
      </c>
      <c r="AA2402" s="577" t="s">
        <v>1963</v>
      </c>
      <c r="AB2402" s="577" t="s">
        <v>1963</v>
      </c>
      <c r="AC2402" s="577" t="s">
        <v>1963</v>
      </c>
      <c r="AD2402" s="577" t="s">
        <v>1963</v>
      </c>
      <c r="AE2402" s="577">
        <f t="shared" si="761"/>
        <v>178.14919446380952</v>
      </c>
      <c r="AF2402" s="577" t="s">
        <v>1963</v>
      </c>
      <c r="AG2402" s="750">
        <f t="shared" si="751"/>
        <v>18.899999999999999</v>
      </c>
      <c r="AH2402" s="750">
        <f t="shared" si="745"/>
        <v>1547.3435977313275</v>
      </c>
      <c r="AI2402" s="750">
        <v>0.6</v>
      </c>
      <c r="AJ2402" s="750"/>
      <c r="AK2402" s="750"/>
      <c r="AL2402" s="750">
        <f>(((U2402+X2402+AG2402+AH2402)*AI2402)+(U2402+X2402+AG2402+AH2402))*1.08</f>
        <v>3582.9516489299285</v>
      </c>
      <c r="AM2402" s="750"/>
      <c r="AN2402" s="750"/>
      <c r="AO2402" s="750"/>
      <c r="AP2402" s="750"/>
      <c r="AQ2402" s="750"/>
      <c r="AR2402" s="750"/>
      <c r="AS2402" s="750">
        <f t="shared" si="768"/>
        <v>3429.0307449131969</v>
      </c>
      <c r="AT2402" s="750"/>
      <c r="AU2402" s="107"/>
    </row>
    <row r="2403" spans="3:47" s="29" customFormat="1" x14ac:dyDescent="0.25">
      <c r="M2403" s="750" t="s">
        <v>531</v>
      </c>
      <c r="N2403" s="750">
        <f>AB6</f>
        <v>5.18</v>
      </c>
      <c r="O2403" s="750" t="str">
        <f>AA6</f>
        <v>g</v>
      </c>
      <c r="P2403" s="750">
        <v>120</v>
      </c>
      <c r="Q2403" s="750">
        <f t="shared" si="744"/>
        <v>621.59999999999991</v>
      </c>
      <c r="R2403" s="750">
        <v>0</v>
      </c>
      <c r="S2403" s="750">
        <f t="shared" si="748"/>
        <v>0</v>
      </c>
      <c r="T2403" s="750">
        <f t="shared" si="749"/>
        <v>120</v>
      </c>
      <c r="U2403" s="750">
        <f t="shared" si="750"/>
        <v>621.59999999999991</v>
      </c>
      <c r="V2403" s="577" t="s">
        <v>1963</v>
      </c>
      <c r="W2403" s="577" t="s">
        <v>1963</v>
      </c>
      <c r="X2403" s="577">
        <f t="shared" si="769"/>
        <v>267.22379169571428</v>
      </c>
      <c r="Y2403" s="577" t="s">
        <v>1963</v>
      </c>
      <c r="Z2403" s="577" t="s">
        <v>1963</v>
      </c>
      <c r="AA2403" s="577" t="s">
        <v>1963</v>
      </c>
      <c r="AB2403" s="577" t="s">
        <v>1963</v>
      </c>
      <c r="AC2403" s="577" t="s">
        <v>1963</v>
      </c>
      <c r="AD2403" s="577" t="s">
        <v>1963</v>
      </c>
      <c r="AE2403" s="577">
        <f t="shared" si="761"/>
        <v>178.14919446380952</v>
      </c>
      <c r="AF2403" s="577" t="s">
        <v>1963</v>
      </c>
      <c r="AG2403" s="750">
        <f t="shared" si="751"/>
        <v>18.899999999999999</v>
      </c>
      <c r="AH2403" s="750">
        <f t="shared" si="745"/>
        <v>1547.3435977313275</v>
      </c>
      <c r="AI2403" s="750">
        <v>0.6</v>
      </c>
      <c r="AJ2403" s="750"/>
      <c r="AK2403" s="750"/>
      <c r="AL2403" s="750">
        <f>(((U2403+X2403+AG2403+AH2403)*AI2403)+(U2403+X2403+AG2403+AH2403))*1.08</f>
        <v>4242.3564489299279</v>
      </c>
      <c r="AM2403" s="750"/>
      <c r="AN2403" s="750"/>
      <c r="AO2403" s="750"/>
      <c r="AP2403" s="750"/>
      <c r="AQ2403" s="750"/>
      <c r="AR2403" s="750"/>
      <c r="AS2403" s="750">
        <f t="shared" si="768"/>
        <v>4088.4355449131967</v>
      </c>
      <c r="AT2403" s="750"/>
      <c r="AU2403" s="107"/>
    </row>
    <row r="2404" spans="3:47" s="29" customFormat="1" x14ac:dyDescent="0.25">
      <c r="M2404" s="750" t="s">
        <v>539</v>
      </c>
      <c r="N2404" s="750">
        <f>P7</f>
        <v>2.5</v>
      </c>
      <c r="O2404" s="750" t="str">
        <f>O7</f>
        <v>g</v>
      </c>
      <c r="P2404" s="750">
        <v>50</v>
      </c>
      <c r="Q2404" s="750">
        <f t="shared" si="744"/>
        <v>125</v>
      </c>
      <c r="R2404" s="750">
        <f>AJ5</f>
        <v>0.13</v>
      </c>
      <c r="S2404" s="750">
        <f t="shared" si="748"/>
        <v>6.5</v>
      </c>
      <c r="T2404" s="750">
        <f t="shared" si="749"/>
        <v>43.5</v>
      </c>
      <c r="U2404" s="750">
        <f>Q2404+((S2404*Q2404)/P2404)</f>
        <v>141.25</v>
      </c>
      <c r="V2404" s="577" t="s">
        <v>1963</v>
      </c>
      <c r="W2404" s="577" t="s">
        <v>1963</v>
      </c>
      <c r="X2404" s="577" t="s">
        <v>1963</v>
      </c>
      <c r="Y2404" s="577" t="s">
        <v>1963</v>
      </c>
      <c r="Z2404" s="577" t="s">
        <v>1963</v>
      </c>
      <c r="AA2404" s="577" t="s">
        <v>1963</v>
      </c>
      <c r="AB2404" s="577" t="s">
        <v>1963</v>
      </c>
      <c r="AC2404" s="577" t="s">
        <v>1963</v>
      </c>
      <c r="AD2404" s="577" t="s">
        <v>1963</v>
      </c>
      <c r="AE2404" s="577">
        <f t="shared" si="761"/>
        <v>178.14919446380952</v>
      </c>
      <c r="AF2404" s="577">
        <f t="shared" si="767"/>
        <v>178.14919446380952</v>
      </c>
      <c r="AG2404" s="750">
        <f t="shared" si="751"/>
        <v>18.899999999999999</v>
      </c>
      <c r="AH2404" s="750">
        <f t="shared" si="745"/>
        <v>1547.3435977313275</v>
      </c>
      <c r="AI2404" s="750">
        <v>0.6</v>
      </c>
      <c r="AJ2404" s="750"/>
      <c r="AK2404" s="750"/>
      <c r="AL2404" s="750"/>
      <c r="AM2404" s="750"/>
      <c r="AN2404" s="750"/>
      <c r="AO2404" s="750"/>
      <c r="AP2404" s="750"/>
      <c r="AQ2404" s="750"/>
      <c r="AR2404" s="750"/>
      <c r="AS2404" s="750">
        <f t="shared" si="768"/>
        <v>3258.3907449131971</v>
      </c>
      <c r="AT2404" s="750">
        <f>(((U2404+AF2404+AG2404+AH2404)*AI2404)+(U2404+AF2404+AG2404+AH2404))*1.08</f>
        <v>3258.3907449131971</v>
      </c>
      <c r="AU2404" s="107"/>
    </row>
    <row r="2405" spans="3:47" s="29" customFormat="1" x14ac:dyDescent="0.25">
      <c r="M2405" s="750" t="s">
        <v>529</v>
      </c>
      <c r="N2405" s="750">
        <f>P32</f>
        <v>17.72</v>
      </c>
      <c r="O2405" s="750" t="str">
        <f>O32</f>
        <v>g</v>
      </c>
      <c r="P2405" s="750">
        <v>50</v>
      </c>
      <c r="Q2405" s="750">
        <f t="shared" si="744"/>
        <v>886</v>
      </c>
      <c r="R2405" s="750">
        <f>AJ20</f>
        <v>0.31</v>
      </c>
      <c r="S2405" s="750">
        <f t="shared" si="748"/>
        <v>15.5</v>
      </c>
      <c r="T2405" s="750">
        <f t="shared" si="749"/>
        <v>34.5</v>
      </c>
      <c r="U2405" s="750">
        <f t="shared" ref="U2405:U2406" si="770">Q2405+((S2405*Q2405)/P2405)</f>
        <v>1160.6600000000001</v>
      </c>
      <c r="V2405" s="577" t="s">
        <v>1963</v>
      </c>
      <c r="W2405" s="577" t="s">
        <v>1963</v>
      </c>
      <c r="X2405" s="577" t="s">
        <v>1963</v>
      </c>
      <c r="Y2405" s="577" t="s">
        <v>1963</v>
      </c>
      <c r="Z2405" s="577" t="s">
        <v>1963</v>
      </c>
      <c r="AA2405" s="577" t="s">
        <v>1963</v>
      </c>
      <c r="AB2405" s="577" t="s">
        <v>1963</v>
      </c>
      <c r="AC2405" s="577" t="s">
        <v>1963</v>
      </c>
      <c r="AD2405" s="577" t="s">
        <v>1963</v>
      </c>
      <c r="AE2405" s="577">
        <f t="shared" si="761"/>
        <v>178.14919446380952</v>
      </c>
      <c r="AF2405" s="577">
        <f t="shared" si="767"/>
        <v>178.14919446380952</v>
      </c>
      <c r="AG2405" s="750">
        <f t="shared" si="751"/>
        <v>18.899999999999999</v>
      </c>
      <c r="AH2405" s="750">
        <f t="shared" si="745"/>
        <v>1547.3435977313275</v>
      </c>
      <c r="AI2405" s="750">
        <v>0.6</v>
      </c>
      <c r="AJ2405" s="750"/>
      <c r="AK2405" s="750"/>
      <c r="AL2405" s="750"/>
      <c r="AM2405" s="750"/>
      <c r="AN2405" s="750"/>
      <c r="AO2405" s="750"/>
      <c r="AP2405" s="750"/>
      <c r="AQ2405" s="750"/>
      <c r="AR2405" s="750"/>
      <c r="AS2405" s="750">
        <f t="shared" si="768"/>
        <v>5019.9312249131972</v>
      </c>
      <c r="AT2405" s="750">
        <f>(((U2405+AF2405+AG2405+AH2405)*AI2405)+(U2405+AF2405+AG2405+AH2405))*1.08</f>
        <v>5019.9312249131972</v>
      </c>
      <c r="AU2405" s="107"/>
    </row>
    <row r="2406" spans="3:47" s="29" customFormat="1" x14ac:dyDescent="0.25">
      <c r="M2406" s="750" t="s">
        <v>463</v>
      </c>
      <c r="N2406" s="577">
        <f>Y12</f>
        <v>86.33</v>
      </c>
      <c r="O2406" s="750" t="str">
        <f>X13</f>
        <v>g</v>
      </c>
      <c r="P2406" s="750">
        <v>5</v>
      </c>
      <c r="Q2406" s="750">
        <f t="shared" si="744"/>
        <v>431.65</v>
      </c>
      <c r="R2406" s="750">
        <v>0</v>
      </c>
      <c r="S2406" s="750">
        <f t="shared" si="748"/>
        <v>0</v>
      </c>
      <c r="T2406" s="750">
        <f t="shared" si="749"/>
        <v>5</v>
      </c>
      <c r="U2406" s="750">
        <f t="shared" si="770"/>
        <v>431.65</v>
      </c>
      <c r="V2406" s="577" t="s">
        <v>1963</v>
      </c>
      <c r="W2406" s="577" t="s">
        <v>1963</v>
      </c>
      <c r="X2406" s="577" t="s">
        <v>1963</v>
      </c>
      <c r="Y2406" s="577" t="s">
        <v>1963</v>
      </c>
      <c r="Z2406" s="577" t="s">
        <v>1963</v>
      </c>
      <c r="AA2406" s="577" t="s">
        <v>1963</v>
      </c>
      <c r="AB2406" s="577" t="s">
        <v>1963</v>
      </c>
      <c r="AC2406" s="577" t="s">
        <v>1963</v>
      </c>
      <c r="AD2406" s="577" t="s">
        <v>1963</v>
      </c>
      <c r="AE2406" s="577" t="s">
        <v>1963</v>
      </c>
      <c r="AF2406" s="577" t="s">
        <v>1963</v>
      </c>
      <c r="AG2406" s="750">
        <f t="shared" si="751"/>
        <v>18.899999999999999</v>
      </c>
      <c r="AH2406" s="750">
        <f t="shared" si="745"/>
        <v>1547.3435977313275</v>
      </c>
      <c r="AI2406" s="750">
        <v>0.6</v>
      </c>
      <c r="AJ2406" s="750"/>
      <c r="AK2406" s="750"/>
      <c r="AL2406" s="750"/>
      <c r="AM2406" s="750"/>
      <c r="AN2406" s="750"/>
      <c r="AO2406" s="750"/>
      <c r="AP2406" s="750"/>
      <c r="AQ2406" s="750"/>
      <c r="AR2406" s="750"/>
      <c r="AS2406" s="750"/>
      <c r="AT2406" s="750"/>
      <c r="AU2406" s="30"/>
    </row>
    <row r="2407" spans="3:47" s="29" customFormat="1" x14ac:dyDescent="0.25">
      <c r="M2407" s="750"/>
      <c r="N2407" s="750"/>
      <c r="O2407" s="750"/>
      <c r="P2407" s="750"/>
      <c r="Q2407" s="750"/>
      <c r="R2407" s="750"/>
      <c r="S2407" s="750"/>
      <c r="T2407" s="750"/>
      <c r="U2407" s="750"/>
      <c r="V2407" s="750"/>
      <c r="W2407" s="750"/>
      <c r="X2407" s="750"/>
      <c r="Y2407" s="750"/>
      <c r="Z2407" s="750"/>
      <c r="AA2407" s="750"/>
      <c r="AB2407" s="750"/>
      <c r="AC2407" s="750"/>
      <c r="AD2407" s="750"/>
      <c r="AE2407" s="750"/>
      <c r="AF2407" s="750"/>
      <c r="AG2407" s="750"/>
      <c r="AH2407" s="750"/>
      <c r="AI2407" s="750"/>
      <c r="AJ2407" s="750"/>
      <c r="AK2407" s="750"/>
      <c r="AL2407" s="750"/>
      <c r="AM2407" s="750"/>
      <c r="AN2407" s="750"/>
      <c r="AO2407" s="750"/>
      <c r="AP2407" s="750"/>
      <c r="AQ2407" s="750"/>
      <c r="AR2407" s="750"/>
      <c r="AS2407" s="750"/>
      <c r="AT2407" s="750"/>
      <c r="AU2407" s="30"/>
    </row>
    <row r="2408" spans="3:47" s="29" customFormat="1" x14ac:dyDescent="0.25">
      <c r="M2408" s="750" t="s">
        <v>337</v>
      </c>
      <c r="N2408" s="750">
        <f>SUM(N2381:N2407)</f>
        <v>802.87199999999996</v>
      </c>
      <c r="O2408" s="750"/>
      <c r="P2408" s="750">
        <f>SUM(P2381:P2407)</f>
        <v>1605</v>
      </c>
      <c r="Q2408" s="750">
        <f>SUM(Q2381:Q2407)</f>
        <v>51157.84</v>
      </c>
      <c r="R2408" s="750"/>
      <c r="S2408" s="750"/>
      <c r="T2408" s="750"/>
      <c r="U2408" s="750">
        <f>SUM(U2381:U2407)</f>
        <v>70469.332000000009</v>
      </c>
      <c r="V2408" s="750"/>
      <c r="W2408" s="750"/>
      <c r="X2408" s="750"/>
      <c r="Y2408" s="750"/>
      <c r="Z2408" s="750"/>
      <c r="AA2408" s="750"/>
      <c r="AB2408" s="750"/>
      <c r="AC2408" s="750"/>
      <c r="AD2408" s="750"/>
      <c r="AE2408" s="750"/>
      <c r="AF2408" s="750"/>
      <c r="AG2408" s="750"/>
      <c r="AH2408" s="750"/>
      <c r="AI2408" s="750"/>
      <c r="AJ2408" s="750"/>
      <c r="AK2408" s="750"/>
      <c r="AL2408" s="750"/>
      <c r="AM2408" s="750"/>
      <c r="AN2408" s="750"/>
      <c r="AO2408" s="750"/>
      <c r="AP2408" s="750"/>
      <c r="AQ2408" s="750"/>
      <c r="AR2408" s="750"/>
      <c r="AS2408" s="750"/>
      <c r="AT2408" s="750"/>
    </row>
    <row r="2409" spans="3:47" s="29" customFormat="1" x14ac:dyDescent="0.25">
      <c r="M2409" s="578"/>
      <c r="N2409" s="578"/>
      <c r="O2409" s="578"/>
      <c r="P2409" s="578"/>
      <c r="Q2409" s="578"/>
      <c r="R2409" s="578"/>
      <c r="S2409" s="578"/>
      <c r="T2409" s="578"/>
      <c r="U2409" s="578"/>
      <c r="V2409" s="578"/>
      <c r="W2409" s="578"/>
      <c r="X2409" s="578"/>
      <c r="Y2409" s="578"/>
      <c r="Z2409" s="578"/>
      <c r="AA2409" s="578"/>
      <c r="AB2409" s="578"/>
      <c r="AC2409" s="578"/>
      <c r="AD2409" s="578"/>
      <c r="AE2409" s="578"/>
      <c r="AF2409" s="578"/>
      <c r="AG2409" s="578"/>
      <c r="AH2409" s="578"/>
      <c r="AI2409" s="578"/>
      <c r="AJ2409" s="578"/>
      <c r="AK2409" s="578"/>
      <c r="AL2409" s="578"/>
      <c r="AM2409" s="578"/>
      <c r="AN2409" s="578"/>
      <c r="AO2409" s="578"/>
      <c r="AP2409" s="578"/>
      <c r="AQ2409" s="578"/>
      <c r="AR2409" s="578"/>
      <c r="AS2409" s="578"/>
      <c r="AT2409" s="578"/>
    </row>
    <row r="2410" spans="3:47" s="29" customFormat="1" x14ac:dyDescent="0.25">
      <c r="M2410" s="578"/>
      <c r="N2410" s="578"/>
      <c r="O2410" s="578"/>
      <c r="P2410" s="578"/>
      <c r="Q2410" s="578"/>
      <c r="R2410" s="578"/>
      <c r="S2410" s="578"/>
      <c r="T2410" s="578"/>
      <c r="U2410" s="578"/>
      <c r="V2410" s="578"/>
      <c r="W2410" s="578"/>
      <c r="X2410" s="578"/>
      <c r="Y2410" s="578"/>
      <c r="Z2410" s="578"/>
      <c r="AA2410" s="578"/>
      <c r="AB2410" s="578"/>
      <c r="AC2410" s="578"/>
      <c r="AD2410" s="578"/>
      <c r="AE2410" s="578"/>
      <c r="AF2410" s="578"/>
      <c r="AG2410" s="578"/>
      <c r="AH2410" s="578"/>
      <c r="AI2410" s="578"/>
      <c r="AJ2410" s="578"/>
      <c r="AK2410" s="578"/>
      <c r="AL2410" s="578"/>
      <c r="AM2410" s="578"/>
      <c r="AN2410" s="578"/>
      <c r="AO2410" s="578"/>
      <c r="AP2410" s="578"/>
      <c r="AQ2410" s="578"/>
      <c r="AR2410" s="578"/>
      <c r="AS2410" s="578"/>
      <c r="AT2410" s="578"/>
    </row>
    <row r="2411" spans="3:47" s="29" customFormat="1" x14ac:dyDescent="0.25">
      <c r="M2411" s="578"/>
      <c r="N2411" s="578"/>
      <c r="O2411" s="578"/>
      <c r="P2411" s="578"/>
      <c r="Q2411" s="578"/>
      <c r="R2411" s="578"/>
      <c r="S2411" s="578"/>
      <c r="T2411" s="578"/>
      <c r="U2411" s="578"/>
      <c r="V2411" s="578"/>
      <c r="W2411" s="578"/>
      <c r="X2411" s="578"/>
      <c r="Y2411" s="578"/>
      <c r="Z2411" s="578"/>
      <c r="AA2411" s="578"/>
      <c r="AB2411" s="578"/>
      <c r="AC2411" s="578"/>
      <c r="AD2411" s="578"/>
      <c r="AE2411" s="578"/>
      <c r="AF2411" s="578"/>
      <c r="AG2411" s="578"/>
      <c r="AH2411" s="578"/>
      <c r="AI2411" s="578"/>
      <c r="AJ2411" s="578"/>
      <c r="AK2411" s="578"/>
      <c r="AL2411" s="578"/>
      <c r="AM2411" s="578"/>
      <c r="AN2411" s="578"/>
      <c r="AO2411" s="578"/>
      <c r="AP2411" s="578"/>
      <c r="AQ2411" s="578"/>
      <c r="AR2411" s="578"/>
      <c r="AS2411" s="578"/>
      <c r="AT2411" s="578"/>
    </row>
    <row r="2412" spans="3:47" s="29" customFormat="1" x14ac:dyDescent="0.25">
      <c r="C2412" s="118" t="s">
        <v>391</v>
      </c>
      <c r="D2412" s="118" t="s">
        <v>358</v>
      </c>
      <c r="E2412" s="118" t="s">
        <v>392</v>
      </c>
      <c r="M2412" s="750" t="s">
        <v>336</v>
      </c>
      <c r="N2412" s="750" t="s">
        <v>174</v>
      </c>
      <c r="O2412" s="750" t="s">
        <v>248</v>
      </c>
      <c r="P2412" s="750" t="s">
        <v>176</v>
      </c>
      <c r="Q2412" s="750" t="s">
        <v>337</v>
      </c>
      <c r="R2412" s="750" t="s">
        <v>1641</v>
      </c>
      <c r="S2412" s="750" t="s">
        <v>1642</v>
      </c>
      <c r="T2412" s="750" t="s">
        <v>1643</v>
      </c>
      <c r="U2412" s="750" t="s">
        <v>1644</v>
      </c>
      <c r="V2412" s="750" t="s">
        <v>1919</v>
      </c>
      <c r="W2412" s="750" t="s">
        <v>1920</v>
      </c>
      <c r="X2412" s="750" t="s">
        <v>1921</v>
      </c>
      <c r="Y2412" s="750" t="s">
        <v>1922</v>
      </c>
      <c r="Z2412" s="750" t="s">
        <v>1924</v>
      </c>
      <c r="AA2412" s="750" t="s">
        <v>1923</v>
      </c>
      <c r="AB2412" s="750" t="s">
        <v>1925</v>
      </c>
      <c r="AC2412" s="750" t="s">
        <v>1926</v>
      </c>
      <c r="AD2412" s="750" t="s">
        <v>1927</v>
      </c>
      <c r="AE2412" s="750" t="s">
        <v>1928</v>
      </c>
      <c r="AF2412" s="750" t="s">
        <v>1929</v>
      </c>
      <c r="AG2412" s="750" t="s">
        <v>1872</v>
      </c>
      <c r="AH2412" s="750" t="s">
        <v>1873</v>
      </c>
      <c r="AI2412" s="750" t="s">
        <v>1780</v>
      </c>
      <c r="AJ2412" s="750" t="s">
        <v>2035</v>
      </c>
      <c r="AK2412" s="750" t="s">
        <v>2036</v>
      </c>
      <c r="AL2412" s="750" t="s">
        <v>2037</v>
      </c>
      <c r="AM2412" s="750" t="s">
        <v>2038</v>
      </c>
      <c r="AN2412" s="750" t="s">
        <v>2039</v>
      </c>
      <c r="AO2412" s="750" t="s">
        <v>2040</v>
      </c>
      <c r="AP2412" s="750" t="s">
        <v>2041</v>
      </c>
      <c r="AQ2412" s="750" t="s">
        <v>2042</v>
      </c>
      <c r="AR2412" s="750" t="s">
        <v>2043</v>
      </c>
      <c r="AS2412" s="750" t="s">
        <v>2045</v>
      </c>
      <c r="AT2412" s="750" t="s">
        <v>2044</v>
      </c>
    </row>
    <row r="2413" spans="3:47" s="29" customFormat="1" ht="31.5" x14ac:dyDescent="0.25">
      <c r="C2413" s="1003" t="s">
        <v>678</v>
      </c>
      <c r="D2413" s="999" t="s">
        <v>679</v>
      </c>
      <c r="E2413" s="119" t="s">
        <v>814</v>
      </c>
      <c r="M2413" s="750" t="s">
        <v>344</v>
      </c>
      <c r="N2413" s="750"/>
      <c r="O2413" s="750" t="s">
        <v>342</v>
      </c>
      <c r="P2413" s="750">
        <v>60</v>
      </c>
      <c r="Q2413" s="750">
        <f t="shared" ref="Q2413:Q2434" si="771">N2413*P2413</f>
        <v>0</v>
      </c>
      <c r="R2413" s="750">
        <v>0</v>
      </c>
      <c r="S2413" s="750">
        <f>P2413*R2413</f>
        <v>0</v>
      </c>
      <c r="T2413" s="750">
        <f>P2413-S2413</f>
        <v>60</v>
      </c>
      <c r="U2413" s="750">
        <f>Q2413+((S2413*Q2413)/P2413)</f>
        <v>0</v>
      </c>
      <c r="V2413" s="750"/>
      <c r="W2413" s="750"/>
      <c r="X2413" s="750"/>
      <c r="Y2413" s="750"/>
      <c r="Z2413" s="750"/>
      <c r="AA2413" s="750"/>
      <c r="AB2413" s="750"/>
      <c r="AC2413" s="750"/>
      <c r="AD2413" s="750"/>
      <c r="AE2413" s="750"/>
      <c r="AF2413" s="750"/>
      <c r="AG2413" s="750">
        <f>$AO$27/4</f>
        <v>18.899999999999999</v>
      </c>
      <c r="AH2413" s="750">
        <f t="shared" ref="AH2413:AH2434" si="772">$AO$29</f>
        <v>1547.3435977313275</v>
      </c>
      <c r="AI2413" s="750">
        <v>0.6</v>
      </c>
      <c r="AJ2413" s="750">
        <f>(((U2413+V2413+AG2413+AH2413)*AI2413)+(U2413+V2413+AG2413+AH2413))*1.08</f>
        <v>2706.4689368797344</v>
      </c>
      <c r="AK2413" s="750">
        <f>(((U2413+W2413+AG2413+AH2413)*AI2413)+(U2413+W2413+AG2413+AH2413))*1.08</f>
        <v>2706.4689368797344</v>
      </c>
      <c r="AL2413" s="750">
        <f>(((U2413+X2413+AG2413+AH2413)*AI2413)+(U2413+X2413+AG2413+AH2413))*1.08</f>
        <v>2706.4689368797344</v>
      </c>
      <c r="AM2413" s="750">
        <f t="shared" ref="AM2413:AM2418" si="773">(((U2413+Y2413+AG2413+AH2413)*AI2413)+(U2413+Y2413+AG2413+AH2413))*1.08</f>
        <v>2706.4689368797344</v>
      </c>
      <c r="AN2413" s="750">
        <f>(((U2413+Z2413+AG2413+AH2413)*AI2413)+(U2413+Z2413+AG2413+AH2413))*1.08</f>
        <v>2706.4689368797344</v>
      </c>
      <c r="AO2413" s="750">
        <f>(((U2413+AA2413+AG2413+AH2413)*AI2413)+(U2413+AA2413+AG2413+AH2413))*1.08</f>
        <v>2706.4689368797344</v>
      </c>
      <c r="AP2413" s="750">
        <f>(((U2413+AB2413+AG2413+AH2413)*AI2413)+(U2413+AB2413+AG2413+AH2413))*1.08</f>
        <v>2706.4689368797344</v>
      </c>
      <c r="AQ2413" s="750">
        <f>(((U2413+AC2413+AG2413+AH2413)*AI2413)+(U2413+AC2413+AG2413+AH2413))*1.08</f>
        <v>2706.4689368797344</v>
      </c>
      <c r="AR2413" s="750">
        <f>(((U2413+AD2413+AG2413+AH2413)*AI2413)+(U2413+AD2413+AG2413+AH2413))*1.08</f>
        <v>2706.4689368797344</v>
      </c>
      <c r="AS2413" s="750">
        <f>(((U2413+AE2413+AG2413+AH2413)*AI2413)+(U2413+AE2413+AG2413+AH2413))*1.08</f>
        <v>2706.4689368797344</v>
      </c>
      <c r="AT2413" s="750">
        <f>(((U2413+AF2413+AG2413+AH2413)*AI2413)+(U2413+AF2413+AG2413+AH2413))*1.08</f>
        <v>2706.4689368797344</v>
      </c>
    </row>
    <row r="2414" spans="3:47" s="29" customFormat="1" ht="31.5" x14ac:dyDescent="0.25">
      <c r="C2414" s="1003"/>
      <c r="D2414" s="999"/>
      <c r="E2414" s="119" t="s">
        <v>680</v>
      </c>
      <c r="M2414" s="750" t="s">
        <v>359</v>
      </c>
      <c r="N2414" s="750"/>
      <c r="O2414" s="750" t="s">
        <v>342</v>
      </c>
      <c r="P2414" s="750">
        <v>70</v>
      </c>
      <c r="Q2414" s="750">
        <f t="shared" si="771"/>
        <v>0</v>
      </c>
      <c r="R2414" s="750">
        <v>0</v>
      </c>
      <c r="S2414" s="750">
        <f t="shared" ref="S2414:S2434" si="774">P2414*R2414</f>
        <v>0</v>
      </c>
      <c r="T2414" s="750">
        <f t="shared" ref="T2414:T2432" si="775">P2414-S2414</f>
        <v>70</v>
      </c>
      <c r="U2414" s="750">
        <f t="shared" ref="U2414:U2432" si="776">Q2414+((S2414*Q2414)/P2414)</f>
        <v>0</v>
      </c>
      <c r="V2414" s="750"/>
      <c r="W2414" s="750"/>
      <c r="X2414" s="750"/>
      <c r="Y2414" s="750"/>
      <c r="Z2414" s="750"/>
      <c r="AA2414" s="750"/>
      <c r="AB2414" s="750"/>
      <c r="AC2414" s="750"/>
      <c r="AD2414" s="750"/>
      <c r="AE2414" s="750"/>
      <c r="AF2414" s="750"/>
      <c r="AG2414" s="750">
        <f t="shared" ref="AG2414:AG2434" si="777">$AO$27/4</f>
        <v>18.899999999999999</v>
      </c>
      <c r="AH2414" s="750">
        <f t="shared" si="772"/>
        <v>1547.3435977313275</v>
      </c>
      <c r="AI2414" s="750">
        <v>0.6</v>
      </c>
      <c r="AJ2414" s="750">
        <f>(((U2414+V2414+AG2414+AH2414)*AI2414)+(U2414+V2414+AG2414+AH2414))*1.08</f>
        <v>2706.4689368797344</v>
      </c>
      <c r="AK2414" s="750">
        <f>(((U2414+W2414+AG2414+AH2414)*AI2414)+(U2414+W2414+AG2414+AH2414))*1.08</f>
        <v>2706.4689368797344</v>
      </c>
      <c r="AL2414" s="750">
        <f>(((U2414+X2414+AG2414+AH2414)*AI2414)+(U2414+X2414+AG2414+AH2414))*1.08</f>
        <v>2706.4689368797344</v>
      </c>
      <c r="AM2414" s="750">
        <f t="shared" si="773"/>
        <v>2706.4689368797344</v>
      </c>
      <c r="AN2414" s="750">
        <f>(((U2414+Z2414+AG2414+AH2414)*AI2414)+(U2414+Z2414+AG2414+AH2414))*1.08</f>
        <v>2706.4689368797344</v>
      </c>
      <c r="AO2414" s="750">
        <f>(((U2414+AA2414+AG2414+AH2414)*AI2414)+(U2414+AA2414+AG2414+AH2414))*1.08</f>
        <v>2706.4689368797344</v>
      </c>
      <c r="AP2414" s="750">
        <f>(((U2414+AB2414+AG2414+AH2414)*AI2414)+(U2414+AB2414+AG2414+AH2414))*1.08</f>
        <v>2706.4689368797344</v>
      </c>
      <c r="AQ2414" s="750">
        <f>(((U2414+AC2414+AG2414+AH2414)*AI2414)+(U2414+AC2414+AG2414+AH2414))*1.08</f>
        <v>2706.4689368797344</v>
      </c>
      <c r="AR2414" s="750">
        <f>(((U2414+AD2414+AG2414+AH2414)*AI2414)+(U2414+AD2414+AG2414+AH2414))*1.08</f>
        <v>2706.4689368797344</v>
      </c>
      <c r="AS2414" s="750">
        <f>(((U2414+AE2414+AG2414+AH2414)*AI2414)+(U2414+AE2414+AG2414+AH2414))*1.08</f>
        <v>2706.4689368797344</v>
      </c>
      <c r="AT2414" s="750">
        <f>(((U2414+AF2414+AG2414+AH2414)*AI2414)+(U2414+AF2414+AG2414+AH2414))*1.08</f>
        <v>2706.4689368797344</v>
      </c>
    </row>
    <row r="2415" spans="3:47" s="29" customFormat="1" ht="31.5" x14ac:dyDescent="0.25">
      <c r="C2415" s="1003"/>
      <c r="D2415" s="999" t="s">
        <v>681</v>
      </c>
      <c r="E2415" s="119" t="s">
        <v>811</v>
      </c>
      <c r="M2415" s="750" t="s">
        <v>427</v>
      </c>
      <c r="N2415" s="750">
        <f>S8</f>
        <v>59</v>
      </c>
      <c r="O2415" s="750" t="str">
        <f>R8</f>
        <v>g</v>
      </c>
      <c r="P2415" s="750">
        <v>50</v>
      </c>
      <c r="Q2415" s="750">
        <f t="shared" si="771"/>
        <v>2950</v>
      </c>
      <c r="R2415" s="750">
        <f>AN4</f>
        <v>0.41</v>
      </c>
      <c r="S2415" s="750">
        <f t="shared" si="774"/>
        <v>20.5</v>
      </c>
      <c r="T2415" s="750">
        <f t="shared" si="775"/>
        <v>29.5</v>
      </c>
      <c r="U2415" s="750">
        <f t="shared" si="776"/>
        <v>4159.5</v>
      </c>
      <c r="V2415" s="577"/>
      <c r="W2415" s="577" t="s">
        <v>1963</v>
      </c>
      <c r="X2415" s="577">
        <f>$AR$10</f>
        <v>267.22379169571428</v>
      </c>
      <c r="Y2415" s="577"/>
      <c r="Z2415" s="577">
        <f>$AR$12</f>
        <v>267.22379169571428</v>
      </c>
      <c r="AA2415" s="577">
        <f>$AR$13</f>
        <v>178.14919446380952</v>
      </c>
      <c r="AB2415" s="577">
        <f>$AR$14</f>
        <v>178.14919446380952</v>
      </c>
      <c r="AC2415" s="577" t="s">
        <v>1963</v>
      </c>
      <c r="AD2415" s="577" t="s">
        <v>1963</v>
      </c>
      <c r="AE2415" s="577" t="s">
        <v>1963</v>
      </c>
      <c r="AF2415" s="577" t="s">
        <v>1963</v>
      </c>
      <c r="AG2415" s="750">
        <f t="shared" si="777"/>
        <v>18.899999999999999</v>
      </c>
      <c r="AH2415" s="750">
        <f t="shared" si="772"/>
        <v>1547.3435977313275</v>
      </c>
      <c r="AI2415" s="750">
        <v>0.6</v>
      </c>
      <c r="AJ2415" s="750"/>
      <c r="AK2415" s="750"/>
      <c r="AL2415" s="750">
        <f>(((U2415+X2415+AG2415+AH2415)*AI2415)+(U2415+X2415+AG2415+AH2415))*1.08</f>
        <v>10355.84764892993</v>
      </c>
      <c r="AM2415" s="750"/>
      <c r="AN2415" s="750">
        <f>(((U2415+Z2415+AG2415+AH2415)*AI2415)+(U2415+Z2415+AG2415+AH2415))*1.08</f>
        <v>10355.84764892993</v>
      </c>
      <c r="AO2415" s="750">
        <f>(((U2415+AA2415+AG2415+AH2415)*AI2415)+(U2415+AA2415+AG2415+AH2415))*1.08</f>
        <v>10201.926744913195</v>
      </c>
      <c r="AP2415" s="750">
        <f>(((U2415+AB2415+AG2415+AH2415)*AI2415)+(U2415+AB2415+AG2415+AH2415))*1.08</f>
        <v>10201.926744913195</v>
      </c>
      <c r="AQ2415" s="750"/>
      <c r="AR2415" s="750"/>
      <c r="AS2415" s="750"/>
      <c r="AT2415" s="750"/>
    </row>
    <row r="2416" spans="3:47" s="29" customFormat="1" ht="31.5" x14ac:dyDescent="0.25">
      <c r="C2416" s="1003"/>
      <c r="D2416" s="999"/>
      <c r="E2416" s="119" t="s">
        <v>682</v>
      </c>
      <c r="M2416" s="750" t="s">
        <v>349</v>
      </c>
      <c r="N2416" s="750">
        <f>S15</f>
        <v>41</v>
      </c>
      <c r="O2416" s="750" t="str">
        <f>R15</f>
        <v>g</v>
      </c>
      <c r="P2416" s="750">
        <v>50</v>
      </c>
      <c r="Q2416" s="750">
        <f t="shared" si="771"/>
        <v>2050</v>
      </c>
      <c r="R2416" s="750">
        <f>AN3</f>
        <v>0.47</v>
      </c>
      <c r="S2416" s="750">
        <f t="shared" si="774"/>
        <v>23.5</v>
      </c>
      <c r="T2416" s="750">
        <f t="shared" si="775"/>
        <v>26.5</v>
      </c>
      <c r="U2416" s="750">
        <f t="shared" si="776"/>
        <v>3013.5</v>
      </c>
      <c r="V2416" s="577"/>
      <c r="W2416" s="577" t="s">
        <v>1963</v>
      </c>
      <c r="X2416" s="577">
        <f t="shared" ref="X2416:X2432" si="778">$AR$10</f>
        <v>267.22379169571428</v>
      </c>
      <c r="Y2416" s="577"/>
      <c r="Z2416" s="577">
        <f t="shared" ref="Z2416:Z2417" si="779">$AR$12</f>
        <v>267.22379169571428</v>
      </c>
      <c r="AA2416" s="577">
        <f t="shared" ref="AA2416:AA2417" si="780">$AR$13</f>
        <v>178.14919446380952</v>
      </c>
      <c r="AB2416" s="577">
        <f t="shared" ref="AB2416:AB2417" si="781">$AR$14</f>
        <v>178.14919446380952</v>
      </c>
      <c r="AC2416" s="577" t="s">
        <v>1963</v>
      </c>
      <c r="AD2416" s="577" t="s">
        <v>1963</v>
      </c>
      <c r="AE2416" s="577" t="s">
        <v>1963</v>
      </c>
      <c r="AF2416" s="577" t="s">
        <v>1963</v>
      </c>
      <c r="AG2416" s="750">
        <f t="shared" si="777"/>
        <v>18.899999999999999</v>
      </c>
      <c r="AH2416" s="750">
        <f t="shared" si="772"/>
        <v>1547.3435977313275</v>
      </c>
      <c r="AI2416" s="750">
        <v>0.6</v>
      </c>
      <c r="AJ2416" s="750"/>
      <c r="AK2416" s="750"/>
      <c r="AL2416" s="750">
        <f>(((U2416+X2416+AG2416+AH2416)*AI2416)+(U2416+X2416+AG2416+AH2416))*1.08</f>
        <v>8375.5596489299296</v>
      </c>
      <c r="AM2416" s="750"/>
      <c r="AN2416" s="750">
        <f>(((U2416+Z2416+AG2416+AH2416)*AI2416)+(U2416+Z2416+AG2416+AH2416))*1.08</f>
        <v>8375.5596489299296</v>
      </c>
      <c r="AO2416" s="750">
        <f>(((U2416+AA2416+AG2416+AH2416)*AI2416)+(U2416+AA2416+AG2416+AH2416))*1.08</f>
        <v>8221.6387449131962</v>
      </c>
      <c r="AP2416" s="750">
        <f>(((U2416+AB2416+AG2416+AH2416)*AI2416)+(U2416+AB2416+AG2416+AH2416))*1.08</f>
        <v>8221.6387449131962</v>
      </c>
      <c r="AQ2416" s="750"/>
      <c r="AR2416" s="750"/>
      <c r="AS2416" s="750"/>
      <c r="AT2416" s="750"/>
    </row>
    <row r="2417" spans="3:46" s="29" customFormat="1" ht="32.25" thickBot="1" x14ac:dyDescent="0.3">
      <c r="C2417" s="1003"/>
      <c r="D2417" s="999"/>
      <c r="E2417" s="119" t="s">
        <v>683</v>
      </c>
      <c r="M2417" s="750" t="s">
        <v>815</v>
      </c>
      <c r="N2417" s="750">
        <f>S7</f>
        <v>54</v>
      </c>
      <c r="O2417" s="750" t="str">
        <f>R10</f>
        <v>g</v>
      </c>
      <c r="P2417" s="750">
        <v>50</v>
      </c>
      <c r="Q2417" s="750">
        <f t="shared" si="771"/>
        <v>2700</v>
      </c>
      <c r="R2417" s="750">
        <f>AN2</f>
        <v>0.33</v>
      </c>
      <c r="S2417" s="750">
        <f t="shared" si="774"/>
        <v>16.5</v>
      </c>
      <c r="T2417" s="750">
        <f t="shared" si="775"/>
        <v>33.5</v>
      </c>
      <c r="U2417" s="750">
        <f t="shared" si="776"/>
        <v>3591</v>
      </c>
      <c r="V2417" s="577" t="s">
        <v>1963</v>
      </c>
      <c r="W2417" s="577" t="s">
        <v>1963</v>
      </c>
      <c r="X2417" s="577" t="s">
        <v>1963</v>
      </c>
      <c r="Y2417" s="577"/>
      <c r="Z2417" s="577">
        <f t="shared" si="779"/>
        <v>267.22379169571428</v>
      </c>
      <c r="AA2417" s="577">
        <f t="shared" si="780"/>
        <v>178.14919446380952</v>
      </c>
      <c r="AB2417" s="577">
        <f t="shared" si="781"/>
        <v>178.14919446380952</v>
      </c>
      <c r="AC2417" s="577" t="s">
        <v>1963</v>
      </c>
      <c r="AD2417" s="577" t="s">
        <v>1963</v>
      </c>
      <c r="AE2417" s="577" t="s">
        <v>1963</v>
      </c>
      <c r="AF2417" s="577" t="s">
        <v>1963</v>
      </c>
      <c r="AG2417" s="750">
        <f t="shared" si="777"/>
        <v>18.899999999999999</v>
      </c>
      <c r="AH2417" s="750">
        <f t="shared" si="772"/>
        <v>1547.3435977313275</v>
      </c>
      <c r="AI2417" s="750">
        <v>0.6</v>
      </c>
      <c r="AJ2417" s="750"/>
      <c r="AK2417" s="750"/>
      <c r="AL2417" s="750"/>
      <c r="AM2417" s="750"/>
      <c r="AN2417" s="750">
        <f>(((U2417+Z2417+AG2417+AH2417)*AI2417)+(U2417+Z2417+AG2417+AH2417))*1.08</f>
        <v>9373.4796489299297</v>
      </c>
      <c r="AO2417" s="750">
        <f>(((U2417+AA2417+AG2417+AH2417)*AI2417)+(U2417+AA2417+AG2417+AH2417))*1.08</f>
        <v>9219.5587449131963</v>
      </c>
      <c r="AP2417" s="750">
        <f>(((U2417+AB2417+AG2417+AH2417)*AI2417)+(U2417+AB2417+AG2417+AH2417))*1.08</f>
        <v>9219.5587449131963</v>
      </c>
      <c r="AQ2417" s="750"/>
      <c r="AR2417" s="750"/>
      <c r="AS2417" s="750"/>
      <c r="AT2417" s="750"/>
    </row>
    <row r="2418" spans="3:46" s="29" customFormat="1" ht="31.5" x14ac:dyDescent="0.25">
      <c r="C2418" s="1003"/>
      <c r="D2418" s="1004" t="s">
        <v>2335</v>
      </c>
      <c r="E2418" s="826" t="s">
        <v>399</v>
      </c>
      <c r="M2418" s="750" t="s">
        <v>469</v>
      </c>
      <c r="N2418" s="750">
        <f>S17</f>
        <v>153.78</v>
      </c>
      <c r="O2418" s="750" t="str">
        <f>R17</f>
        <v>g</v>
      </c>
      <c r="P2418" s="750">
        <v>50</v>
      </c>
      <c r="Q2418" s="750">
        <f t="shared" si="771"/>
        <v>7689</v>
      </c>
      <c r="R2418" s="750">
        <f>AN9</f>
        <v>0.52</v>
      </c>
      <c r="S2418" s="750">
        <f t="shared" si="774"/>
        <v>26</v>
      </c>
      <c r="T2418" s="750">
        <f t="shared" si="775"/>
        <v>24</v>
      </c>
      <c r="U2418" s="750">
        <f t="shared" si="776"/>
        <v>11687.28</v>
      </c>
      <c r="V2418" s="577" t="s">
        <v>1963</v>
      </c>
      <c r="W2418" s="577">
        <f t="shared" ref="W2418" si="782">$AR$9</f>
        <v>178.14919446380952</v>
      </c>
      <c r="X2418" s="577" t="s">
        <v>1963</v>
      </c>
      <c r="Y2418" s="577">
        <f t="shared" ref="Y2418" si="783">$AR$11</f>
        <v>267.22379169571428</v>
      </c>
      <c r="Z2418" s="577" t="s">
        <v>1963</v>
      </c>
      <c r="AA2418" s="577" t="s">
        <v>1963</v>
      </c>
      <c r="AB2418" s="577" t="s">
        <v>1963</v>
      </c>
      <c r="AC2418" s="577" t="s">
        <v>1963</v>
      </c>
      <c r="AD2418" s="577">
        <f t="shared" ref="AD2418" si="784">$AR$16</f>
        <v>178.14919446380952</v>
      </c>
      <c r="AE2418" s="577" t="s">
        <v>1963</v>
      </c>
      <c r="AF2418" s="577" t="s">
        <v>1963</v>
      </c>
      <c r="AG2418" s="750">
        <f t="shared" si="777"/>
        <v>18.899999999999999</v>
      </c>
      <c r="AH2418" s="750">
        <f t="shared" si="772"/>
        <v>1547.3435977313275</v>
      </c>
      <c r="AI2418" s="750">
        <v>0.6</v>
      </c>
      <c r="AJ2418" s="750"/>
      <c r="AK2418" s="750">
        <f>(((U2418+W2418+AG2418+AH2418)*AI2418)+(U2418+W2418+AG2418+AH2418))*1.08</f>
        <v>23209.930584913196</v>
      </c>
      <c r="AL2418" s="750"/>
      <c r="AM2418" s="750">
        <f t="shared" si="773"/>
        <v>23363.851488929929</v>
      </c>
      <c r="AN2418" s="750"/>
      <c r="AO2418" s="750"/>
      <c r="AP2418" s="750"/>
      <c r="AQ2418" s="750"/>
      <c r="AR2418" s="750">
        <f>(((U2418+AD2418+AG2418+AH2418)*AI2418)+(U2418+AD2418+AG2418+AH2418))*1.08</f>
        <v>23209.930584913196</v>
      </c>
      <c r="AS2418" s="750"/>
      <c r="AT2418" s="750"/>
    </row>
    <row r="2419" spans="3:46" s="29" customFormat="1" ht="48" thickBot="1" x14ac:dyDescent="0.3">
      <c r="C2419" s="1003"/>
      <c r="D2419" s="1005"/>
      <c r="E2419" s="827" t="s">
        <v>2336</v>
      </c>
      <c r="M2419" s="750" t="s">
        <v>436</v>
      </c>
      <c r="N2419" s="750">
        <f>P31</f>
        <v>2.6</v>
      </c>
      <c r="O2419" s="750" t="str">
        <f>O31</f>
        <v>g</v>
      </c>
      <c r="P2419" s="750">
        <v>30</v>
      </c>
      <c r="Q2419" s="750">
        <f t="shared" si="771"/>
        <v>78</v>
      </c>
      <c r="R2419" s="750">
        <f>AJ19</f>
        <v>0.37</v>
      </c>
      <c r="S2419" s="750">
        <f t="shared" si="774"/>
        <v>11.1</v>
      </c>
      <c r="T2419" s="750">
        <f t="shared" si="775"/>
        <v>18.899999999999999</v>
      </c>
      <c r="U2419" s="750">
        <f t="shared" si="776"/>
        <v>106.86</v>
      </c>
      <c r="V2419" s="577" t="s">
        <v>1963</v>
      </c>
      <c r="W2419" s="577" t="s">
        <v>1963</v>
      </c>
      <c r="X2419" s="577" t="s">
        <v>1963</v>
      </c>
      <c r="Y2419" s="577" t="s">
        <v>1963</v>
      </c>
      <c r="Z2419" s="577" t="s">
        <v>1963</v>
      </c>
      <c r="AA2419" s="577" t="s">
        <v>1963</v>
      </c>
      <c r="AB2419" s="577" t="s">
        <v>1963</v>
      </c>
      <c r="AC2419" s="577" t="s">
        <v>1963</v>
      </c>
      <c r="AD2419" s="577" t="s">
        <v>1963</v>
      </c>
      <c r="AE2419" s="577">
        <f t="shared" ref="AE2419:AE2432" si="785">$AR$17</f>
        <v>178.14919446380952</v>
      </c>
      <c r="AF2419" s="577">
        <f t="shared" ref="AF2419:AF2427" si="786">$AR$18</f>
        <v>178.14919446380952</v>
      </c>
      <c r="AG2419" s="750">
        <f t="shared" si="777"/>
        <v>18.899999999999999</v>
      </c>
      <c r="AH2419" s="750">
        <f t="shared" si="772"/>
        <v>1547.3435977313275</v>
      </c>
      <c r="AI2419" s="750">
        <v>0.6</v>
      </c>
      <c r="AJ2419" s="750"/>
      <c r="AK2419" s="750"/>
      <c r="AL2419" s="750"/>
      <c r="AM2419" s="750"/>
      <c r="AN2419" s="750"/>
      <c r="AO2419" s="750"/>
      <c r="AP2419" s="750"/>
      <c r="AQ2419" s="750"/>
      <c r="AR2419" s="750"/>
      <c r="AS2419" s="750">
        <f>(((U2419+AE2419+AG2419+AH2419)*AI2419)+(U2419+AE2419+AG2419+AH2419))*1.08</f>
        <v>3198.9648249131969</v>
      </c>
      <c r="AT2419" s="750">
        <f>(((U2419+AF2419+AG2419+AH2419)*AI2419)+(U2419+AF2419+AG2419+AH2419))*1.08</f>
        <v>3198.9648249131969</v>
      </c>
    </row>
    <row r="2420" spans="3:46" s="29" customFormat="1" ht="31.5" x14ac:dyDescent="0.25">
      <c r="C2420" s="1003"/>
      <c r="D2420" s="999" t="s">
        <v>684</v>
      </c>
      <c r="E2420" s="119" t="s">
        <v>685</v>
      </c>
      <c r="M2420" s="750" t="s">
        <v>677</v>
      </c>
      <c r="N2420" s="750">
        <f>P20</f>
        <v>4</v>
      </c>
      <c r="O2420" s="750" t="str">
        <f>O20</f>
        <v>g</v>
      </c>
      <c r="P2420" s="750">
        <v>30</v>
      </c>
      <c r="Q2420" s="750">
        <f t="shared" si="771"/>
        <v>120</v>
      </c>
      <c r="R2420" s="750">
        <v>0</v>
      </c>
      <c r="S2420" s="750">
        <f t="shared" si="774"/>
        <v>0</v>
      </c>
      <c r="T2420" s="750">
        <f t="shared" si="775"/>
        <v>30</v>
      </c>
      <c r="U2420" s="750">
        <f t="shared" si="776"/>
        <v>120</v>
      </c>
      <c r="V2420" s="577" t="s">
        <v>1963</v>
      </c>
      <c r="W2420" s="577" t="s">
        <v>1963</v>
      </c>
      <c r="X2420" s="577" t="s">
        <v>1963</v>
      </c>
      <c r="Y2420" s="577" t="s">
        <v>1963</v>
      </c>
      <c r="Z2420" s="577" t="s">
        <v>1963</v>
      </c>
      <c r="AA2420" s="577" t="s">
        <v>1963</v>
      </c>
      <c r="AB2420" s="577" t="s">
        <v>1963</v>
      </c>
      <c r="AC2420" s="577" t="s">
        <v>1963</v>
      </c>
      <c r="AD2420" s="577" t="s">
        <v>1963</v>
      </c>
      <c r="AE2420" s="577">
        <f t="shared" si="785"/>
        <v>178.14919446380952</v>
      </c>
      <c r="AF2420" s="577">
        <f t="shared" si="786"/>
        <v>178.14919446380952</v>
      </c>
      <c r="AG2420" s="750">
        <f t="shared" si="777"/>
        <v>18.899999999999999</v>
      </c>
      <c r="AH2420" s="750">
        <f t="shared" si="772"/>
        <v>1547.3435977313275</v>
      </c>
      <c r="AI2420" s="750">
        <v>0.6</v>
      </c>
      <c r="AJ2420" s="750"/>
      <c r="AK2420" s="750"/>
      <c r="AL2420" s="750"/>
      <c r="AM2420" s="750"/>
      <c r="AN2420" s="750"/>
      <c r="AO2420" s="750"/>
      <c r="AP2420" s="750"/>
      <c r="AQ2420" s="750"/>
      <c r="AR2420" s="750"/>
      <c r="AS2420" s="750">
        <f>(((U2420+AE2420+AG2420+AH2420)*AI2420)+(U2420+AE2420+AG2420+AH2420))*1.08</f>
        <v>3221.6707449131973</v>
      </c>
      <c r="AT2420" s="750">
        <f>(((U2420+AF2420+AG2420+AH2420)*AI2420)+(U2420+AF2420+AG2420+AH2420))*1.08</f>
        <v>3221.6707449131973</v>
      </c>
    </row>
    <row r="2421" spans="3:46" s="29" customFormat="1" ht="31.5" x14ac:dyDescent="0.25">
      <c r="C2421" s="1003"/>
      <c r="D2421" s="999"/>
      <c r="E2421" s="119" t="s">
        <v>686</v>
      </c>
      <c r="M2421" s="750" t="s">
        <v>458</v>
      </c>
      <c r="N2421" s="750">
        <f>S9</f>
        <v>46.63</v>
      </c>
      <c r="O2421" s="750" t="str">
        <f>R10</f>
        <v>g</v>
      </c>
      <c r="P2421" s="750">
        <v>40</v>
      </c>
      <c r="Q2421" s="750">
        <f t="shared" si="771"/>
        <v>1865.2</v>
      </c>
      <c r="R2421" s="750">
        <v>0</v>
      </c>
      <c r="S2421" s="750">
        <f t="shared" si="774"/>
        <v>0</v>
      </c>
      <c r="T2421" s="750">
        <f t="shared" si="775"/>
        <v>40</v>
      </c>
      <c r="U2421" s="750">
        <f t="shared" si="776"/>
        <v>1865.2</v>
      </c>
      <c r="V2421" s="577" t="s">
        <v>1963</v>
      </c>
      <c r="W2421" s="577" t="s">
        <v>1963</v>
      </c>
      <c r="X2421" s="577" t="s">
        <v>1963</v>
      </c>
      <c r="Y2421" s="577"/>
      <c r="Z2421" s="577"/>
      <c r="AA2421" s="577">
        <f>AR13</f>
        <v>178.14919446380952</v>
      </c>
      <c r="AB2421" s="577" t="s">
        <v>1963</v>
      </c>
      <c r="AC2421" s="577" t="s">
        <v>1963</v>
      </c>
      <c r="AD2421" s="577" t="s">
        <v>1963</v>
      </c>
      <c r="AE2421" s="577" t="s">
        <v>1963</v>
      </c>
      <c r="AF2421" s="577" t="s">
        <v>1963</v>
      </c>
      <c r="AG2421" s="750">
        <f t="shared" si="777"/>
        <v>18.899999999999999</v>
      </c>
      <c r="AH2421" s="750">
        <f t="shared" si="772"/>
        <v>1547.3435977313275</v>
      </c>
      <c r="AI2421" s="750">
        <v>0.6</v>
      </c>
      <c r="AJ2421" s="750"/>
      <c r="AK2421" s="750"/>
      <c r="AL2421" s="750"/>
      <c r="AM2421" s="750"/>
      <c r="AN2421" s="750"/>
      <c r="AO2421" s="825">
        <f>(((U2421+AA2421+AG2421+AH2421)*AI2421)+(U2421+AA2421+AG2421+AH2421))*1.08</f>
        <v>6237.3763449131966</v>
      </c>
      <c r="AP2421" s="750"/>
      <c r="AQ2421" s="750"/>
      <c r="AR2421" s="750"/>
      <c r="AS2421" s="750"/>
      <c r="AT2421" s="750"/>
    </row>
    <row r="2422" spans="3:46" s="29" customFormat="1" ht="31.5" x14ac:dyDescent="0.25">
      <c r="C2422" s="1003"/>
      <c r="D2422" s="999" t="s">
        <v>687</v>
      </c>
      <c r="E2422" s="119" t="s">
        <v>399</v>
      </c>
      <c r="M2422" s="750" t="s">
        <v>485</v>
      </c>
      <c r="N2422" s="750">
        <f>V12</f>
        <v>25.98</v>
      </c>
      <c r="O2422" s="750" t="str">
        <f>U12</f>
        <v>g</v>
      </c>
      <c r="P2422" s="750">
        <v>30</v>
      </c>
      <c r="Q2422" s="750">
        <f t="shared" si="771"/>
        <v>779.4</v>
      </c>
      <c r="R2422" s="750">
        <v>0</v>
      </c>
      <c r="S2422" s="750">
        <f t="shared" si="774"/>
        <v>0</v>
      </c>
      <c r="T2422" s="750">
        <f t="shared" si="775"/>
        <v>30</v>
      </c>
      <c r="U2422" s="750">
        <f t="shared" si="776"/>
        <v>779.4</v>
      </c>
      <c r="V2422" s="577" t="s">
        <v>1963</v>
      </c>
      <c r="W2422" s="577" t="s">
        <v>1963</v>
      </c>
      <c r="X2422" s="577" t="s">
        <v>1963</v>
      </c>
      <c r="Y2422" s="577">
        <f>AO26</f>
        <v>953.74829894127811</v>
      </c>
      <c r="Z2422" s="577" t="s">
        <v>1963</v>
      </c>
      <c r="AA2422" s="577">
        <f>AO26</f>
        <v>953.74829894127811</v>
      </c>
      <c r="AB2422" s="577" t="s">
        <v>1963</v>
      </c>
      <c r="AC2422" s="577" t="s">
        <v>1963</v>
      </c>
      <c r="AD2422" s="577" t="s">
        <v>1963</v>
      </c>
      <c r="AE2422" s="577" t="s">
        <v>1963</v>
      </c>
      <c r="AF2422" s="577" t="s">
        <v>1963</v>
      </c>
      <c r="AG2422" s="750">
        <f t="shared" si="777"/>
        <v>18.899999999999999</v>
      </c>
      <c r="AH2422" s="750">
        <f t="shared" si="772"/>
        <v>1547.3435977313275</v>
      </c>
      <c r="AI2422" s="750">
        <v>0.6</v>
      </c>
      <c r="AJ2422" s="750"/>
      <c r="AK2422" s="750"/>
      <c r="AL2422" s="750"/>
      <c r="AM2422" s="750">
        <f>(((U2422+Y2422+AG2422+AH2422)*AI2422)+(U2422+Y2422+AG2422+AH2422))*1.08</f>
        <v>5701.3491974502631</v>
      </c>
      <c r="AN2422" s="750"/>
      <c r="AO2422" s="750">
        <f>(((U2422+AA2422+AG2422+AH2422)*AI2422)+(U2422+AA2422+AG2422+AH2422))*1.08</f>
        <v>5701.3491974502631</v>
      </c>
      <c r="AP2422" s="750"/>
      <c r="AQ2422" s="750"/>
      <c r="AR2422" s="750"/>
      <c r="AS2422" s="750"/>
      <c r="AT2422" s="750"/>
    </row>
    <row r="2423" spans="3:46" s="29" customFormat="1" ht="31.5" x14ac:dyDescent="0.25">
      <c r="C2423" s="1003"/>
      <c r="D2423" s="999"/>
      <c r="E2423" s="119" t="s">
        <v>688</v>
      </c>
      <c r="M2423" s="750" t="s">
        <v>541</v>
      </c>
      <c r="N2423" s="750">
        <f>V16</f>
        <v>54.41</v>
      </c>
      <c r="O2423" s="750" t="str">
        <f>U16</f>
        <v>g</v>
      </c>
      <c r="P2423" s="750">
        <v>30</v>
      </c>
      <c r="Q2423" s="750">
        <f t="shared" si="771"/>
        <v>1632.3</v>
      </c>
      <c r="R2423" s="750">
        <v>0</v>
      </c>
      <c r="S2423" s="750">
        <f t="shared" si="774"/>
        <v>0</v>
      </c>
      <c r="T2423" s="750">
        <f t="shared" si="775"/>
        <v>30</v>
      </c>
      <c r="U2423" s="750">
        <f t="shared" si="776"/>
        <v>1632.3</v>
      </c>
      <c r="V2423" s="577" t="s">
        <v>1963</v>
      </c>
      <c r="W2423" s="577" t="s">
        <v>1963</v>
      </c>
      <c r="X2423" s="577" t="s">
        <v>1963</v>
      </c>
      <c r="Y2423" s="577">
        <f>AO26</f>
        <v>953.74829894127811</v>
      </c>
      <c r="Z2423" s="577" t="s">
        <v>1963</v>
      </c>
      <c r="AA2423" s="577">
        <f>AO26</f>
        <v>953.74829894127811</v>
      </c>
      <c r="AB2423" s="577" t="s">
        <v>1963</v>
      </c>
      <c r="AC2423" s="577" t="s">
        <v>1963</v>
      </c>
      <c r="AD2423" s="577" t="s">
        <v>1963</v>
      </c>
      <c r="AE2423" s="577" t="s">
        <v>1963</v>
      </c>
      <c r="AF2423" s="577" t="s">
        <v>1963</v>
      </c>
      <c r="AG2423" s="750">
        <f t="shared" si="777"/>
        <v>18.899999999999999</v>
      </c>
      <c r="AH2423" s="750">
        <f t="shared" si="772"/>
        <v>1547.3435977313275</v>
      </c>
      <c r="AI2423" s="750">
        <v>0.6</v>
      </c>
      <c r="AJ2423" s="750"/>
      <c r="AK2423" s="750"/>
      <c r="AL2423" s="750"/>
      <c r="AM2423" s="750">
        <f>(((U2423+Y2423+AG2423+AH2423)*AI2423)+(U2423+Y2423+AG2423+AH2423))*1.08</f>
        <v>7175.1603974502632</v>
      </c>
      <c r="AN2423" s="750"/>
      <c r="AO2423" s="750">
        <f>(((U2423+AA2423+AG2423+AH2423)*AI2423)+(U2423+AA2423+AG2423+AH2423))*1.08</f>
        <v>7175.1603974502632</v>
      </c>
      <c r="AP2423" s="750"/>
      <c r="AQ2423" s="750"/>
      <c r="AR2423" s="750"/>
      <c r="AS2423" s="750"/>
      <c r="AT2423" s="750"/>
    </row>
    <row r="2424" spans="3:46" s="29" customFormat="1" ht="31.5" x14ac:dyDescent="0.25">
      <c r="C2424" s="1003"/>
      <c r="D2424" s="999"/>
      <c r="E2424" s="119" t="s">
        <v>812</v>
      </c>
      <c r="M2424" s="750" t="s">
        <v>539</v>
      </c>
      <c r="N2424" s="750">
        <f>P7</f>
        <v>2.5</v>
      </c>
      <c r="O2424" s="750" t="str">
        <f>O7</f>
        <v>g</v>
      </c>
      <c r="P2424" s="750">
        <v>30</v>
      </c>
      <c r="Q2424" s="750">
        <f t="shared" si="771"/>
        <v>75</v>
      </c>
      <c r="R2424" s="750">
        <f>AJ5</f>
        <v>0.13</v>
      </c>
      <c r="S2424" s="750">
        <f t="shared" si="774"/>
        <v>3.9000000000000004</v>
      </c>
      <c r="T2424" s="750">
        <f t="shared" si="775"/>
        <v>26.1</v>
      </c>
      <c r="U2424" s="750">
        <f t="shared" si="776"/>
        <v>84.75</v>
      </c>
      <c r="V2424" s="577" t="s">
        <v>1963</v>
      </c>
      <c r="W2424" s="577" t="s">
        <v>1963</v>
      </c>
      <c r="X2424" s="577" t="s">
        <v>1963</v>
      </c>
      <c r="Y2424" s="577" t="s">
        <v>1963</v>
      </c>
      <c r="Z2424" s="577" t="s">
        <v>1963</v>
      </c>
      <c r="AA2424" s="577" t="s">
        <v>1963</v>
      </c>
      <c r="AB2424" s="577" t="s">
        <v>1963</v>
      </c>
      <c r="AC2424" s="577" t="s">
        <v>1963</v>
      </c>
      <c r="AD2424" s="577" t="s">
        <v>1963</v>
      </c>
      <c r="AE2424" s="577">
        <f t="shared" si="785"/>
        <v>178.14919446380952</v>
      </c>
      <c r="AF2424" s="577">
        <f t="shared" si="786"/>
        <v>178.14919446380952</v>
      </c>
      <c r="AG2424" s="750">
        <f t="shared" si="777"/>
        <v>18.899999999999999</v>
      </c>
      <c r="AH2424" s="750">
        <f t="shared" si="772"/>
        <v>1547.3435977313275</v>
      </c>
      <c r="AI2424" s="750">
        <v>0.6</v>
      </c>
      <c r="AJ2424" s="750"/>
      <c r="AK2424" s="750"/>
      <c r="AL2424" s="750"/>
      <c r="AM2424" s="750"/>
      <c r="AN2424" s="750"/>
      <c r="AO2424" s="825"/>
      <c r="AP2424" s="750"/>
      <c r="AQ2424" s="750"/>
      <c r="AR2424" s="750"/>
      <c r="AS2424" s="750">
        <f>(((U2424+AE2424+AG2424+AH2424)*AI2424)+(U2424+AE2424+AG2424+AH2424))*1.08</f>
        <v>3160.7587449131966</v>
      </c>
      <c r="AT2424" s="750">
        <f>(((U2424+AF2424+AG2424+AH2424)*AI2424)+(U2424+AF2424+AG2424+AH2424))*1.08</f>
        <v>3160.7587449131966</v>
      </c>
    </row>
    <row r="2425" spans="3:46" s="29" customFormat="1" ht="31.5" x14ac:dyDescent="0.25">
      <c r="C2425" s="1003"/>
      <c r="D2425" s="999" t="s">
        <v>689</v>
      </c>
      <c r="E2425" s="119" t="s">
        <v>399</v>
      </c>
      <c r="M2425" s="750" t="s">
        <v>529</v>
      </c>
      <c r="N2425" s="750">
        <f>P32</f>
        <v>17.72</v>
      </c>
      <c r="O2425" s="750" t="str">
        <f>O32</f>
        <v>g</v>
      </c>
      <c r="P2425" s="750">
        <v>30</v>
      </c>
      <c r="Q2425" s="750">
        <f t="shared" si="771"/>
        <v>531.59999999999991</v>
      </c>
      <c r="R2425" s="750">
        <f>AJ20</f>
        <v>0.31</v>
      </c>
      <c r="S2425" s="750">
        <f t="shared" si="774"/>
        <v>9.3000000000000007</v>
      </c>
      <c r="T2425" s="750">
        <f t="shared" si="775"/>
        <v>20.7</v>
      </c>
      <c r="U2425" s="750">
        <f t="shared" si="776"/>
        <v>696.39599999999984</v>
      </c>
      <c r="V2425" s="577" t="s">
        <v>1963</v>
      </c>
      <c r="W2425" s="577" t="s">
        <v>1963</v>
      </c>
      <c r="X2425" s="577" t="s">
        <v>1963</v>
      </c>
      <c r="Y2425" s="577" t="s">
        <v>1963</v>
      </c>
      <c r="Z2425" s="577" t="s">
        <v>1963</v>
      </c>
      <c r="AA2425" s="577" t="s">
        <v>1963</v>
      </c>
      <c r="AB2425" s="577" t="s">
        <v>1963</v>
      </c>
      <c r="AC2425" s="577" t="s">
        <v>1963</v>
      </c>
      <c r="AD2425" s="577" t="s">
        <v>1963</v>
      </c>
      <c r="AE2425" s="577">
        <f t="shared" si="785"/>
        <v>178.14919446380952</v>
      </c>
      <c r="AF2425" s="577">
        <f t="shared" si="786"/>
        <v>178.14919446380952</v>
      </c>
      <c r="AG2425" s="750">
        <f t="shared" si="777"/>
        <v>18.899999999999999</v>
      </c>
      <c r="AH2425" s="750">
        <f t="shared" si="772"/>
        <v>1547.3435977313275</v>
      </c>
      <c r="AI2425" s="750">
        <v>0.6</v>
      </c>
      <c r="AJ2425" s="750"/>
      <c r="AK2425" s="750"/>
      <c r="AL2425" s="750"/>
      <c r="AM2425" s="750"/>
      <c r="AN2425" s="750"/>
      <c r="AO2425" s="825"/>
      <c r="AP2425" s="750"/>
      <c r="AQ2425" s="750"/>
      <c r="AR2425" s="750"/>
      <c r="AS2425" s="750">
        <f>(((U2425+AE2425+AG2425+AH2425)*AI2425)+(U2425+AE2425+AG2425+AH2425))*1.08</f>
        <v>4217.6830329131963</v>
      </c>
      <c r="AT2425" s="750">
        <f>(((U2425+AF2425+AG2425+AH2425)*AI2425)+(U2425+AF2425+AG2425+AH2425))*1.08</f>
        <v>4217.6830329131963</v>
      </c>
    </row>
    <row r="2426" spans="3:46" s="29" customFormat="1" ht="31.5" x14ac:dyDescent="0.25">
      <c r="C2426" s="1003"/>
      <c r="D2426" s="999"/>
      <c r="E2426" s="119" t="s">
        <v>690</v>
      </c>
      <c r="M2426" s="750" t="s">
        <v>429</v>
      </c>
      <c r="N2426" s="750">
        <f>P29</f>
        <v>1.8</v>
      </c>
      <c r="O2426" s="750" t="str">
        <f>O29</f>
        <v>g</v>
      </c>
      <c r="P2426" s="750">
        <v>20</v>
      </c>
      <c r="Q2426" s="750">
        <f t="shared" si="771"/>
        <v>36</v>
      </c>
      <c r="R2426" s="750">
        <f>AJ18</f>
        <v>0.05</v>
      </c>
      <c r="S2426" s="750">
        <f t="shared" si="774"/>
        <v>1</v>
      </c>
      <c r="T2426" s="750">
        <f t="shared" si="775"/>
        <v>19</v>
      </c>
      <c r="U2426" s="750">
        <f t="shared" si="776"/>
        <v>37.799999999999997</v>
      </c>
      <c r="V2426" s="577" t="s">
        <v>1963</v>
      </c>
      <c r="W2426" s="577" t="s">
        <v>1963</v>
      </c>
      <c r="X2426" s="577" t="s">
        <v>1963</v>
      </c>
      <c r="Y2426" s="577" t="s">
        <v>1963</v>
      </c>
      <c r="Z2426" s="577" t="s">
        <v>1963</v>
      </c>
      <c r="AA2426" s="577" t="s">
        <v>1963</v>
      </c>
      <c r="AB2426" s="577" t="s">
        <v>1963</v>
      </c>
      <c r="AC2426" s="577" t="s">
        <v>1963</v>
      </c>
      <c r="AD2426" s="577" t="s">
        <v>1963</v>
      </c>
      <c r="AE2426" s="577">
        <f t="shared" si="785"/>
        <v>178.14919446380952</v>
      </c>
      <c r="AF2426" s="577">
        <f t="shared" si="786"/>
        <v>178.14919446380952</v>
      </c>
      <c r="AG2426" s="750">
        <f t="shared" si="777"/>
        <v>18.899999999999999</v>
      </c>
      <c r="AH2426" s="750">
        <f t="shared" si="772"/>
        <v>1547.3435977313275</v>
      </c>
      <c r="AI2426" s="750">
        <v>0.6</v>
      </c>
      <c r="AJ2426" s="750"/>
      <c r="AK2426" s="750"/>
      <c r="AL2426" s="750"/>
      <c r="AM2426" s="750"/>
      <c r="AN2426" s="750"/>
      <c r="AO2426" s="825"/>
      <c r="AP2426" s="750"/>
      <c r="AQ2426" s="750"/>
      <c r="AR2426" s="750"/>
      <c r="AS2426" s="750">
        <f>(((U2426+AE2426+AG2426+AH2426)*AI2426)+(U2426+AE2426+AG2426+AH2426))*1.08</f>
        <v>3079.6291449131968</v>
      </c>
      <c r="AT2426" s="750">
        <f>(((U2426+AF2426+AG2426+AH2426)*AI2426)+(U2426+AF2426+AG2426+AH2426))*1.08</f>
        <v>3079.6291449131968</v>
      </c>
    </row>
    <row r="2427" spans="3:46" s="29" customFormat="1" ht="31.5" x14ac:dyDescent="0.25">
      <c r="C2427" s="1003"/>
      <c r="D2427" s="999"/>
      <c r="E2427" s="119" t="s">
        <v>813</v>
      </c>
      <c r="M2427" s="750" t="s">
        <v>461</v>
      </c>
      <c r="N2427" s="750">
        <f>P8</f>
        <v>3.3330000000000002</v>
      </c>
      <c r="O2427" s="750" t="str">
        <f>O8</f>
        <v>g</v>
      </c>
      <c r="P2427" s="750">
        <v>30</v>
      </c>
      <c r="Q2427" s="750">
        <f t="shared" si="771"/>
        <v>99.990000000000009</v>
      </c>
      <c r="R2427" s="750">
        <f>AJ6</f>
        <v>0.5</v>
      </c>
      <c r="S2427" s="750">
        <f t="shared" si="774"/>
        <v>15</v>
      </c>
      <c r="T2427" s="750">
        <f t="shared" si="775"/>
        <v>15</v>
      </c>
      <c r="U2427" s="750">
        <f t="shared" si="776"/>
        <v>149.98500000000001</v>
      </c>
      <c r="V2427" s="577" t="s">
        <v>1963</v>
      </c>
      <c r="W2427" s="577" t="s">
        <v>1963</v>
      </c>
      <c r="X2427" s="577" t="s">
        <v>1963</v>
      </c>
      <c r="Y2427" s="577" t="s">
        <v>1963</v>
      </c>
      <c r="Z2427" s="577" t="s">
        <v>1963</v>
      </c>
      <c r="AA2427" s="577" t="s">
        <v>1963</v>
      </c>
      <c r="AB2427" s="577" t="s">
        <v>1963</v>
      </c>
      <c r="AC2427" s="577" t="s">
        <v>1963</v>
      </c>
      <c r="AD2427" s="577" t="s">
        <v>1963</v>
      </c>
      <c r="AE2427" s="577">
        <f t="shared" si="785"/>
        <v>178.14919446380952</v>
      </c>
      <c r="AF2427" s="577">
        <f t="shared" si="786"/>
        <v>178.14919446380952</v>
      </c>
      <c r="AG2427" s="750">
        <f t="shared" si="777"/>
        <v>18.899999999999999</v>
      </c>
      <c r="AH2427" s="750">
        <f t="shared" si="772"/>
        <v>1547.3435977313275</v>
      </c>
      <c r="AI2427" s="750">
        <v>0.6</v>
      </c>
      <c r="AJ2427" s="750"/>
      <c r="AK2427" s="750"/>
      <c r="AL2427" s="750"/>
      <c r="AM2427" s="750"/>
      <c r="AN2427" s="750"/>
      <c r="AO2427" s="825"/>
      <c r="AP2427" s="750"/>
      <c r="AQ2427" s="750"/>
      <c r="AR2427" s="750"/>
      <c r="AS2427" s="750">
        <f>(((U2427+AE2427+AG2427+AH2427)*AI2427)+(U2427+AE2427+AG2427+AH2427))*1.08</f>
        <v>3273.4848249131969</v>
      </c>
      <c r="AT2427" s="750">
        <f>(((U2427+AF2427+AG2427+AH2427)*AI2427)+(U2427+AF2427+AG2427+AH2427))*1.08</f>
        <v>3273.4848249131969</v>
      </c>
    </row>
    <row r="2428" spans="3:46" s="29" customFormat="1" x14ac:dyDescent="0.25">
      <c r="M2428" s="750" t="s">
        <v>514</v>
      </c>
      <c r="N2428" s="750">
        <f>AB3</f>
        <v>4.3</v>
      </c>
      <c r="O2428" s="750" t="str">
        <f>AA3</f>
        <v>g</v>
      </c>
      <c r="P2428" s="750">
        <v>20</v>
      </c>
      <c r="Q2428" s="750">
        <f t="shared" si="771"/>
        <v>86</v>
      </c>
      <c r="R2428" s="750">
        <v>0</v>
      </c>
      <c r="S2428" s="750">
        <f t="shared" si="774"/>
        <v>0</v>
      </c>
      <c r="T2428" s="750">
        <f t="shared" si="775"/>
        <v>20</v>
      </c>
      <c r="U2428" s="750">
        <f t="shared" si="776"/>
        <v>86</v>
      </c>
      <c r="V2428" s="577">
        <f>AL26</f>
        <v>1801.715474357886</v>
      </c>
      <c r="W2428" s="577" t="s">
        <v>1963</v>
      </c>
      <c r="X2428" s="577" t="s">
        <v>1963</v>
      </c>
      <c r="Y2428" s="577" t="s">
        <v>1963</v>
      </c>
      <c r="Z2428" s="577" t="s">
        <v>1963</v>
      </c>
      <c r="AA2428" s="577" t="s">
        <v>1963</v>
      </c>
      <c r="AB2428" s="577" t="s">
        <v>1963</v>
      </c>
      <c r="AC2428" s="577" t="s">
        <v>1963</v>
      </c>
      <c r="AD2428" s="577" t="s">
        <v>1963</v>
      </c>
      <c r="AE2428" s="577" t="s">
        <v>1963</v>
      </c>
      <c r="AF2428" s="577" t="s">
        <v>1963</v>
      </c>
      <c r="AG2428" s="750">
        <f t="shared" si="777"/>
        <v>18.899999999999999</v>
      </c>
      <c r="AH2428" s="750">
        <f t="shared" si="772"/>
        <v>1547.3435977313275</v>
      </c>
      <c r="AI2428" s="750">
        <v>0.6</v>
      </c>
      <c r="AJ2428" s="750">
        <f>(((U2428+V2428+AG2428+AH2428)*AI2428)+(U2428+V2428+AG2428+AH2428))*1.08</f>
        <v>5968.4412765701618</v>
      </c>
      <c r="AK2428" s="750"/>
      <c r="AL2428" s="750"/>
      <c r="AM2428" s="750"/>
      <c r="AN2428" s="750"/>
      <c r="AO2428" s="825"/>
      <c r="AP2428" s="750"/>
      <c r="AQ2428" s="750"/>
      <c r="AR2428" s="750"/>
      <c r="AS2428" s="750"/>
      <c r="AT2428" s="750"/>
    </row>
    <row r="2429" spans="3:46" s="29" customFormat="1" x14ac:dyDescent="0.25">
      <c r="M2429" s="750" t="s">
        <v>533</v>
      </c>
      <c r="N2429" s="750">
        <f>AB5</f>
        <v>3.6</v>
      </c>
      <c r="O2429" s="750" t="str">
        <f>AA5</f>
        <v>g</v>
      </c>
      <c r="P2429" s="750">
        <v>20</v>
      </c>
      <c r="Q2429" s="750">
        <f t="shared" si="771"/>
        <v>72</v>
      </c>
      <c r="R2429" s="750">
        <v>0</v>
      </c>
      <c r="S2429" s="750">
        <f t="shared" si="774"/>
        <v>0</v>
      </c>
      <c r="T2429" s="750">
        <f t="shared" si="775"/>
        <v>20</v>
      </c>
      <c r="U2429" s="750">
        <f t="shared" si="776"/>
        <v>72</v>
      </c>
      <c r="V2429" s="577" t="s">
        <v>1963</v>
      </c>
      <c r="W2429" s="577" t="s">
        <v>1963</v>
      </c>
      <c r="X2429" s="577">
        <f t="shared" si="778"/>
        <v>267.22379169571428</v>
      </c>
      <c r="Y2429" s="577" t="s">
        <v>1963</v>
      </c>
      <c r="Z2429" s="577" t="s">
        <v>1963</v>
      </c>
      <c r="AA2429" s="577" t="s">
        <v>1963</v>
      </c>
      <c r="AB2429" s="577" t="s">
        <v>1963</v>
      </c>
      <c r="AC2429" s="577" t="s">
        <v>1963</v>
      </c>
      <c r="AD2429" s="577" t="s">
        <v>1963</v>
      </c>
      <c r="AE2429" s="577">
        <f t="shared" si="785"/>
        <v>178.14919446380952</v>
      </c>
      <c r="AF2429" s="577" t="s">
        <v>1963</v>
      </c>
      <c r="AG2429" s="750">
        <f t="shared" si="777"/>
        <v>18.899999999999999</v>
      </c>
      <c r="AH2429" s="750">
        <f t="shared" si="772"/>
        <v>1547.3435977313275</v>
      </c>
      <c r="AI2429" s="750">
        <v>0.6</v>
      </c>
      <c r="AJ2429" s="750"/>
      <c r="AK2429" s="750"/>
      <c r="AL2429" s="750">
        <f>(((U2429+X2429+AG2429+AH2429)*AI2429)+(U2429+X2429+AG2429+AH2429))*1.08</f>
        <v>3292.6476489299284</v>
      </c>
      <c r="AM2429" s="750"/>
      <c r="AN2429" s="750"/>
      <c r="AO2429" s="825"/>
      <c r="AP2429" s="750"/>
      <c r="AQ2429" s="750"/>
      <c r="AR2429" s="750"/>
      <c r="AS2429" s="750">
        <f>(((U2429+AE2429+AG2429+AH2429)*AI2429)+(U2429+AE2429+AG2429+AH2429))*1.08</f>
        <v>3138.7267449131969</v>
      </c>
      <c r="AT2429" s="750"/>
    </row>
    <row r="2430" spans="3:46" s="29" customFormat="1" x14ac:dyDescent="0.25">
      <c r="M2430" s="750" t="s">
        <v>537</v>
      </c>
      <c r="N2430" s="750">
        <f>P2</f>
        <v>30.06</v>
      </c>
      <c r="O2430" s="750" t="str">
        <f>O2</f>
        <v>g</v>
      </c>
      <c r="P2430" s="750">
        <v>10</v>
      </c>
      <c r="Q2430" s="750">
        <f t="shared" si="771"/>
        <v>300.59999999999997</v>
      </c>
      <c r="R2430" s="750">
        <v>0</v>
      </c>
      <c r="S2430" s="750">
        <f t="shared" si="774"/>
        <v>0</v>
      </c>
      <c r="T2430" s="750">
        <f t="shared" si="775"/>
        <v>10</v>
      </c>
      <c r="U2430" s="750">
        <f t="shared" si="776"/>
        <v>300.59999999999997</v>
      </c>
      <c r="V2430" s="577">
        <f>AL26</f>
        <v>1801.715474357886</v>
      </c>
      <c r="W2430" s="577" t="s">
        <v>1963</v>
      </c>
      <c r="X2430" s="577" t="s">
        <v>1963</v>
      </c>
      <c r="Y2430" s="577" t="s">
        <v>1963</v>
      </c>
      <c r="Z2430" s="577" t="s">
        <v>1963</v>
      </c>
      <c r="AA2430" s="577" t="s">
        <v>1963</v>
      </c>
      <c r="AB2430" s="577" t="s">
        <v>1963</v>
      </c>
      <c r="AC2430" s="577" t="s">
        <v>1963</v>
      </c>
      <c r="AD2430" s="577" t="s">
        <v>1963</v>
      </c>
      <c r="AE2430" s="577" t="s">
        <v>1963</v>
      </c>
      <c r="AF2430" s="577" t="s">
        <v>1963</v>
      </c>
      <c r="AG2430" s="750">
        <f t="shared" si="777"/>
        <v>18.899999999999999</v>
      </c>
      <c r="AH2430" s="750">
        <f t="shared" si="772"/>
        <v>1547.3435977313275</v>
      </c>
      <c r="AI2430" s="750">
        <v>0.6</v>
      </c>
      <c r="AJ2430" s="750">
        <f>(((U2430+V2430+AG2430+AH2430)*AI2430)+(U2430+V2430+AG2430+AH2430))*1.08</f>
        <v>6339.270076570162</v>
      </c>
      <c r="AK2430" s="750"/>
      <c r="AL2430" s="750"/>
      <c r="AM2430" s="750"/>
      <c r="AN2430" s="750"/>
      <c r="AO2430" s="825"/>
      <c r="AP2430" s="750"/>
      <c r="AQ2430" s="750"/>
      <c r="AR2430" s="750"/>
      <c r="AS2430" s="750"/>
      <c r="AT2430" s="750"/>
    </row>
    <row r="2431" spans="3:46" s="29" customFormat="1" x14ac:dyDescent="0.25">
      <c r="M2431" s="750" t="s">
        <v>531</v>
      </c>
      <c r="N2431" s="750">
        <f>AB6</f>
        <v>5.18</v>
      </c>
      <c r="O2431" s="750" t="str">
        <f>AA6</f>
        <v>g</v>
      </c>
      <c r="P2431" s="750">
        <v>30</v>
      </c>
      <c r="Q2431" s="750">
        <f t="shared" si="771"/>
        <v>155.39999999999998</v>
      </c>
      <c r="R2431" s="750">
        <v>0</v>
      </c>
      <c r="S2431" s="750">
        <f t="shared" si="774"/>
        <v>0</v>
      </c>
      <c r="T2431" s="750">
        <f t="shared" si="775"/>
        <v>30</v>
      </c>
      <c r="U2431" s="750">
        <f t="shared" si="776"/>
        <v>155.39999999999998</v>
      </c>
      <c r="V2431" s="577" t="s">
        <v>1963</v>
      </c>
      <c r="W2431" s="577" t="s">
        <v>1963</v>
      </c>
      <c r="X2431" s="577">
        <f t="shared" si="778"/>
        <v>267.22379169571428</v>
      </c>
      <c r="Y2431" s="577" t="s">
        <v>1963</v>
      </c>
      <c r="Z2431" s="577" t="s">
        <v>1963</v>
      </c>
      <c r="AA2431" s="577" t="s">
        <v>1963</v>
      </c>
      <c r="AB2431" s="577" t="s">
        <v>1963</v>
      </c>
      <c r="AC2431" s="577" t="s">
        <v>1963</v>
      </c>
      <c r="AD2431" s="577" t="s">
        <v>1963</v>
      </c>
      <c r="AE2431" s="577">
        <f t="shared" si="785"/>
        <v>178.14919446380952</v>
      </c>
      <c r="AF2431" s="577" t="s">
        <v>1963</v>
      </c>
      <c r="AG2431" s="750">
        <f t="shared" si="777"/>
        <v>18.899999999999999</v>
      </c>
      <c r="AH2431" s="750">
        <f t="shared" si="772"/>
        <v>1547.3435977313275</v>
      </c>
      <c r="AI2431" s="750">
        <v>0.6</v>
      </c>
      <c r="AJ2431" s="750"/>
      <c r="AK2431" s="750"/>
      <c r="AL2431" s="750">
        <f>(((U2431+X2431+AG2431+AH2431)*AI2431)+(U2431+X2431+AG2431+AH2431))*1.08</f>
        <v>3436.7628489299277</v>
      </c>
      <c r="AM2431" s="750"/>
      <c r="AN2431" s="750"/>
      <c r="AO2431" s="825"/>
      <c r="AP2431" s="750"/>
      <c r="AQ2431" s="750"/>
      <c r="AR2431" s="750"/>
      <c r="AS2431" s="750">
        <f>(((U2431+AE2431+AG2431+AH2431)*AI2431)+(U2431+AE2431+AG2431+AH2431))*1.08</f>
        <v>3282.8419449131966</v>
      </c>
      <c r="AT2431" s="750"/>
    </row>
    <row r="2432" spans="3:46" s="29" customFormat="1" x14ac:dyDescent="0.25">
      <c r="M2432" s="750" t="s">
        <v>670</v>
      </c>
      <c r="N2432" s="750">
        <f>AB4</f>
        <v>4.8</v>
      </c>
      <c r="O2432" s="750" t="str">
        <f>AA4</f>
        <v>g</v>
      </c>
      <c r="P2432" s="750">
        <v>30</v>
      </c>
      <c r="Q2432" s="750">
        <f t="shared" si="771"/>
        <v>144</v>
      </c>
      <c r="R2432" s="750">
        <v>0</v>
      </c>
      <c r="S2432" s="750">
        <f t="shared" si="774"/>
        <v>0</v>
      </c>
      <c r="T2432" s="750">
        <f t="shared" si="775"/>
        <v>30</v>
      </c>
      <c r="U2432" s="750">
        <f t="shared" si="776"/>
        <v>144</v>
      </c>
      <c r="V2432" s="577" t="s">
        <v>1963</v>
      </c>
      <c r="W2432" s="577" t="s">
        <v>1963</v>
      </c>
      <c r="X2432" s="577">
        <f t="shared" si="778"/>
        <v>267.22379169571428</v>
      </c>
      <c r="Y2432" s="577" t="s">
        <v>1963</v>
      </c>
      <c r="Z2432" s="577" t="s">
        <v>1963</v>
      </c>
      <c r="AA2432" s="577" t="s">
        <v>1963</v>
      </c>
      <c r="AB2432" s="577" t="s">
        <v>1963</v>
      </c>
      <c r="AC2432" s="577" t="s">
        <v>1963</v>
      </c>
      <c r="AD2432" s="577" t="s">
        <v>1963</v>
      </c>
      <c r="AE2432" s="577">
        <f t="shared" si="785"/>
        <v>178.14919446380952</v>
      </c>
      <c r="AF2432" s="577" t="s">
        <v>1963</v>
      </c>
      <c r="AG2432" s="750">
        <f t="shared" si="777"/>
        <v>18.899999999999999</v>
      </c>
      <c r="AH2432" s="750">
        <f t="shared" si="772"/>
        <v>1547.3435977313275</v>
      </c>
      <c r="AI2432" s="750">
        <v>0.6</v>
      </c>
      <c r="AJ2432" s="750"/>
      <c r="AK2432" s="750"/>
      <c r="AL2432" s="750">
        <f>(((U2432+X2432+AG2432+AH2432)*AI2432)+(U2432+X2432+AG2432+AH2432))*1.08</f>
        <v>3417.0636489299281</v>
      </c>
      <c r="AM2432" s="750"/>
      <c r="AN2432" s="750"/>
      <c r="AO2432" s="825"/>
      <c r="AP2432" s="750"/>
      <c r="AQ2432" s="750"/>
      <c r="AR2432" s="750"/>
      <c r="AS2432" s="750">
        <f t="shared" ref="AS2432:AS2433" si="787">(((U2432+AE2432+AG2432+AH2432)*AI2432)+(U2432+AE2432+AG2432+AH2432))*1.08</f>
        <v>3263.1427449131966</v>
      </c>
      <c r="AT2432" s="750"/>
    </row>
    <row r="2433" spans="3:46" s="29" customFormat="1" x14ac:dyDescent="0.25">
      <c r="M2433" s="750" t="s">
        <v>657</v>
      </c>
      <c r="N2433" s="577">
        <f>AB7</f>
        <v>19.98</v>
      </c>
      <c r="O2433" s="750" t="str">
        <f>AA7</f>
        <v>g</v>
      </c>
      <c r="P2433" s="750">
        <v>30</v>
      </c>
      <c r="Q2433" s="750">
        <f t="shared" si="771"/>
        <v>599.4</v>
      </c>
      <c r="R2433" s="750">
        <v>0</v>
      </c>
      <c r="S2433" s="750">
        <f t="shared" si="774"/>
        <v>0</v>
      </c>
      <c r="T2433" s="750">
        <f t="shared" ref="T2433:T2434" si="788">P2433-S2433</f>
        <v>30</v>
      </c>
      <c r="U2433" s="750">
        <f t="shared" ref="U2433:U2434" si="789">Q2433+((S2433*Q2433)/P2433)</f>
        <v>599.4</v>
      </c>
      <c r="V2433" s="577"/>
      <c r="W2433" s="577"/>
      <c r="X2433" s="577"/>
      <c r="Y2433" s="577"/>
      <c r="Z2433" s="577"/>
      <c r="AA2433" s="577"/>
      <c r="AB2433" s="577"/>
      <c r="AC2433" s="577"/>
      <c r="AD2433" s="577"/>
      <c r="AE2433" s="577">
        <f>AR18</f>
        <v>178.14919446380952</v>
      </c>
      <c r="AF2433" s="577"/>
      <c r="AG2433" s="750">
        <f t="shared" si="777"/>
        <v>18.899999999999999</v>
      </c>
      <c r="AH2433" s="750">
        <f t="shared" si="772"/>
        <v>1547.3435977313275</v>
      </c>
      <c r="AI2433" s="750">
        <v>0.6</v>
      </c>
      <c r="AJ2433" s="750"/>
      <c r="AK2433" s="750"/>
      <c r="AM2433" s="577"/>
      <c r="AN2433" s="577"/>
      <c r="AO2433" s="577"/>
      <c r="AP2433" s="750"/>
      <c r="AQ2433" s="750"/>
      <c r="AR2433" s="750"/>
      <c r="AS2433" s="750">
        <f t="shared" si="787"/>
        <v>4050.0739449131966</v>
      </c>
      <c r="AT2433" s="750"/>
    </row>
    <row r="2434" spans="3:46" s="29" customFormat="1" x14ac:dyDescent="0.25">
      <c r="M2434" s="750" t="s">
        <v>676</v>
      </c>
      <c r="N2434" s="577">
        <f>S16</f>
        <v>31.23</v>
      </c>
      <c r="O2434" s="750" t="str">
        <f>R16</f>
        <v>g</v>
      </c>
      <c r="P2434" s="750">
        <v>30</v>
      </c>
      <c r="Q2434" s="750">
        <f t="shared" si="771"/>
        <v>936.9</v>
      </c>
      <c r="R2434" s="750">
        <v>0</v>
      </c>
      <c r="S2434" s="750">
        <f t="shared" si="774"/>
        <v>0</v>
      </c>
      <c r="T2434" s="750">
        <f t="shared" si="788"/>
        <v>30</v>
      </c>
      <c r="U2434" s="750">
        <f t="shared" si="789"/>
        <v>936.9</v>
      </c>
      <c r="V2434" s="750"/>
      <c r="W2434" s="750"/>
      <c r="X2434" s="750"/>
      <c r="Y2434" s="577"/>
      <c r="Z2434" s="577"/>
      <c r="AA2434" s="577">
        <f>AR13</f>
        <v>178.14919446380952</v>
      </c>
      <c r="AB2434" s="750"/>
      <c r="AC2434" s="750"/>
      <c r="AD2434" s="750"/>
      <c r="AE2434" s="750"/>
      <c r="AF2434" s="750"/>
      <c r="AG2434" s="750">
        <f t="shared" si="777"/>
        <v>18.899999999999999</v>
      </c>
      <c r="AH2434" s="750">
        <f t="shared" si="772"/>
        <v>1547.3435977313275</v>
      </c>
      <c r="AI2434" s="750">
        <v>0.6</v>
      </c>
      <c r="AJ2434" s="750"/>
      <c r="AK2434" s="750"/>
      <c r="AL2434" s="750"/>
      <c r="AM2434" s="577"/>
      <c r="AN2434" s="577"/>
      <c r="AO2434" s="577">
        <f>(((U2434+AA2434+AG2434+AH2434)*AI2434)+(U2434+AA2434+AG2434+AH2434))*1.08</f>
        <v>4633.2739449131968</v>
      </c>
      <c r="AP2434" s="750"/>
      <c r="AQ2434" s="750"/>
      <c r="AR2434" s="750"/>
      <c r="AS2434" s="750"/>
      <c r="AT2434" s="750"/>
    </row>
    <row r="2435" spans="3:46" s="29" customFormat="1" x14ac:dyDescent="0.25">
      <c r="M2435" s="750" t="s">
        <v>337</v>
      </c>
      <c r="N2435" s="750">
        <f>SUM(N2413:N2427)</f>
        <v>466.75300000000004</v>
      </c>
      <c r="O2435" s="750"/>
      <c r="P2435" s="750">
        <f>SUM(P2413:P2434)</f>
        <v>770</v>
      </c>
      <c r="Q2435" s="750">
        <f>SUM(Q2413:Q2434)</f>
        <v>22900.790000000005</v>
      </c>
      <c r="R2435" s="750"/>
      <c r="S2435" s="750"/>
      <c r="T2435" s="750"/>
      <c r="U2435" s="750">
        <f>SUM(U2413:U2434)</f>
        <v>30218.271000000004</v>
      </c>
      <c r="V2435" s="750"/>
      <c r="W2435" s="750"/>
      <c r="X2435" s="750"/>
      <c r="Y2435" s="750"/>
      <c r="Z2435" s="750"/>
      <c r="AA2435" s="750"/>
      <c r="AB2435" s="750"/>
      <c r="AC2435" s="750"/>
      <c r="AD2435" s="750"/>
      <c r="AE2435" s="750"/>
      <c r="AF2435" s="750"/>
      <c r="AG2435" s="750"/>
      <c r="AH2435" s="750"/>
      <c r="AI2435" s="750"/>
      <c r="AJ2435" s="750"/>
      <c r="AK2435" s="750"/>
      <c r="AL2435" s="750"/>
      <c r="AM2435" s="750"/>
      <c r="AN2435" s="750"/>
      <c r="AO2435" s="750"/>
      <c r="AP2435" s="750"/>
      <c r="AQ2435" s="750"/>
      <c r="AR2435" s="750"/>
      <c r="AS2435" s="750"/>
      <c r="AT2435" s="750"/>
    </row>
    <row r="2436" spans="3:46" s="29" customFormat="1" x14ac:dyDescent="0.25">
      <c r="M2436" s="107"/>
      <c r="N2436" s="107"/>
      <c r="O2436" s="107"/>
      <c r="P2436" s="107"/>
      <c r="Q2436" s="107"/>
      <c r="R2436" s="107"/>
      <c r="S2436" s="107"/>
      <c r="T2436" s="107"/>
      <c r="U2436" s="107"/>
      <c r="V2436" s="578"/>
      <c r="W2436" s="578"/>
      <c r="X2436" s="578"/>
      <c r="Y2436" s="578"/>
      <c r="Z2436" s="578"/>
      <c r="AA2436" s="578"/>
      <c r="AB2436" s="578"/>
      <c r="AC2436" s="578"/>
      <c r="AD2436" s="578"/>
      <c r="AE2436" s="578"/>
      <c r="AF2436" s="578"/>
      <c r="AG2436" s="578"/>
      <c r="AH2436" s="578"/>
      <c r="AI2436" s="578"/>
      <c r="AJ2436" s="578"/>
      <c r="AK2436" s="578"/>
      <c r="AL2436" s="578"/>
      <c r="AM2436" s="578"/>
      <c r="AN2436" s="578"/>
      <c r="AO2436" s="578"/>
      <c r="AP2436" s="578"/>
      <c r="AQ2436" s="578"/>
      <c r="AR2436" s="578"/>
      <c r="AS2436" s="578"/>
      <c r="AT2436" s="578"/>
    </row>
    <row r="2437" spans="3:46" s="29" customFormat="1" x14ac:dyDescent="0.25">
      <c r="M2437" s="107"/>
      <c r="N2437" s="107"/>
      <c r="O2437" s="107"/>
      <c r="P2437" s="107"/>
      <c r="Q2437" s="107"/>
      <c r="R2437" s="107"/>
      <c r="S2437" s="107"/>
      <c r="T2437" s="107"/>
      <c r="U2437" s="107"/>
      <c r="V2437" s="578"/>
      <c r="W2437" s="578"/>
      <c r="X2437" s="578"/>
      <c r="Y2437" s="578"/>
      <c r="Z2437" s="578"/>
      <c r="AA2437" s="578"/>
      <c r="AB2437" s="578"/>
      <c r="AC2437" s="578"/>
      <c r="AD2437" s="578"/>
      <c r="AE2437" s="578"/>
      <c r="AF2437" s="578"/>
      <c r="AG2437" s="578"/>
      <c r="AH2437" s="578"/>
      <c r="AI2437" s="578"/>
      <c r="AJ2437" s="578"/>
      <c r="AK2437" s="578"/>
      <c r="AL2437" s="578"/>
      <c r="AM2437" s="578"/>
      <c r="AN2437" s="578"/>
      <c r="AO2437" s="578"/>
      <c r="AP2437" s="578"/>
      <c r="AQ2437" s="578"/>
      <c r="AR2437" s="578"/>
      <c r="AS2437" s="578"/>
      <c r="AT2437" s="578"/>
    </row>
    <row r="2438" spans="3:46" s="29" customFormat="1" x14ac:dyDescent="0.25">
      <c r="M2438" s="107"/>
      <c r="N2438" s="107"/>
      <c r="O2438" s="107"/>
      <c r="P2438" s="107"/>
      <c r="Q2438" s="107"/>
      <c r="R2438" s="578"/>
      <c r="S2438" s="578"/>
      <c r="T2438" s="578"/>
      <c r="U2438" s="578"/>
      <c r="V2438" s="578"/>
      <c r="W2438" s="578"/>
      <c r="X2438" s="578"/>
      <c r="Y2438" s="578"/>
      <c r="Z2438" s="578"/>
      <c r="AA2438" s="578"/>
      <c r="AB2438" s="578"/>
      <c r="AC2438" s="578"/>
      <c r="AD2438" s="578"/>
      <c r="AE2438" s="578"/>
      <c r="AF2438" s="578"/>
      <c r="AG2438" s="578"/>
      <c r="AH2438" s="578"/>
      <c r="AI2438" s="578"/>
      <c r="AJ2438" s="578"/>
      <c r="AK2438" s="578"/>
      <c r="AL2438" s="578"/>
      <c r="AM2438" s="578"/>
      <c r="AN2438" s="578"/>
      <c r="AO2438" s="578"/>
      <c r="AP2438" s="578"/>
      <c r="AQ2438" s="578"/>
      <c r="AR2438" s="578"/>
      <c r="AS2438" s="578"/>
      <c r="AT2438" s="578"/>
    </row>
    <row r="2439" spans="3:46" s="29" customFormat="1" x14ac:dyDescent="0.25">
      <c r="C2439" s="118" t="s">
        <v>391</v>
      </c>
      <c r="D2439" s="118" t="s">
        <v>358</v>
      </c>
      <c r="E2439" s="118" t="s">
        <v>392</v>
      </c>
      <c r="M2439" s="750" t="s">
        <v>336</v>
      </c>
      <c r="N2439" s="750" t="s">
        <v>174</v>
      </c>
      <c r="O2439" s="750" t="s">
        <v>248</v>
      </c>
      <c r="P2439" s="750" t="s">
        <v>176</v>
      </c>
      <c r="Q2439" s="750" t="s">
        <v>337</v>
      </c>
      <c r="R2439" s="750" t="s">
        <v>1641</v>
      </c>
      <c r="S2439" s="750" t="s">
        <v>1642</v>
      </c>
      <c r="T2439" s="750" t="s">
        <v>1643</v>
      </c>
      <c r="U2439" s="750" t="s">
        <v>1644</v>
      </c>
      <c r="V2439" s="750" t="s">
        <v>1919</v>
      </c>
      <c r="W2439" s="750" t="s">
        <v>1920</v>
      </c>
      <c r="X2439" s="750" t="s">
        <v>1921</v>
      </c>
      <c r="Y2439" s="750" t="s">
        <v>1922</v>
      </c>
      <c r="Z2439" s="750" t="s">
        <v>1924</v>
      </c>
      <c r="AA2439" s="750" t="s">
        <v>1923</v>
      </c>
      <c r="AB2439" s="750" t="s">
        <v>1925</v>
      </c>
      <c r="AC2439" s="750" t="s">
        <v>1926</v>
      </c>
      <c r="AD2439" s="750" t="s">
        <v>1927</v>
      </c>
      <c r="AE2439" s="750" t="s">
        <v>1928</v>
      </c>
      <c r="AF2439" s="750" t="s">
        <v>1929</v>
      </c>
      <c r="AG2439" s="750" t="s">
        <v>1872</v>
      </c>
      <c r="AH2439" s="750" t="s">
        <v>1873</v>
      </c>
      <c r="AI2439" s="750" t="s">
        <v>1780</v>
      </c>
      <c r="AJ2439" s="750" t="s">
        <v>1964</v>
      </c>
      <c r="AK2439" s="750" t="s">
        <v>1965</v>
      </c>
      <c r="AL2439" s="750" t="s">
        <v>1966</v>
      </c>
      <c r="AM2439" s="750" t="s">
        <v>1967</v>
      </c>
      <c r="AN2439" s="750" t="s">
        <v>1968</v>
      </c>
      <c r="AO2439" s="750" t="s">
        <v>1969</v>
      </c>
      <c r="AP2439" s="750" t="s">
        <v>1970</v>
      </c>
      <c r="AQ2439" s="750" t="s">
        <v>1971</v>
      </c>
      <c r="AR2439" s="750" t="s">
        <v>1972</v>
      </c>
      <c r="AS2439" s="750" t="s">
        <v>1973</v>
      </c>
      <c r="AT2439" s="750" t="s">
        <v>1974</v>
      </c>
    </row>
    <row r="2440" spans="3:46" s="29" customFormat="1" ht="31.5" x14ac:dyDescent="0.25">
      <c r="C2440" s="1003" t="s">
        <v>393</v>
      </c>
      <c r="D2440" s="999" t="s">
        <v>394</v>
      </c>
      <c r="E2440" s="119" t="s">
        <v>395</v>
      </c>
      <c r="M2440" s="750" t="s">
        <v>344</v>
      </c>
      <c r="N2440" s="750"/>
      <c r="O2440" s="750" t="s">
        <v>342</v>
      </c>
      <c r="P2440" s="750">
        <v>60</v>
      </c>
      <c r="Q2440" s="750">
        <f t="shared" ref="Q2440:Q2455" si="790">N2440*P2440</f>
        <v>0</v>
      </c>
      <c r="R2440" s="750">
        <v>0</v>
      </c>
      <c r="S2440" s="750">
        <f>P2440*R2440</f>
        <v>0</v>
      </c>
      <c r="T2440" s="750">
        <f>P2440-S2440</f>
        <v>60</v>
      </c>
      <c r="U2440" s="750">
        <f>Q2440+((S2440*Q2440)/P2440)</f>
        <v>0</v>
      </c>
      <c r="V2440" s="750"/>
      <c r="W2440" s="750"/>
      <c r="X2440" s="750"/>
      <c r="Y2440" s="750"/>
      <c r="Z2440" s="750"/>
      <c r="AA2440" s="750"/>
      <c r="AB2440" s="750"/>
      <c r="AC2440" s="750"/>
      <c r="AD2440" s="750"/>
      <c r="AE2440" s="750"/>
      <c r="AF2440" s="750"/>
      <c r="AG2440" s="750">
        <f>$AO$27/4</f>
        <v>18.899999999999999</v>
      </c>
      <c r="AH2440" s="750">
        <f t="shared" ref="AH2440:AH2455" si="791">$AO$29</f>
        <v>1547.3435977313275</v>
      </c>
      <c r="AI2440" s="750">
        <v>0.6</v>
      </c>
      <c r="AJ2440" s="750">
        <f>(((U2440+V2440+AG2440+AH2440)*AI2440)+(U2440+V2440+AG2440+AH2440))*1.08</f>
        <v>2706.4689368797344</v>
      </c>
      <c r="AK2440" s="750">
        <f>(((U2440+W2440+AG2440+AH2440)*AI2440)+(U2440+W2440+AG2440+AH2440))*1.08</f>
        <v>2706.4689368797344</v>
      </c>
      <c r="AL2440" s="750">
        <f>(((U2440+X2440+AG2440+AH2440)*AI2440)+(U2440+X2440+AG2440+AH2440))*1.08</f>
        <v>2706.4689368797344</v>
      </c>
      <c r="AM2440" s="750">
        <f>(((U2440+Y2440+AG2440+AH2440)*AI2440)+(U2440+Y2440+AG2440+AH2440))*1.08</f>
        <v>2706.4689368797344</v>
      </c>
      <c r="AN2440" s="750">
        <f>(((U2440+Z2440+AG2440+AH2440)*AI2440)+(U2440+Z2440+AG2440+AH2440))*1.08</f>
        <v>2706.4689368797344</v>
      </c>
      <c r="AO2440" s="750">
        <f>(((U2440+AA2440+AG2440+AH2440)*AI2440)+(U2440+AA2440+AG2440+AH2440))*1.08</f>
        <v>2706.4689368797344</v>
      </c>
      <c r="AP2440" s="750">
        <f>(((U2440+AB2440+AG2440+AH2440)*AI2440)+(U2440+AB2440+AG2440+AH2440))*1.08</f>
        <v>2706.4689368797344</v>
      </c>
      <c r="AQ2440" s="750">
        <f>(((U2440+AC2440+AG2440+AH2440)*AI2440)+(U2440+AC2440+AG2440+AH2440))*1.08</f>
        <v>2706.4689368797344</v>
      </c>
      <c r="AR2440" s="750">
        <f>(((U2440+AD2440+AG2440+AH2440)*AI2440)+(U2440+AD2440+AG2440+AH2440))*1.08</f>
        <v>2706.4689368797344</v>
      </c>
      <c r="AS2440" s="750">
        <f>(((U2440+AE2440+AG2440+AH2440)*AI2440)+(U2440+AE2440+AG2440+AH2440))*1.08</f>
        <v>2706.4689368797344</v>
      </c>
      <c r="AT2440" s="750">
        <f>(((U2440+AF2440+AG2440+AH2440)*AI2440)+(U2440+AF2440+AG2440+AH2440))*1.08</f>
        <v>2706.4689368797344</v>
      </c>
    </row>
    <row r="2441" spans="3:46" s="29" customFormat="1" ht="31.5" x14ac:dyDescent="0.25">
      <c r="C2441" s="1003"/>
      <c r="D2441" s="999"/>
      <c r="E2441" s="119" t="s">
        <v>816</v>
      </c>
      <c r="M2441" s="750" t="s">
        <v>359</v>
      </c>
      <c r="N2441" s="750"/>
      <c r="O2441" s="750" t="s">
        <v>342</v>
      </c>
      <c r="P2441" s="750">
        <v>70</v>
      </c>
      <c r="Q2441" s="750">
        <f t="shared" si="790"/>
        <v>0</v>
      </c>
      <c r="R2441" s="750">
        <v>0</v>
      </c>
      <c r="S2441" s="750">
        <f t="shared" ref="S2441:S2455" si="792">P2441*R2441</f>
        <v>0</v>
      </c>
      <c r="T2441" s="750">
        <f t="shared" ref="T2441:T2455" si="793">P2441-S2441</f>
        <v>70</v>
      </c>
      <c r="U2441" s="750">
        <f t="shared" ref="U2441:U2455" si="794">Q2441+((S2441*Q2441)/P2441)</f>
        <v>0</v>
      </c>
      <c r="V2441" s="750"/>
      <c r="W2441" s="750"/>
      <c r="X2441" s="750"/>
      <c r="Y2441" s="750"/>
      <c r="Z2441" s="750"/>
      <c r="AA2441" s="750"/>
      <c r="AB2441" s="750"/>
      <c r="AC2441" s="750"/>
      <c r="AD2441" s="750"/>
      <c r="AE2441" s="750"/>
      <c r="AF2441" s="750"/>
      <c r="AG2441" s="750">
        <f t="shared" ref="AG2441:AG2455" si="795">$AO$27/4</f>
        <v>18.899999999999999</v>
      </c>
      <c r="AH2441" s="750">
        <f t="shared" si="791"/>
        <v>1547.3435977313275</v>
      </c>
      <c r="AI2441" s="750">
        <v>0.6</v>
      </c>
      <c r="AJ2441" s="750">
        <f>(((U2441+V2441+AG2441+AH2441)*AI2441)+(U2441+V2441+AG2441+AH2441))*1.08</f>
        <v>2706.4689368797344</v>
      </c>
      <c r="AK2441" s="750">
        <f>(((U2441+W2441+AG2441+AH2441)*AI2441)+(U2441+W2441+AG2441+AH2441))*1.08</f>
        <v>2706.4689368797344</v>
      </c>
      <c r="AL2441" s="750">
        <f>(((U2441+X2441+AG2441+AH2441)*AI2441)+(U2441+X2441+AG2441+AH2441))*1.08</f>
        <v>2706.4689368797344</v>
      </c>
      <c r="AM2441" s="750">
        <f>(((U2441+Y2441+AG2441+AH2441)*AI2441)+(U2441+Y2441+AG2441+AH2441))*1.08</f>
        <v>2706.4689368797344</v>
      </c>
      <c r="AN2441" s="750">
        <f>(((U2441+Z2441+AG2441+AH2441)*AI2441)+(U2441+Z2441+AG2441+AH2441))*1.08</f>
        <v>2706.4689368797344</v>
      </c>
      <c r="AO2441" s="750">
        <f>(((U2441+AA2441+AG2441+AH2441)*AI2441)+(U2441+AA2441+AG2441+AH2441))*1.08</f>
        <v>2706.4689368797344</v>
      </c>
      <c r="AP2441" s="750">
        <f>(((U2441+AB2441+AG2441+AH2441)*AI2441)+(U2441+AB2441+AG2441+AH2441))*1.08</f>
        <v>2706.4689368797344</v>
      </c>
      <c r="AQ2441" s="750">
        <f>(((U2441+AC2441+AG2441+AH2441)*AI2441)+(U2441+AC2441+AG2441+AH2441))*1.08</f>
        <v>2706.4689368797344</v>
      </c>
      <c r="AR2441" s="750">
        <f>(((U2441+AD2441+AG2441+AH2441)*AI2441)+(U2441+AD2441+AG2441+AH2441))*1.08</f>
        <v>2706.4689368797344</v>
      </c>
      <c r="AS2441" s="750">
        <f>(((U2441+AE2441+AG2441+AH2441)*AI2441)+(U2441+AE2441+AG2441+AH2441))*1.08</f>
        <v>2706.4689368797344</v>
      </c>
      <c r="AT2441" s="750">
        <f>(((U2441+AF2441+AG2441+AH2441)*AI2441)+(U2441+AF2441+AG2441+AH2441))*1.08</f>
        <v>2706.4689368797344</v>
      </c>
    </row>
    <row r="2442" spans="3:46" s="29" customFormat="1" ht="63" x14ac:dyDescent="0.25">
      <c r="C2442" s="1003"/>
      <c r="D2442" s="119" t="s">
        <v>396</v>
      </c>
      <c r="E2442" s="119" t="s">
        <v>397</v>
      </c>
      <c r="M2442" s="750" t="s">
        <v>677</v>
      </c>
      <c r="N2442" s="750">
        <f>P20</f>
        <v>4</v>
      </c>
      <c r="O2442" s="750" t="str">
        <f>O20</f>
        <v>g</v>
      </c>
      <c r="P2442" s="750">
        <v>30</v>
      </c>
      <c r="Q2442" s="750">
        <f t="shared" si="790"/>
        <v>120</v>
      </c>
      <c r="R2442" s="750">
        <v>0</v>
      </c>
      <c r="S2442" s="750">
        <f t="shared" si="792"/>
        <v>0</v>
      </c>
      <c r="T2442" s="750">
        <f t="shared" si="793"/>
        <v>30</v>
      </c>
      <c r="U2442" s="750">
        <f t="shared" si="794"/>
        <v>120</v>
      </c>
      <c r="V2442" s="577" t="s">
        <v>1963</v>
      </c>
      <c r="W2442" s="577" t="s">
        <v>1963</v>
      </c>
      <c r="X2442" s="577" t="s">
        <v>1963</v>
      </c>
      <c r="Y2442" s="577" t="s">
        <v>1963</v>
      </c>
      <c r="Z2442" s="577" t="s">
        <v>1963</v>
      </c>
      <c r="AA2442" s="577" t="s">
        <v>1963</v>
      </c>
      <c r="AB2442" s="577" t="s">
        <v>1963</v>
      </c>
      <c r="AC2442" s="577" t="s">
        <v>1963</v>
      </c>
      <c r="AD2442" s="577" t="s">
        <v>1963</v>
      </c>
      <c r="AE2442" s="577">
        <f>$AR$17</f>
        <v>178.14919446380952</v>
      </c>
      <c r="AF2442" s="577">
        <f>$AR$18</f>
        <v>178.14919446380952</v>
      </c>
      <c r="AG2442" s="750">
        <f t="shared" si="795"/>
        <v>18.899999999999999</v>
      </c>
      <c r="AH2442" s="750">
        <f t="shared" si="791"/>
        <v>1547.3435977313275</v>
      </c>
      <c r="AI2442" s="750">
        <v>0.6</v>
      </c>
      <c r="AJ2442" s="750"/>
      <c r="AK2442" s="750"/>
      <c r="AL2442" s="750"/>
      <c r="AM2442" s="750"/>
      <c r="AN2442" s="750"/>
      <c r="AO2442" s="750"/>
      <c r="AP2442" s="750"/>
      <c r="AQ2442" s="750"/>
      <c r="AR2442" s="750"/>
      <c r="AS2442" s="750">
        <f>(((U2442+AE2442+AG2442+AH2442)*AI2442)+(U2442+AE2442+AG2442+AH2442))*1.08</f>
        <v>3221.6707449131973</v>
      </c>
      <c r="AT2442" s="750">
        <f>(((U2442+AF2442+AG2442+AH2442)*AI2442)+(U2442+AF2442+AG2442+AH2442))*1.08</f>
        <v>3221.6707449131973</v>
      </c>
    </row>
    <row r="2443" spans="3:46" s="29" customFormat="1" ht="31.5" x14ac:dyDescent="0.25">
      <c r="C2443" s="1003"/>
      <c r="D2443" s="999" t="s">
        <v>398</v>
      </c>
      <c r="E2443" s="119" t="s">
        <v>399</v>
      </c>
      <c r="M2443" s="750" t="s">
        <v>531</v>
      </c>
      <c r="N2443" s="750">
        <f>AB6</f>
        <v>5.18</v>
      </c>
      <c r="O2443" s="750" t="str">
        <f>AA6</f>
        <v>g</v>
      </c>
      <c r="P2443" s="750">
        <v>30</v>
      </c>
      <c r="Q2443" s="750">
        <f t="shared" si="790"/>
        <v>155.39999999999998</v>
      </c>
      <c r="R2443" s="750">
        <v>0</v>
      </c>
      <c r="S2443" s="750">
        <f t="shared" si="792"/>
        <v>0</v>
      </c>
      <c r="T2443" s="750">
        <f t="shared" si="793"/>
        <v>30</v>
      </c>
      <c r="U2443" s="750">
        <f t="shared" si="794"/>
        <v>155.39999999999998</v>
      </c>
      <c r="V2443" s="577" t="s">
        <v>1963</v>
      </c>
      <c r="W2443" s="577" t="s">
        <v>1963</v>
      </c>
      <c r="X2443" s="577">
        <f t="shared" ref="X2443:X2450" si="796">$AR$10</f>
        <v>267.22379169571428</v>
      </c>
      <c r="Y2443" s="577" t="s">
        <v>1963</v>
      </c>
      <c r="Z2443" s="577" t="s">
        <v>1963</v>
      </c>
      <c r="AA2443" s="577" t="s">
        <v>1963</v>
      </c>
      <c r="AB2443" s="577" t="s">
        <v>1963</v>
      </c>
      <c r="AC2443" s="577" t="s">
        <v>1963</v>
      </c>
      <c r="AD2443" s="577" t="s">
        <v>1963</v>
      </c>
      <c r="AE2443" s="577">
        <f t="shared" ref="AE2443:AE2455" si="797">$AR$17</f>
        <v>178.14919446380952</v>
      </c>
      <c r="AF2443" s="577" t="s">
        <v>2090</v>
      </c>
      <c r="AG2443" s="750">
        <f t="shared" si="795"/>
        <v>18.899999999999999</v>
      </c>
      <c r="AH2443" s="750">
        <f t="shared" si="791"/>
        <v>1547.3435977313275</v>
      </c>
      <c r="AI2443" s="750">
        <v>0.6</v>
      </c>
      <c r="AJ2443" s="750"/>
      <c r="AK2443" s="750"/>
      <c r="AL2443" s="750">
        <f>(((U2443+X2443+AG2443+AH2443)*AI2443)+(U2443+X2443+AG2443+AH2443))*1.08</f>
        <v>3436.7628489299277</v>
      </c>
      <c r="AM2443" s="750"/>
      <c r="AN2443" s="750"/>
      <c r="AO2443" s="750"/>
      <c r="AP2443" s="750"/>
      <c r="AQ2443" s="750"/>
      <c r="AR2443" s="750"/>
      <c r="AS2443" s="750">
        <f>(((U2443+AE2443+AG2443+AH2443)*AI2443)+(U2443+AE2443+AG2443+AH2443))*1.08</f>
        <v>3282.8419449131966</v>
      </c>
      <c r="AT2443" s="750"/>
    </row>
    <row r="2444" spans="3:46" s="29" customFormat="1" ht="31.5" x14ac:dyDescent="0.25">
      <c r="C2444" s="1003"/>
      <c r="D2444" s="999"/>
      <c r="E2444" s="119" t="s">
        <v>400</v>
      </c>
      <c r="M2444" s="750" t="s">
        <v>349</v>
      </c>
      <c r="N2444" s="750">
        <f>S15</f>
        <v>41</v>
      </c>
      <c r="O2444" s="750" t="str">
        <f>R15</f>
        <v>g</v>
      </c>
      <c r="P2444" s="750">
        <v>50</v>
      </c>
      <c r="Q2444" s="750">
        <f t="shared" si="790"/>
        <v>2050</v>
      </c>
      <c r="R2444" s="750">
        <f>AN3</f>
        <v>0.47</v>
      </c>
      <c r="S2444" s="750">
        <f t="shared" si="792"/>
        <v>23.5</v>
      </c>
      <c r="T2444" s="750">
        <f t="shared" si="793"/>
        <v>26.5</v>
      </c>
      <c r="U2444" s="750">
        <f t="shared" si="794"/>
        <v>3013.5</v>
      </c>
      <c r="V2444" s="577"/>
      <c r="W2444" s="577" t="s">
        <v>1963</v>
      </c>
      <c r="X2444" s="577">
        <f t="shared" si="796"/>
        <v>267.22379169571428</v>
      </c>
      <c r="Y2444" s="577"/>
      <c r="Z2444" s="577">
        <f t="shared" ref="Z2444:Z2449" si="798">$AR$12</f>
        <v>267.22379169571428</v>
      </c>
      <c r="AA2444" s="577">
        <f t="shared" ref="AA2444:AA2445" si="799">$AR$13</f>
        <v>178.14919446380952</v>
      </c>
      <c r="AB2444" s="577">
        <f t="shared" ref="AB2444:AB2445" si="800">$AR$14</f>
        <v>178.14919446380952</v>
      </c>
      <c r="AC2444" s="577" t="s">
        <v>1963</v>
      </c>
      <c r="AD2444" s="577" t="s">
        <v>1963</v>
      </c>
      <c r="AE2444" s="577" t="s">
        <v>1963</v>
      </c>
      <c r="AF2444" s="577" t="s">
        <v>1963</v>
      </c>
      <c r="AG2444" s="750">
        <f t="shared" si="795"/>
        <v>18.899999999999999</v>
      </c>
      <c r="AH2444" s="750">
        <f t="shared" si="791"/>
        <v>1547.3435977313275</v>
      </c>
      <c r="AI2444" s="750">
        <v>0.6</v>
      </c>
      <c r="AJ2444" s="750"/>
      <c r="AK2444" s="750"/>
      <c r="AL2444" s="750">
        <f>(((U2444+X2444+AG2444+AH2444)*AI2444)+(U2444+X2444+AG2444+AH2444))*1.08</f>
        <v>8375.5596489299296</v>
      </c>
      <c r="AM2444" s="750"/>
      <c r="AN2444" s="750">
        <f>(((U2444+Z2444+AG2444+AH2444)*AI2444)+(U2444+Z2444+AG2444+AH2444))*1.08</f>
        <v>8375.5596489299296</v>
      </c>
      <c r="AO2444" s="750">
        <f>(((U2444+AA2444+AG2444+AH2444)*AI2444)+(U2444+AA2444+AG2444+AH2444))*1.08</f>
        <v>8221.6387449131962</v>
      </c>
      <c r="AP2444" s="750">
        <f>(((U2444+AB2444+AG2444+AH2444)*AI2444)+(U2444+AB2444+AG2444+AH2444))*1.08</f>
        <v>8221.6387449131962</v>
      </c>
      <c r="AQ2444" s="750"/>
      <c r="AR2444" s="750"/>
      <c r="AS2444" s="750"/>
      <c r="AT2444" s="750"/>
    </row>
    <row r="2445" spans="3:46" s="29" customFormat="1" ht="31.5" x14ac:dyDescent="0.25">
      <c r="C2445" s="1003"/>
      <c r="D2445" s="999" t="s">
        <v>401</v>
      </c>
      <c r="E2445" s="119" t="s">
        <v>399</v>
      </c>
      <c r="M2445" s="750" t="s">
        <v>427</v>
      </c>
      <c r="N2445" s="750">
        <f>S8</f>
        <v>59</v>
      </c>
      <c r="O2445" s="750" t="str">
        <f>R8</f>
        <v>g</v>
      </c>
      <c r="P2445" s="750">
        <v>50</v>
      </c>
      <c r="Q2445" s="750">
        <f t="shared" si="790"/>
        <v>2950</v>
      </c>
      <c r="R2445" s="750">
        <f>AN4</f>
        <v>0.41</v>
      </c>
      <c r="S2445" s="750">
        <f t="shared" si="792"/>
        <v>20.5</v>
      </c>
      <c r="T2445" s="750">
        <f t="shared" si="793"/>
        <v>29.5</v>
      </c>
      <c r="U2445" s="750">
        <f t="shared" si="794"/>
        <v>4159.5</v>
      </c>
      <c r="V2445" s="577"/>
      <c r="W2445" s="577" t="s">
        <v>1963</v>
      </c>
      <c r="X2445" s="577">
        <f t="shared" si="796"/>
        <v>267.22379169571428</v>
      </c>
      <c r="Y2445" s="577"/>
      <c r="Z2445" s="577">
        <f t="shared" si="798"/>
        <v>267.22379169571428</v>
      </c>
      <c r="AA2445" s="577">
        <f t="shared" si="799"/>
        <v>178.14919446380952</v>
      </c>
      <c r="AB2445" s="577">
        <f t="shared" si="800"/>
        <v>178.14919446380952</v>
      </c>
      <c r="AC2445" s="577" t="s">
        <v>1963</v>
      </c>
      <c r="AD2445" s="577" t="s">
        <v>1963</v>
      </c>
      <c r="AE2445" s="577" t="s">
        <v>1963</v>
      </c>
      <c r="AF2445" s="577" t="s">
        <v>1963</v>
      </c>
      <c r="AG2445" s="750">
        <f t="shared" si="795"/>
        <v>18.899999999999999</v>
      </c>
      <c r="AH2445" s="750">
        <f t="shared" si="791"/>
        <v>1547.3435977313275</v>
      </c>
      <c r="AI2445" s="750">
        <v>0.6</v>
      </c>
      <c r="AJ2445" s="750"/>
      <c r="AK2445" s="750"/>
      <c r="AL2445" s="750">
        <f>(((U2445+X2445+AG2445+AH2445)*AI2445)+(U2445+X2445+AG2445+AH2445))*1.08</f>
        <v>10355.84764892993</v>
      </c>
      <c r="AM2445" s="750"/>
      <c r="AN2445" s="750">
        <f>(((U2445+Z2445+AG2445+AH2445)*AI2445)+(U2445+Z2445+AG2445+AH2445))*1.08</f>
        <v>10355.84764892993</v>
      </c>
      <c r="AO2445" s="750">
        <f>(((U2445+AA2445+AG2445+AH2445)*AI2445)+(U2445+AA2445+AG2445+AH2445))*1.08</f>
        <v>10201.926744913195</v>
      </c>
      <c r="AP2445" s="750">
        <f>(((U2445+AB2445+AG2445+AH2445)*AI2445)+(U2445+AB2445+AG2445+AH2445))*1.08</f>
        <v>10201.926744913195</v>
      </c>
      <c r="AQ2445" s="750"/>
      <c r="AR2445" s="750"/>
      <c r="AS2445" s="750"/>
      <c r="AT2445" s="750"/>
    </row>
    <row r="2446" spans="3:46" s="29" customFormat="1" ht="47.25" x14ac:dyDescent="0.25">
      <c r="C2446" s="1003"/>
      <c r="D2446" s="999"/>
      <c r="E2446" s="119" t="s">
        <v>402</v>
      </c>
      <c r="M2446" s="750" t="s">
        <v>487</v>
      </c>
      <c r="N2446" s="750">
        <f>S16</f>
        <v>31.23</v>
      </c>
      <c r="O2446" s="750" t="str">
        <f>R16</f>
        <v>g</v>
      </c>
      <c r="P2446" s="750">
        <v>50</v>
      </c>
      <c r="Q2446" s="750">
        <f t="shared" si="790"/>
        <v>1561.5</v>
      </c>
      <c r="R2446" s="750">
        <v>0</v>
      </c>
      <c r="S2446" s="750">
        <f t="shared" si="792"/>
        <v>0</v>
      </c>
      <c r="T2446" s="750">
        <f t="shared" si="793"/>
        <v>50</v>
      </c>
      <c r="U2446" s="750">
        <f t="shared" si="794"/>
        <v>1561.5</v>
      </c>
      <c r="V2446" s="577" t="s">
        <v>1963</v>
      </c>
      <c r="W2446" s="577" t="s">
        <v>1963</v>
      </c>
      <c r="X2446" s="577" t="s">
        <v>1963</v>
      </c>
      <c r="Y2446" s="577"/>
      <c r="Z2446" s="577"/>
      <c r="AA2446" s="577">
        <f>AR13</f>
        <v>178.14919446380952</v>
      </c>
      <c r="AB2446" s="577" t="s">
        <v>1963</v>
      </c>
      <c r="AC2446" s="577" t="s">
        <v>1963</v>
      </c>
      <c r="AD2446" s="577" t="s">
        <v>1963</v>
      </c>
      <c r="AE2446" s="577" t="s">
        <v>1963</v>
      </c>
      <c r="AF2446" s="577" t="s">
        <v>1963</v>
      </c>
      <c r="AG2446" s="750">
        <f t="shared" si="795"/>
        <v>18.899999999999999</v>
      </c>
      <c r="AH2446" s="750">
        <f t="shared" si="791"/>
        <v>1547.3435977313275</v>
      </c>
      <c r="AI2446" s="750">
        <v>0.6</v>
      </c>
      <c r="AJ2446" s="750"/>
      <c r="AK2446" s="750"/>
      <c r="AL2446" s="750"/>
      <c r="AM2446" s="750"/>
      <c r="AN2446" s="750"/>
      <c r="AO2446" s="825">
        <f>(((U2446+AA2446+AG2446+AH2446)*AI2446)+(U2446+AA2446+AG2446+AH2446))*1.08</f>
        <v>5712.5827449131975</v>
      </c>
      <c r="AP2446" s="750"/>
      <c r="AQ2446" s="750"/>
      <c r="AR2446" s="750"/>
      <c r="AS2446" s="750"/>
      <c r="AT2446" s="750"/>
    </row>
    <row r="2447" spans="3:46" s="29" customFormat="1" ht="47.25" x14ac:dyDescent="0.25">
      <c r="C2447" s="1003"/>
      <c r="D2447" s="999" t="s">
        <v>403</v>
      </c>
      <c r="E2447" s="119" t="s">
        <v>817</v>
      </c>
      <c r="M2447" s="750" t="s">
        <v>572</v>
      </c>
      <c r="N2447" s="750">
        <f>P30</f>
        <v>3</v>
      </c>
      <c r="O2447" s="750" t="str">
        <f>O30</f>
        <v>g</v>
      </c>
      <c r="P2447" s="750">
        <v>30</v>
      </c>
      <c r="Q2447" s="750">
        <f t="shared" si="790"/>
        <v>90</v>
      </c>
      <c r="R2447" s="750">
        <v>0</v>
      </c>
      <c r="S2447" s="750">
        <f t="shared" si="792"/>
        <v>0</v>
      </c>
      <c r="T2447" s="750">
        <f t="shared" si="793"/>
        <v>30</v>
      </c>
      <c r="U2447" s="750">
        <f t="shared" si="794"/>
        <v>90</v>
      </c>
      <c r="V2447" s="577" t="s">
        <v>1963</v>
      </c>
      <c r="W2447" s="577" t="s">
        <v>1963</v>
      </c>
      <c r="X2447" s="577" t="s">
        <v>1963</v>
      </c>
      <c r="Y2447" s="577" t="s">
        <v>1963</v>
      </c>
      <c r="Z2447" s="577" t="s">
        <v>1963</v>
      </c>
      <c r="AA2447" s="577" t="s">
        <v>1963</v>
      </c>
      <c r="AB2447" s="577" t="s">
        <v>1963</v>
      </c>
      <c r="AC2447" s="577" t="s">
        <v>1963</v>
      </c>
      <c r="AD2447" s="577" t="s">
        <v>1963</v>
      </c>
      <c r="AE2447" s="577">
        <f t="shared" si="797"/>
        <v>178.14919446380952</v>
      </c>
      <c r="AF2447" s="577">
        <f t="shared" ref="AF2447:AF2453" si="801">$AR$18</f>
        <v>178.14919446380952</v>
      </c>
      <c r="AG2447" s="750">
        <f t="shared" si="795"/>
        <v>18.899999999999999</v>
      </c>
      <c r="AH2447" s="750">
        <f t="shared" si="791"/>
        <v>1547.3435977313275</v>
      </c>
      <c r="AI2447" s="750">
        <v>0.6</v>
      </c>
      <c r="AJ2447" s="750"/>
      <c r="AK2447" s="750"/>
      <c r="AL2447" s="750"/>
      <c r="AM2447" s="750"/>
      <c r="AN2447" s="750"/>
      <c r="AO2447" s="825"/>
      <c r="AP2447" s="750"/>
      <c r="AQ2447" s="750"/>
      <c r="AR2447" s="750"/>
      <c r="AS2447" s="750">
        <f>(((U2447+AE2447+AG2447+AH2447)*AI2447)+(U2447+AE2447+AG2447+AH2447))*1.08</f>
        <v>3169.8307449131971</v>
      </c>
      <c r="AT2447" s="750">
        <f>(((U2447+AF2447+AG2447+AH2447)*AI2447)+(U2447+AF2447+AG2447+AH2447))*1.08</f>
        <v>3169.8307449131971</v>
      </c>
    </row>
    <row r="2448" spans="3:46" s="29" customFormat="1" ht="31.5" x14ac:dyDescent="0.25">
      <c r="C2448" s="1003"/>
      <c r="D2448" s="999"/>
      <c r="E2448" s="119" t="s">
        <v>404</v>
      </c>
      <c r="M2448" s="750" t="s">
        <v>529</v>
      </c>
      <c r="N2448" s="750">
        <f>P32</f>
        <v>17.72</v>
      </c>
      <c r="O2448" s="750" t="str">
        <f>O32</f>
        <v>g</v>
      </c>
      <c r="P2448" s="750">
        <v>30</v>
      </c>
      <c r="Q2448" s="750">
        <f t="shared" si="790"/>
        <v>531.59999999999991</v>
      </c>
      <c r="R2448" s="750">
        <f>AJ20</f>
        <v>0.31</v>
      </c>
      <c r="S2448" s="750">
        <f t="shared" si="792"/>
        <v>9.3000000000000007</v>
      </c>
      <c r="T2448" s="750">
        <f t="shared" si="793"/>
        <v>20.7</v>
      </c>
      <c r="U2448" s="750">
        <f t="shared" si="794"/>
        <v>696.39599999999984</v>
      </c>
      <c r="V2448" s="577" t="s">
        <v>1963</v>
      </c>
      <c r="W2448" s="577" t="s">
        <v>1963</v>
      </c>
      <c r="X2448" s="577" t="s">
        <v>1963</v>
      </c>
      <c r="Y2448" s="577" t="s">
        <v>1963</v>
      </c>
      <c r="Z2448" s="577" t="s">
        <v>1963</v>
      </c>
      <c r="AA2448" s="577" t="s">
        <v>1963</v>
      </c>
      <c r="AB2448" s="577" t="s">
        <v>1963</v>
      </c>
      <c r="AC2448" s="577" t="s">
        <v>1963</v>
      </c>
      <c r="AD2448" s="577" t="s">
        <v>1963</v>
      </c>
      <c r="AE2448" s="577">
        <f t="shared" si="797"/>
        <v>178.14919446380952</v>
      </c>
      <c r="AF2448" s="577">
        <f t="shared" si="801"/>
        <v>178.14919446380952</v>
      </c>
      <c r="AG2448" s="750">
        <f t="shared" si="795"/>
        <v>18.899999999999999</v>
      </c>
      <c r="AH2448" s="750">
        <f t="shared" si="791"/>
        <v>1547.3435977313275</v>
      </c>
      <c r="AI2448" s="750">
        <v>0.6</v>
      </c>
      <c r="AJ2448" s="750"/>
      <c r="AK2448" s="750"/>
      <c r="AL2448" s="750"/>
      <c r="AM2448" s="750"/>
      <c r="AN2448" s="750"/>
      <c r="AO2448" s="825"/>
      <c r="AP2448" s="750"/>
      <c r="AQ2448" s="750"/>
      <c r="AR2448" s="750"/>
      <c r="AS2448" s="750">
        <f>(((U2448+AE2448+AG2448+AH2448)*AI2448)+(U2448+AE2448+AG2448+AH2448))*1.08</f>
        <v>4217.6830329131963</v>
      </c>
      <c r="AT2448" s="750">
        <f>(((U2448+AF2448+AG2448+AH2448)*AI2448)+(U2448+AF2448+AG2448+AH2448))*1.08</f>
        <v>4217.6830329131963</v>
      </c>
    </row>
    <row r="2449" spans="3:46" s="29" customFormat="1" ht="47.25" x14ac:dyDescent="0.25">
      <c r="C2449" s="1003"/>
      <c r="D2449" s="999" t="s">
        <v>405</v>
      </c>
      <c r="E2449" s="119" t="s">
        <v>818</v>
      </c>
      <c r="M2449" s="750" t="s">
        <v>459</v>
      </c>
      <c r="N2449" s="750">
        <f>S6</f>
        <v>30</v>
      </c>
      <c r="O2449" s="750" t="str">
        <f>R6</f>
        <v>g</v>
      </c>
      <c r="P2449" s="750">
        <v>50</v>
      </c>
      <c r="Q2449" s="750">
        <f t="shared" si="790"/>
        <v>1500</v>
      </c>
      <c r="R2449" s="750">
        <f>AN6</f>
        <v>0</v>
      </c>
      <c r="S2449" s="750">
        <f t="shared" si="792"/>
        <v>0</v>
      </c>
      <c r="T2449" s="750">
        <f t="shared" si="793"/>
        <v>50</v>
      </c>
      <c r="U2449" s="750">
        <f t="shared" si="794"/>
        <v>1500</v>
      </c>
      <c r="V2449" s="577" t="s">
        <v>1963</v>
      </c>
      <c r="W2449" s="577">
        <f t="shared" ref="W2449:W2451" si="802">$AR$9</f>
        <v>178.14919446380952</v>
      </c>
      <c r="X2449" s="577" t="s">
        <v>1963</v>
      </c>
      <c r="Y2449" s="577" t="s">
        <v>1963</v>
      </c>
      <c r="Z2449" s="577">
        <f t="shared" si="798"/>
        <v>267.22379169571428</v>
      </c>
      <c r="AA2449" s="577" t="s">
        <v>1963</v>
      </c>
      <c r="AB2449" s="577" t="s">
        <v>1963</v>
      </c>
      <c r="AC2449" s="577" t="s">
        <v>1963</v>
      </c>
      <c r="AD2449" s="577" t="s">
        <v>1963</v>
      </c>
      <c r="AE2449" s="577" t="s">
        <v>1963</v>
      </c>
      <c r="AF2449" s="577" t="s">
        <v>1963</v>
      </c>
      <c r="AG2449" s="750">
        <f t="shared" si="795"/>
        <v>18.899999999999999</v>
      </c>
      <c r="AH2449" s="750">
        <f t="shared" si="791"/>
        <v>1547.3435977313275</v>
      </c>
      <c r="AI2449" s="750">
        <v>0.6</v>
      </c>
      <c r="AJ2449" s="750"/>
      <c r="AK2449" s="750">
        <f>(((U2449+W2449+AG2449+AH2449)*AI2449)+(U2449+W2449+AG2449+AH2449))*1.08</f>
        <v>5606.3107449131976</v>
      </c>
      <c r="AL2449" s="750"/>
      <c r="AM2449" s="750"/>
      <c r="AN2449" s="750">
        <f>(((U2449+Z2449+AG2449+AH2449)*AI2449)+(U2449+Z2449+AG2449+AH2449))*1.08</f>
        <v>5760.2316489299283</v>
      </c>
      <c r="AO2449" s="825"/>
      <c r="AP2449" s="750"/>
      <c r="AQ2449" s="750"/>
      <c r="AR2449" s="750"/>
      <c r="AS2449" s="750"/>
      <c r="AT2449" s="750"/>
    </row>
    <row r="2450" spans="3:46" s="29" customFormat="1" ht="31.5" x14ac:dyDescent="0.25">
      <c r="C2450" s="1003"/>
      <c r="D2450" s="999"/>
      <c r="E2450" s="119" t="s">
        <v>404</v>
      </c>
      <c r="M2450" s="750" t="s">
        <v>533</v>
      </c>
      <c r="N2450" s="750">
        <f>AB5</f>
        <v>3.6</v>
      </c>
      <c r="O2450" s="750" t="str">
        <f>AA5</f>
        <v>g</v>
      </c>
      <c r="P2450" s="750">
        <v>20</v>
      </c>
      <c r="Q2450" s="750">
        <f t="shared" si="790"/>
        <v>72</v>
      </c>
      <c r="R2450" s="750">
        <v>0</v>
      </c>
      <c r="S2450" s="750">
        <f t="shared" si="792"/>
        <v>0</v>
      </c>
      <c r="T2450" s="750">
        <f t="shared" si="793"/>
        <v>20</v>
      </c>
      <c r="U2450" s="750">
        <f t="shared" si="794"/>
        <v>72</v>
      </c>
      <c r="V2450" s="577" t="s">
        <v>1963</v>
      </c>
      <c r="W2450" s="577" t="s">
        <v>1963</v>
      </c>
      <c r="X2450" s="577">
        <f t="shared" si="796"/>
        <v>267.22379169571428</v>
      </c>
      <c r="Y2450" s="577" t="s">
        <v>1963</v>
      </c>
      <c r="Z2450" s="577" t="s">
        <v>1963</v>
      </c>
      <c r="AA2450" s="577" t="s">
        <v>1963</v>
      </c>
      <c r="AB2450" s="577" t="s">
        <v>1963</v>
      </c>
      <c r="AC2450" s="577" t="s">
        <v>1963</v>
      </c>
      <c r="AD2450" s="577" t="s">
        <v>1963</v>
      </c>
      <c r="AE2450" s="577">
        <f t="shared" si="797"/>
        <v>178.14919446380952</v>
      </c>
      <c r="AF2450" s="577" t="s">
        <v>1963</v>
      </c>
      <c r="AG2450" s="750">
        <f t="shared" si="795"/>
        <v>18.899999999999999</v>
      </c>
      <c r="AH2450" s="750">
        <f t="shared" si="791"/>
        <v>1547.3435977313275</v>
      </c>
      <c r="AI2450" s="750">
        <v>0.6</v>
      </c>
      <c r="AJ2450" s="750"/>
      <c r="AK2450" s="750"/>
      <c r="AL2450" s="750">
        <f>(((U2450+X2450+AG2450+AH2450)*AI2450)+(U2450+X2450+AG2450+AH2450))*1.08</f>
        <v>3292.6476489299284</v>
      </c>
      <c r="AM2450" s="750"/>
      <c r="AN2450" s="750"/>
      <c r="AO2450" s="825"/>
      <c r="AP2450" s="750"/>
      <c r="AQ2450" s="750"/>
      <c r="AR2450" s="750"/>
      <c r="AS2450" s="750">
        <f>(((U2450+AE2450+AG2450+AH2450)*AI2450)+(U2450+AE2450+AG2450+AH2450))*1.08</f>
        <v>3138.7267449131969</v>
      </c>
      <c r="AT2450" s="750"/>
    </row>
    <row r="2451" spans="3:46" s="29" customFormat="1" x14ac:dyDescent="0.25">
      <c r="M2451" s="750" t="s">
        <v>469</v>
      </c>
      <c r="N2451" s="750">
        <f>S17</f>
        <v>153.78</v>
      </c>
      <c r="O2451" s="750" t="str">
        <f>R17</f>
        <v>g</v>
      </c>
      <c r="P2451" s="750">
        <v>50</v>
      </c>
      <c r="Q2451" s="750">
        <f t="shared" si="790"/>
        <v>7689</v>
      </c>
      <c r="R2451" s="750">
        <f>AN9</f>
        <v>0.52</v>
      </c>
      <c r="S2451" s="750">
        <f t="shared" si="792"/>
        <v>26</v>
      </c>
      <c r="T2451" s="750">
        <f t="shared" si="793"/>
        <v>24</v>
      </c>
      <c r="U2451" s="750">
        <f t="shared" si="794"/>
        <v>11687.28</v>
      </c>
      <c r="V2451" s="577" t="s">
        <v>1963</v>
      </c>
      <c r="W2451" s="577">
        <f t="shared" si="802"/>
        <v>178.14919446380952</v>
      </c>
      <c r="X2451" s="577" t="s">
        <v>1963</v>
      </c>
      <c r="Y2451" s="577">
        <f t="shared" ref="Y2451" si="803">$AR$11</f>
        <v>267.22379169571428</v>
      </c>
      <c r="Z2451" s="577" t="s">
        <v>1963</v>
      </c>
      <c r="AA2451" s="577" t="s">
        <v>1963</v>
      </c>
      <c r="AB2451" s="577" t="s">
        <v>1963</v>
      </c>
      <c r="AC2451" s="577" t="s">
        <v>1963</v>
      </c>
      <c r="AD2451" s="577">
        <f t="shared" ref="AD2451" si="804">$AR$16</f>
        <v>178.14919446380952</v>
      </c>
      <c r="AE2451" s="577" t="s">
        <v>1963</v>
      </c>
      <c r="AF2451" s="577" t="s">
        <v>1963</v>
      </c>
      <c r="AG2451" s="750">
        <f t="shared" si="795"/>
        <v>18.899999999999999</v>
      </c>
      <c r="AH2451" s="750">
        <f t="shared" si="791"/>
        <v>1547.3435977313275</v>
      </c>
      <c r="AI2451" s="750">
        <v>0.6</v>
      </c>
      <c r="AJ2451" s="750"/>
      <c r="AK2451" s="750">
        <f>(((U2451+W2451+AG2451+AH2451)*AI2451)+(U2451+W2451+AG2451+AH2451))*1.08</f>
        <v>23209.930584913196</v>
      </c>
      <c r="AL2451" s="750"/>
      <c r="AM2451" s="750">
        <f>(((U2451+Y2451+AG2451+AH2451)*AI2451)+(U2451+Y2451+AG2451+AH2451))*1.08</f>
        <v>23363.851488929929</v>
      </c>
      <c r="AN2451" s="750"/>
      <c r="AO2451" s="825"/>
      <c r="AP2451" s="750"/>
      <c r="AQ2451" s="750"/>
      <c r="AR2451" s="750">
        <f>(((U2451+AD2451+AG2451+AH2451)*AI2451)+(U2451+AD2451+AG2451+AH2451))*1.08</f>
        <v>23209.930584913196</v>
      </c>
      <c r="AS2451" s="750"/>
      <c r="AT2451" s="750"/>
    </row>
    <row r="2452" spans="3:46" s="29" customFormat="1" x14ac:dyDescent="0.25">
      <c r="M2452" s="750" t="s">
        <v>461</v>
      </c>
      <c r="N2452" s="750">
        <f>P8</f>
        <v>3.3330000000000002</v>
      </c>
      <c r="O2452" s="750" t="str">
        <f>O8</f>
        <v>g</v>
      </c>
      <c r="P2452" s="750">
        <v>40</v>
      </c>
      <c r="Q2452" s="750">
        <f t="shared" si="790"/>
        <v>133.32</v>
      </c>
      <c r="R2452" s="750">
        <f>AJ6</f>
        <v>0.5</v>
      </c>
      <c r="S2452" s="750">
        <f t="shared" si="792"/>
        <v>20</v>
      </c>
      <c r="T2452" s="750">
        <f t="shared" si="793"/>
        <v>20</v>
      </c>
      <c r="U2452" s="750">
        <f t="shared" si="794"/>
        <v>199.98</v>
      </c>
      <c r="V2452" s="577" t="s">
        <v>1963</v>
      </c>
      <c r="W2452" s="577" t="s">
        <v>1963</v>
      </c>
      <c r="X2452" s="577" t="s">
        <v>1963</v>
      </c>
      <c r="Y2452" s="577" t="s">
        <v>1963</v>
      </c>
      <c r="Z2452" s="577" t="s">
        <v>1963</v>
      </c>
      <c r="AA2452" s="577" t="s">
        <v>1963</v>
      </c>
      <c r="AB2452" s="577" t="s">
        <v>1963</v>
      </c>
      <c r="AC2452" s="577" t="s">
        <v>1963</v>
      </c>
      <c r="AD2452" s="577" t="s">
        <v>1963</v>
      </c>
      <c r="AE2452" s="577">
        <f t="shared" si="797"/>
        <v>178.14919446380952</v>
      </c>
      <c r="AF2452" s="577">
        <f t="shared" si="801"/>
        <v>178.14919446380952</v>
      </c>
      <c r="AG2452" s="750">
        <f t="shared" si="795"/>
        <v>18.899999999999999</v>
      </c>
      <c r="AH2452" s="750">
        <f t="shared" si="791"/>
        <v>1547.3435977313275</v>
      </c>
      <c r="AI2452" s="750">
        <v>0.6</v>
      </c>
      <c r="AJ2452" s="750"/>
      <c r="AK2452" s="750"/>
      <c r="AL2452" s="750"/>
      <c r="AM2452" s="750"/>
      <c r="AN2452" s="750"/>
      <c r="AO2452" s="825"/>
      <c r="AP2452" s="750"/>
      <c r="AQ2452" s="750"/>
      <c r="AR2452" s="750"/>
      <c r="AS2452" s="750">
        <f>(((U2452+AE2452+AG2452+AH2452)*AI2452)+(U2452+AE2452+AG2452+AH2452))*1.08</f>
        <v>3359.876184913197</v>
      </c>
      <c r="AT2452" s="750">
        <f>(((U2452+AF2452+AG2452+AH2452)*AI2452)+(U2452+AF2452+AG2452+AH2452))*1.08</f>
        <v>3359.876184913197</v>
      </c>
    </row>
    <row r="2453" spans="3:46" s="29" customFormat="1" x14ac:dyDescent="0.25">
      <c r="M2453" s="750" t="s">
        <v>436</v>
      </c>
      <c r="N2453" s="750">
        <f>P31</f>
        <v>2.6</v>
      </c>
      <c r="O2453" s="750" t="str">
        <f>O31</f>
        <v>g</v>
      </c>
      <c r="P2453" s="750">
        <v>40</v>
      </c>
      <c r="Q2453" s="750">
        <f t="shared" si="790"/>
        <v>104</v>
      </c>
      <c r="R2453" s="750">
        <f>AJ19</f>
        <v>0.37</v>
      </c>
      <c r="S2453" s="750">
        <f t="shared" si="792"/>
        <v>14.8</v>
      </c>
      <c r="T2453" s="750">
        <f t="shared" si="793"/>
        <v>25.2</v>
      </c>
      <c r="U2453" s="750">
        <f t="shared" si="794"/>
        <v>142.48000000000002</v>
      </c>
      <c r="V2453" s="577" t="s">
        <v>1963</v>
      </c>
      <c r="W2453" s="577" t="s">
        <v>1963</v>
      </c>
      <c r="X2453" s="577" t="s">
        <v>1963</v>
      </c>
      <c r="Y2453" s="577" t="s">
        <v>1963</v>
      </c>
      <c r="Z2453" s="577" t="s">
        <v>1963</v>
      </c>
      <c r="AA2453" s="577" t="s">
        <v>1963</v>
      </c>
      <c r="AB2453" s="577" t="s">
        <v>1963</v>
      </c>
      <c r="AC2453" s="577" t="s">
        <v>1963</v>
      </c>
      <c r="AD2453" s="577" t="s">
        <v>1963</v>
      </c>
      <c r="AE2453" s="577">
        <f t="shared" si="797"/>
        <v>178.14919446380952</v>
      </c>
      <c r="AF2453" s="577">
        <f t="shared" si="801"/>
        <v>178.14919446380952</v>
      </c>
      <c r="AG2453" s="750">
        <f t="shared" si="795"/>
        <v>18.899999999999999</v>
      </c>
      <c r="AH2453" s="750">
        <f t="shared" si="791"/>
        <v>1547.3435977313275</v>
      </c>
      <c r="AI2453" s="750">
        <v>0.6</v>
      </c>
      <c r="AJ2453" s="750"/>
      <c r="AK2453" s="750"/>
      <c r="AL2453" s="750"/>
      <c r="AM2453" s="750"/>
      <c r="AN2453" s="750"/>
      <c r="AO2453" s="825"/>
      <c r="AP2453" s="750"/>
      <c r="AQ2453" s="750"/>
      <c r="AR2453" s="750"/>
      <c r="AS2453" s="750">
        <f>(((U2453+AE2453+AG2453+AH2453)*AI2453)+(U2453+AE2453+AG2453+AH2453))*1.08</f>
        <v>3260.5161849131969</v>
      </c>
      <c r="AT2453" s="750">
        <f>(((U2453+AF2453+AG2453+AH2453)*AI2453)+(U2453+AF2453+AG2453+AH2453))*1.08</f>
        <v>3260.5161849131969</v>
      </c>
    </row>
    <row r="2454" spans="3:46" s="29" customFormat="1" x14ac:dyDescent="0.25">
      <c r="M2454" s="750" t="s">
        <v>458</v>
      </c>
      <c r="N2454" s="750">
        <f>S10</f>
        <v>32.46</v>
      </c>
      <c r="O2454" s="750" t="str">
        <f>R10</f>
        <v>g</v>
      </c>
      <c r="P2454" s="750">
        <v>40</v>
      </c>
      <c r="Q2454" s="750">
        <f t="shared" si="790"/>
        <v>1298.4000000000001</v>
      </c>
      <c r="R2454" s="750">
        <v>0</v>
      </c>
      <c r="S2454" s="750">
        <f t="shared" si="792"/>
        <v>0</v>
      </c>
      <c r="T2454" s="750">
        <f t="shared" si="793"/>
        <v>40</v>
      </c>
      <c r="U2454" s="750">
        <f t="shared" si="794"/>
        <v>1298.4000000000001</v>
      </c>
      <c r="V2454" s="577" t="s">
        <v>1963</v>
      </c>
      <c r="W2454" s="577" t="s">
        <v>1963</v>
      </c>
      <c r="X2454" s="577" t="s">
        <v>1963</v>
      </c>
      <c r="Y2454" s="577"/>
      <c r="Z2454" s="577"/>
      <c r="AA2454" s="577">
        <f>AR13</f>
        <v>178.14919446380952</v>
      </c>
      <c r="AB2454" s="577" t="s">
        <v>1963</v>
      </c>
      <c r="AC2454" s="577" t="s">
        <v>1963</v>
      </c>
      <c r="AD2454" s="577" t="s">
        <v>1963</v>
      </c>
      <c r="AE2454" s="577" t="s">
        <v>1963</v>
      </c>
      <c r="AF2454" s="577" t="s">
        <v>1963</v>
      </c>
      <c r="AG2454" s="750">
        <f t="shared" si="795"/>
        <v>18.899999999999999</v>
      </c>
      <c r="AH2454" s="750">
        <f t="shared" si="791"/>
        <v>1547.3435977313275</v>
      </c>
      <c r="AI2454" s="750">
        <v>0.6</v>
      </c>
      <c r="AJ2454" s="750"/>
      <c r="AK2454" s="750"/>
      <c r="AL2454" s="750"/>
      <c r="AM2454" s="750"/>
      <c r="AN2454" s="750"/>
      <c r="AO2454" s="825">
        <f t="shared" ref="AO2454" si="805">(((U2454+AA2454+AG2454+AH2454)*AI2454)+(U2454+AA2454+AG2454+AH2454))*1.08</f>
        <v>5257.9459449131982</v>
      </c>
      <c r="AP2454" s="750"/>
      <c r="AQ2454" s="750"/>
      <c r="AR2454" s="750"/>
      <c r="AS2454" s="750"/>
      <c r="AT2454" s="750"/>
    </row>
    <row r="2455" spans="3:46" s="29" customFormat="1" x14ac:dyDescent="0.25">
      <c r="M2455" s="750" t="s">
        <v>490</v>
      </c>
      <c r="N2455" s="750">
        <f>P6</f>
        <v>7.8</v>
      </c>
      <c r="O2455" s="750" t="str">
        <f>O6</f>
        <v>g</v>
      </c>
      <c r="P2455" s="750">
        <v>20</v>
      </c>
      <c r="Q2455" s="750">
        <f t="shared" si="790"/>
        <v>156</v>
      </c>
      <c r="R2455" s="750">
        <f>AJ4</f>
        <v>0.55000000000000004</v>
      </c>
      <c r="S2455" s="750">
        <f t="shared" si="792"/>
        <v>11</v>
      </c>
      <c r="T2455" s="750">
        <f t="shared" si="793"/>
        <v>9</v>
      </c>
      <c r="U2455" s="750">
        <f t="shared" si="794"/>
        <v>241.8</v>
      </c>
      <c r="V2455" s="577" t="s">
        <v>1963</v>
      </c>
      <c r="W2455" s="577" t="s">
        <v>1963</v>
      </c>
      <c r="X2455" s="577" t="s">
        <v>1963</v>
      </c>
      <c r="Y2455" s="577" t="s">
        <v>1963</v>
      </c>
      <c r="Z2455" s="577" t="s">
        <v>1963</v>
      </c>
      <c r="AA2455" s="577" t="s">
        <v>1963</v>
      </c>
      <c r="AB2455" s="577" t="s">
        <v>1963</v>
      </c>
      <c r="AC2455" s="577" t="s">
        <v>1963</v>
      </c>
      <c r="AD2455" s="577" t="s">
        <v>1963</v>
      </c>
      <c r="AE2455" s="577">
        <f t="shared" si="797"/>
        <v>178.14919446380952</v>
      </c>
      <c r="AF2455" s="577" t="s">
        <v>1963</v>
      </c>
      <c r="AG2455" s="750">
        <f t="shared" si="795"/>
        <v>18.899999999999999</v>
      </c>
      <c r="AH2455" s="750">
        <f t="shared" si="791"/>
        <v>1547.3435977313275</v>
      </c>
      <c r="AI2455" s="750">
        <v>0.6</v>
      </c>
      <c r="AJ2455" s="750"/>
      <c r="AK2455" s="750"/>
      <c r="AL2455" s="750"/>
      <c r="AM2455" s="750"/>
      <c r="AN2455" s="750"/>
      <c r="AO2455" s="825"/>
      <c r="AP2455" s="750"/>
      <c r="AQ2455" s="750"/>
      <c r="AR2455" s="750"/>
      <c r="AS2455" s="750">
        <f>(((U2455+AE2455+AG2455+AH2455)*AI2455)+(U2455+AE2455+AG2455+AH2455))*1.08</f>
        <v>3432.1411449131965</v>
      </c>
      <c r="AT2455" s="750"/>
    </row>
    <row r="2456" spans="3:46" s="29" customFormat="1" x14ac:dyDescent="0.25">
      <c r="M2456" s="750"/>
      <c r="N2456" s="750"/>
      <c r="O2456" s="750"/>
      <c r="P2456" s="750"/>
      <c r="Q2456" s="750"/>
      <c r="R2456" s="750"/>
      <c r="S2456" s="750"/>
      <c r="T2456" s="750"/>
      <c r="U2456" s="750"/>
      <c r="V2456" s="750"/>
      <c r="W2456" s="750"/>
      <c r="X2456" s="750"/>
      <c r="Y2456" s="750"/>
      <c r="Z2456" s="750"/>
      <c r="AA2456" s="750"/>
      <c r="AB2456" s="750"/>
      <c r="AC2456" s="750"/>
      <c r="AD2456" s="750"/>
      <c r="AE2456" s="750"/>
      <c r="AF2456" s="750"/>
      <c r="AG2456" s="750"/>
      <c r="AH2456" s="750"/>
      <c r="AI2456" s="750"/>
      <c r="AJ2456" s="750"/>
      <c r="AK2456" s="750"/>
      <c r="AL2456" s="750"/>
      <c r="AM2456" s="750"/>
      <c r="AN2456" s="750"/>
      <c r="AO2456" s="750"/>
      <c r="AP2456" s="750"/>
      <c r="AQ2456" s="750"/>
      <c r="AR2456" s="750"/>
      <c r="AS2456" s="750"/>
      <c r="AT2456" s="750"/>
    </row>
    <row r="2457" spans="3:46" s="29" customFormat="1" x14ac:dyDescent="0.25">
      <c r="M2457" s="750" t="s">
        <v>337</v>
      </c>
      <c r="N2457" s="750">
        <f>SUM(N2440:N2456)</f>
        <v>394.70300000000003</v>
      </c>
      <c r="O2457" s="750"/>
      <c r="P2457" s="750">
        <f>SUM(P2440:P2456)</f>
        <v>660</v>
      </c>
      <c r="Q2457" s="750">
        <f>SUM(Q2440:Q2456)</f>
        <v>18411.22</v>
      </c>
      <c r="R2457" s="750"/>
      <c r="S2457" s="750"/>
      <c r="T2457" s="750"/>
      <c r="U2457" s="750">
        <f>SUM(U2440:U2456)</f>
        <v>24938.236000000001</v>
      </c>
      <c r="V2457" s="750"/>
      <c r="W2457" s="750"/>
      <c r="X2457" s="750"/>
      <c r="Y2457" s="750"/>
      <c r="Z2457" s="750"/>
      <c r="AA2457" s="750"/>
      <c r="AB2457" s="750"/>
      <c r="AC2457" s="750"/>
      <c r="AD2457" s="750"/>
      <c r="AE2457" s="750"/>
      <c r="AF2457" s="750"/>
      <c r="AG2457" s="750"/>
      <c r="AH2457" s="750"/>
      <c r="AI2457" s="750"/>
      <c r="AJ2457" s="750"/>
      <c r="AK2457" s="750"/>
      <c r="AL2457" s="750"/>
      <c r="AM2457" s="750"/>
      <c r="AN2457" s="750"/>
      <c r="AO2457" s="750"/>
      <c r="AP2457" s="750"/>
      <c r="AQ2457" s="750"/>
      <c r="AR2457" s="750"/>
      <c r="AS2457" s="750"/>
      <c r="AT2457" s="750"/>
    </row>
    <row r="2458" spans="3:46" s="29" customFormat="1" x14ac:dyDescent="0.25">
      <c r="M2458" s="578"/>
      <c r="N2458" s="578"/>
      <c r="O2458" s="578"/>
      <c r="P2458" s="578"/>
      <c r="Q2458" s="578"/>
      <c r="R2458" s="578"/>
      <c r="S2458" s="578"/>
      <c r="T2458" s="578"/>
      <c r="U2458" s="578"/>
      <c r="V2458" s="578"/>
      <c r="W2458" s="578"/>
      <c r="X2458" s="578"/>
      <c r="Y2458" s="578"/>
      <c r="Z2458" s="578"/>
      <c r="AA2458" s="578"/>
      <c r="AB2458" s="578"/>
      <c r="AC2458" s="578"/>
      <c r="AD2458" s="578"/>
      <c r="AE2458" s="578"/>
      <c r="AF2458" s="578"/>
      <c r="AG2458" s="578"/>
      <c r="AH2458" s="578"/>
      <c r="AI2458" s="578"/>
      <c r="AJ2458" s="578"/>
      <c r="AK2458" s="578"/>
      <c r="AL2458" s="578"/>
      <c r="AM2458" s="578"/>
      <c r="AN2458" s="578"/>
      <c r="AO2458" s="578"/>
      <c r="AP2458" s="578"/>
      <c r="AQ2458" s="578"/>
      <c r="AR2458" s="578"/>
      <c r="AS2458" s="578"/>
      <c r="AT2458" s="578"/>
    </row>
    <row r="2459" spans="3:46" s="29" customFormat="1" x14ac:dyDescent="0.25">
      <c r="M2459" s="578"/>
      <c r="N2459" s="578"/>
      <c r="O2459" s="578"/>
      <c r="P2459" s="578"/>
      <c r="Q2459" s="578"/>
      <c r="R2459" s="578"/>
      <c r="S2459" s="578"/>
      <c r="T2459" s="578"/>
      <c r="U2459" s="578"/>
      <c r="V2459" s="578"/>
      <c r="W2459" s="578"/>
      <c r="X2459" s="578"/>
      <c r="Y2459" s="578"/>
      <c r="Z2459" s="578"/>
      <c r="AA2459" s="578"/>
      <c r="AB2459" s="578"/>
      <c r="AC2459" s="578"/>
      <c r="AD2459" s="578"/>
      <c r="AE2459" s="578"/>
      <c r="AF2459" s="578"/>
      <c r="AG2459" s="578"/>
      <c r="AH2459" s="578"/>
      <c r="AI2459" s="578"/>
      <c r="AJ2459" s="578"/>
      <c r="AK2459" s="578"/>
      <c r="AL2459" s="578"/>
      <c r="AM2459" s="578"/>
      <c r="AN2459" s="578"/>
      <c r="AO2459" s="578"/>
      <c r="AP2459" s="578"/>
      <c r="AQ2459" s="578"/>
      <c r="AR2459" s="578"/>
      <c r="AS2459" s="578"/>
      <c r="AT2459" s="578"/>
    </row>
    <row r="2460" spans="3:46" s="29" customFormat="1" x14ac:dyDescent="0.25">
      <c r="M2460" s="578"/>
      <c r="N2460" s="578"/>
      <c r="O2460" s="578"/>
      <c r="P2460" s="578"/>
      <c r="Q2460" s="578"/>
      <c r="R2460" s="578"/>
      <c r="S2460" s="578"/>
      <c r="T2460" s="578"/>
      <c r="U2460" s="578"/>
      <c r="V2460" s="578"/>
      <c r="W2460" s="578"/>
      <c r="X2460" s="578"/>
      <c r="Y2460" s="578"/>
      <c r="Z2460" s="578"/>
      <c r="AA2460" s="578"/>
      <c r="AB2460" s="578"/>
      <c r="AC2460" s="578"/>
      <c r="AD2460" s="578"/>
      <c r="AE2460" s="578"/>
      <c r="AF2460" s="578"/>
      <c r="AG2460" s="578"/>
      <c r="AH2460" s="578"/>
      <c r="AI2460" s="578"/>
      <c r="AJ2460" s="578"/>
      <c r="AK2460" s="578"/>
      <c r="AL2460" s="578"/>
      <c r="AM2460" s="578"/>
      <c r="AN2460" s="578"/>
      <c r="AO2460" s="578"/>
      <c r="AP2460" s="578"/>
      <c r="AQ2460" s="578"/>
      <c r="AR2460" s="578"/>
      <c r="AS2460" s="578"/>
      <c r="AT2460" s="578"/>
    </row>
    <row r="2461" spans="3:46" s="29" customFormat="1" x14ac:dyDescent="0.25">
      <c r="C2461" s="118" t="s">
        <v>391</v>
      </c>
      <c r="D2461" s="118" t="s">
        <v>358</v>
      </c>
      <c r="E2461" s="118" t="s">
        <v>392</v>
      </c>
      <c r="M2461" s="750" t="s">
        <v>336</v>
      </c>
      <c r="N2461" s="750" t="s">
        <v>174</v>
      </c>
      <c r="O2461" s="750" t="s">
        <v>248</v>
      </c>
      <c r="P2461" s="750" t="s">
        <v>176</v>
      </c>
      <c r="Q2461" s="750" t="s">
        <v>337</v>
      </c>
      <c r="R2461" s="750" t="s">
        <v>1641</v>
      </c>
      <c r="S2461" s="750" t="s">
        <v>1642</v>
      </c>
      <c r="T2461" s="750" t="s">
        <v>1643</v>
      </c>
      <c r="U2461" s="750" t="s">
        <v>1644</v>
      </c>
      <c r="V2461" s="750" t="s">
        <v>1919</v>
      </c>
      <c r="W2461" s="750" t="s">
        <v>1920</v>
      </c>
      <c r="X2461" s="750" t="s">
        <v>1921</v>
      </c>
      <c r="Y2461" s="750" t="s">
        <v>1922</v>
      </c>
      <c r="Z2461" s="750" t="s">
        <v>1924</v>
      </c>
      <c r="AA2461" s="750" t="s">
        <v>1923</v>
      </c>
      <c r="AB2461" s="750" t="s">
        <v>1925</v>
      </c>
      <c r="AC2461" s="750" t="s">
        <v>1926</v>
      </c>
      <c r="AD2461" s="750" t="s">
        <v>1927</v>
      </c>
      <c r="AE2461" s="750" t="s">
        <v>1928</v>
      </c>
      <c r="AF2461" s="750" t="s">
        <v>1929</v>
      </c>
      <c r="AG2461" s="750" t="s">
        <v>1872</v>
      </c>
      <c r="AH2461" s="750" t="s">
        <v>1873</v>
      </c>
      <c r="AI2461" s="750" t="s">
        <v>1780</v>
      </c>
      <c r="AJ2461" s="750" t="s">
        <v>1964</v>
      </c>
      <c r="AK2461" s="750" t="s">
        <v>1965</v>
      </c>
      <c r="AL2461" s="750" t="s">
        <v>1966</v>
      </c>
      <c r="AM2461" s="750" t="s">
        <v>1967</v>
      </c>
      <c r="AN2461" s="750" t="s">
        <v>1968</v>
      </c>
      <c r="AO2461" s="750" t="s">
        <v>1969</v>
      </c>
      <c r="AP2461" s="750" t="s">
        <v>1970</v>
      </c>
      <c r="AQ2461" s="750" t="s">
        <v>1971</v>
      </c>
      <c r="AR2461" s="750" t="s">
        <v>1972</v>
      </c>
      <c r="AS2461" s="750" t="s">
        <v>1973</v>
      </c>
      <c r="AT2461" s="750" t="s">
        <v>1974</v>
      </c>
    </row>
    <row r="2462" spans="3:46" s="29" customFormat="1" x14ac:dyDescent="0.25">
      <c r="C2462" s="1006" t="s">
        <v>406</v>
      </c>
      <c r="D2462" s="999" t="s">
        <v>407</v>
      </c>
      <c r="E2462" s="119" t="s">
        <v>819</v>
      </c>
      <c r="M2462" s="750" t="s">
        <v>344</v>
      </c>
      <c r="N2462" s="750"/>
      <c r="O2462" s="750" t="s">
        <v>342</v>
      </c>
      <c r="P2462" s="750">
        <v>60</v>
      </c>
      <c r="Q2462" s="750">
        <f t="shared" ref="Q2462:Q2472" si="806">N2462*P2462</f>
        <v>0</v>
      </c>
      <c r="R2462" s="750">
        <v>0</v>
      </c>
      <c r="S2462" s="750">
        <f>P2462*R2462</f>
        <v>0</v>
      </c>
      <c r="T2462" s="750">
        <f>P2462-S2462</f>
        <v>60</v>
      </c>
      <c r="U2462" s="750">
        <f>Q2462+((S2462*Q2462)/P2462)</f>
        <v>0</v>
      </c>
      <c r="V2462" s="750"/>
      <c r="W2462" s="750"/>
      <c r="X2462" s="750"/>
      <c r="Y2462" s="750"/>
      <c r="Z2462" s="750"/>
      <c r="AA2462" s="750"/>
      <c r="AB2462" s="750"/>
      <c r="AC2462" s="750"/>
      <c r="AD2462" s="750"/>
      <c r="AE2462" s="750"/>
      <c r="AF2462" s="750"/>
      <c r="AG2462" s="750">
        <f>$AO$27/4</f>
        <v>18.899999999999999</v>
      </c>
      <c r="AH2462" s="750">
        <f t="shared" ref="AH2462:AH2479" si="807">$AO$29</f>
        <v>1547.3435977313275</v>
      </c>
      <c r="AI2462" s="750">
        <v>0.6</v>
      </c>
      <c r="AJ2462" s="750">
        <f>(((U2462+V2462+AG2462+AH2462)*AI2462)+(U2462+V2462+AG2462+AH2462))*1.08</f>
        <v>2706.4689368797344</v>
      </c>
      <c r="AK2462" s="750">
        <f>(((U2462+W2462+AG2462+AH2462)*AI2462)+(U2462+W2462+AG2462+AH2462))*1.08</f>
        <v>2706.4689368797344</v>
      </c>
      <c r="AL2462" s="750">
        <f>(((U2462+X2462+AG2462+AH2462)*AI2462)+(U2462+X2462+AG2462+AH2462))*1.08</f>
        <v>2706.4689368797344</v>
      </c>
      <c r="AM2462" s="750">
        <f>(((U2462+Y2462+AG2462+AH2462)*AI2462)+(U2462+Y2462+AG2462+AH2462))*1.08</f>
        <v>2706.4689368797344</v>
      </c>
      <c r="AN2462" s="750">
        <f>(((U2462+Z2462+AG2462+AH2462)*AI2462)+(U2462+Z2462+AG2462+AH2462))*1.08</f>
        <v>2706.4689368797344</v>
      </c>
      <c r="AO2462" s="750">
        <f>(((U2462+AA2462+AG2462+AH2462)*AI2462)+(U2462+AA2462+AG2462+AH2462))*1.08</f>
        <v>2706.4689368797344</v>
      </c>
      <c r="AP2462" s="750">
        <f>(((U2462+AB2462+AG2462+AH2462)*AI2462)+(U2462+AB2462+AG2462+AH2462))*1.08</f>
        <v>2706.4689368797344</v>
      </c>
      <c r="AQ2462" s="750">
        <f>(((U2462+AC2462+AG2462+AH2462)*AI2462)+(U2462+AC2462+AG2462+AH2462))*1.08</f>
        <v>2706.4689368797344</v>
      </c>
      <c r="AR2462" s="750">
        <f>(((U2462+AD2462+AG2462+AH2462)*AI2462)+(U2462+AD2462+AG2462+AH2462))*1.08</f>
        <v>2706.4689368797344</v>
      </c>
      <c r="AS2462" s="750">
        <f>(((U2462+AE2462+AG2462+AH2462)*AI2462)+(U2462+AE2462+AG2462+AH2462))*1.08</f>
        <v>2706.4689368797344</v>
      </c>
      <c r="AT2462" s="750">
        <f>(((U2462+AF2462+AG2462+AH2462)*AI2462)+(U2462+AF2462+AG2462+AH2462))*1.08</f>
        <v>2706.4689368797344</v>
      </c>
    </row>
    <row r="2463" spans="3:46" s="29" customFormat="1" ht="31.5" x14ac:dyDescent="0.25">
      <c r="C2463" s="1006"/>
      <c r="D2463" s="999"/>
      <c r="E2463" s="119" t="s">
        <v>408</v>
      </c>
      <c r="M2463" s="750" t="s">
        <v>359</v>
      </c>
      <c r="N2463" s="750"/>
      <c r="O2463" s="750" t="s">
        <v>342</v>
      </c>
      <c r="P2463" s="750">
        <v>70</v>
      </c>
      <c r="Q2463" s="750">
        <f t="shared" si="806"/>
        <v>0</v>
      </c>
      <c r="R2463" s="750">
        <v>0</v>
      </c>
      <c r="S2463" s="750">
        <f t="shared" ref="S2463:S2472" si="808">P2463*R2463</f>
        <v>0</v>
      </c>
      <c r="T2463" s="750">
        <f t="shared" ref="T2463:T2472" si="809">P2463-S2463</f>
        <v>70</v>
      </c>
      <c r="U2463" s="750">
        <f t="shared" ref="U2463:U2472" si="810">Q2463+((S2463*Q2463)/P2463)</f>
        <v>0</v>
      </c>
      <c r="V2463" s="750"/>
      <c r="W2463" s="750"/>
      <c r="X2463" s="750"/>
      <c r="Y2463" s="750"/>
      <c r="Z2463" s="750"/>
      <c r="AA2463" s="750"/>
      <c r="AB2463" s="750"/>
      <c r="AC2463" s="750"/>
      <c r="AD2463" s="750"/>
      <c r="AE2463" s="750"/>
      <c r="AF2463" s="750"/>
      <c r="AG2463" s="750">
        <f t="shared" ref="AG2463:AG2479" si="811">$AO$27/4</f>
        <v>18.899999999999999</v>
      </c>
      <c r="AH2463" s="750">
        <f t="shared" si="807"/>
        <v>1547.3435977313275</v>
      </c>
      <c r="AI2463" s="750">
        <v>0.6</v>
      </c>
      <c r="AJ2463" s="750">
        <f>(((U2463+V2463+AG2463+AH2463)*AI2463)+(U2463+V2463+AG2463+AH2463))*1.08</f>
        <v>2706.4689368797344</v>
      </c>
      <c r="AK2463" s="750">
        <f>(((U2463+W2463+AG2463+AH2463)*AI2463)+(U2463+W2463+AG2463+AH2463))*1.08</f>
        <v>2706.4689368797344</v>
      </c>
      <c r="AL2463" s="750">
        <f>(((U2463+X2463+AG2463+AH2463)*AI2463)+(U2463+X2463+AG2463+AH2463))*1.08</f>
        <v>2706.4689368797344</v>
      </c>
      <c r="AM2463" s="750">
        <f>(((U2463+Y2463+AG2463+AH2463)*AI2463)+(U2463+Y2463+AG2463+AH2463))*1.08</f>
        <v>2706.4689368797344</v>
      </c>
      <c r="AN2463" s="750">
        <f>(((U2463+Z2463+AG2463+AH2463)*AI2463)+(U2463+Z2463+AG2463+AH2463))*1.08</f>
        <v>2706.4689368797344</v>
      </c>
      <c r="AO2463" s="750">
        <f>(((U2463+AA2463+AG2463+AH2463)*AI2463)+(U2463+AA2463+AG2463+AH2463))*1.08</f>
        <v>2706.4689368797344</v>
      </c>
      <c r="AP2463" s="750">
        <f>(((U2463+AB2463+AG2463+AH2463)*AI2463)+(U2463+AB2463+AG2463+AH2463))*1.08</f>
        <v>2706.4689368797344</v>
      </c>
      <c r="AQ2463" s="750">
        <f>(((U2463+AC2463+AG2463+AH2463)*AI2463)+(U2463+AC2463+AG2463+AH2463))*1.08</f>
        <v>2706.4689368797344</v>
      </c>
      <c r="AR2463" s="750">
        <f>(((U2463+AD2463+AG2463+AH2463)*AI2463)+(U2463+AD2463+AG2463+AH2463))*1.08</f>
        <v>2706.4689368797344</v>
      </c>
      <c r="AS2463" s="750">
        <f>(((U2463+AE2463+AG2463+AH2463)*AI2463)+(U2463+AE2463+AG2463+AH2463))*1.08</f>
        <v>2706.4689368797344</v>
      </c>
      <c r="AT2463" s="750">
        <f>(((U2463+AF2463+AG2463+AH2463)*AI2463)+(U2463+AF2463+AG2463+AH2463))*1.08</f>
        <v>2706.4689368797344</v>
      </c>
    </row>
    <row r="2464" spans="3:46" s="29" customFormat="1" ht="31.5" x14ac:dyDescent="0.25">
      <c r="C2464" s="1006"/>
      <c r="D2464" s="999"/>
      <c r="E2464" s="119" t="s">
        <v>409</v>
      </c>
      <c r="M2464" s="750" t="s">
        <v>349</v>
      </c>
      <c r="N2464" s="750">
        <f>S15</f>
        <v>41</v>
      </c>
      <c r="O2464" s="750" t="str">
        <f>R15</f>
        <v>g</v>
      </c>
      <c r="P2464" s="750">
        <v>50</v>
      </c>
      <c r="Q2464" s="750">
        <f t="shared" si="806"/>
        <v>2050</v>
      </c>
      <c r="R2464" s="750">
        <f>AN3</f>
        <v>0.47</v>
      </c>
      <c r="S2464" s="750">
        <f t="shared" si="808"/>
        <v>23.5</v>
      </c>
      <c r="T2464" s="750">
        <f t="shared" si="809"/>
        <v>26.5</v>
      </c>
      <c r="U2464" s="750">
        <f t="shared" si="810"/>
        <v>3013.5</v>
      </c>
      <c r="V2464" s="577"/>
      <c r="W2464" s="577" t="s">
        <v>1963</v>
      </c>
      <c r="X2464" s="577">
        <f>$AR$10</f>
        <v>267.22379169571428</v>
      </c>
      <c r="Y2464" s="577"/>
      <c r="Z2464" s="577">
        <f>$AR$12</f>
        <v>267.22379169571428</v>
      </c>
      <c r="AA2464" s="577">
        <f>$AR$13</f>
        <v>178.14919446380952</v>
      </c>
      <c r="AB2464" s="577">
        <f>$AR$14</f>
        <v>178.14919446380952</v>
      </c>
      <c r="AC2464" s="577" t="s">
        <v>1963</v>
      </c>
      <c r="AD2464" s="577" t="s">
        <v>1963</v>
      </c>
      <c r="AE2464" s="577" t="s">
        <v>1963</v>
      </c>
      <c r="AF2464" s="577" t="s">
        <v>1963</v>
      </c>
      <c r="AG2464" s="750">
        <f t="shared" si="811"/>
        <v>18.899999999999999</v>
      </c>
      <c r="AH2464" s="750">
        <f t="shared" si="807"/>
        <v>1547.3435977313275</v>
      </c>
      <c r="AI2464" s="750">
        <v>0.6</v>
      </c>
      <c r="AJ2464" s="750"/>
      <c r="AK2464" s="750"/>
      <c r="AL2464" s="750">
        <f>(((U2464+X2464+AG2464+AH2464)*AI2464)+(U2464+X2464+AG2464+AH2464))*1.08</f>
        <v>8375.5596489299296</v>
      </c>
      <c r="AM2464" s="750"/>
      <c r="AN2464" s="750">
        <f>(((U2464+Z2464+AG2464+AH2464)*AI2464)+(U2464+Z2464+AG2464+AH2464))*1.08</f>
        <v>8375.5596489299296</v>
      </c>
      <c r="AO2464" s="750">
        <f>(((U2464+AA2464+AG2464+AH2464)*AI2464)+(U2464+AA2464+AG2464+AH2464))*1.08</f>
        <v>8221.6387449131962</v>
      </c>
      <c r="AP2464" s="750">
        <f>(((U2464+AB2464+AG2464+AH2464)*AI2464)+(U2464+AB2464+AG2464+AH2464))*1.08</f>
        <v>8221.6387449131962</v>
      </c>
      <c r="AQ2464" s="750"/>
      <c r="AR2464" s="750"/>
      <c r="AS2464" s="750"/>
      <c r="AT2464" s="750"/>
    </row>
    <row r="2465" spans="3:46" s="29" customFormat="1" ht="31.5" x14ac:dyDescent="0.25">
      <c r="C2465" s="1006"/>
      <c r="D2465" s="999" t="s">
        <v>410</v>
      </c>
      <c r="E2465" s="119" t="s">
        <v>395</v>
      </c>
      <c r="M2465" s="750" t="s">
        <v>469</v>
      </c>
      <c r="N2465" s="750">
        <f>S17</f>
        <v>153.78</v>
      </c>
      <c r="O2465" s="750" t="str">
        <f>R17</f>
        <v>g</v>
      </c>
      <c r="P2465" s="750">
        <v>50</v>
      </c>
      <c r="Q2465" s="750">
        <f t="shared" si="806"/>
        <v>7689</v>
      </c>
      <c r="R2465" s="750">
        <f>AN9</f>
        <v>0.52</v>
      </c>
      <c r="S2465" s="750">
        <f t="shared" si="808"/>
        <v>26</v>
      </c>
      <c r="T2465" s="750">
        <f t="shared" si="809"/>
        <v>24</v>
      </c>
      <c r="U2465" s="750">
        <f t="shared" si="810"/>
        <v>11687.28</v>
      </c>
      <c r="V2465" s="577" t="s">
        <v>1963</v>
      </c>
      <c r="W2465" s="577">
        <f t="shared" ref="W2465" si="812">$AR$9</f>
        <v>178.14919446380952</v>
      </c>
      <c r="X2465" s="577" t="s">
        <v>1963</v>
      </c>
      <c r="Y2465" s="577">
        <f t="shared" ref="Y2465" si="813">$AR$11</f>
        <v>267.22379169571428</v>
      </c>
      <c r="Z2465" s="577" t="s">
        <v>1963</v>
      </c>
      <c r="AA2465" s="577" t="s">
        <v>1963</v>
      </c>
      <c r="AB2465" s="577" t="s">
        <v>1963</v>
      </c>
      <c r="AC2465" s="577" t="s">
        <v>1963</v>
      </c>
      <c r="AD2465" s="577">
        <f t="shared" ref="AD2465" si="814">$AR$16</f>
        <v>178.14919446380952</v>
      </c>
      <c r="AE2465" s="577" t="s">
        <v>1963</v>
      </c>
      <c r="AF2465" s="577" t="s">
        <v>1963</v>
      </c>
      <c r="AG2465" s="750">
        <f t="shared" si="811"/>
        <v>18.899999999999999</v>
      </c>
      <c r="AH2465" s="750">
        <f t="shared" si="807"/>
        <v>1547.3435977313275</v>
      </c>
      <c r="AI2465" s="750">
        <v>0.6</v>
      </c>
      <c r="AJ2465" s="750"/>
      <c r="AK2465" s="750">
        <f>(((U2465+W2465+AG2465+AH2465)*AI2465)+(U2465+W2465+AG2465+AH2465))*1.08</f>
        <v>23209.930584913196</v>
      </c>
      <c r="AL2465" s="750"/>
      <c r="AM2465" s="750">
        <f>(((U2465+Y2465+AG2465+AH2465)*AI2465)+(U2465+Y2465+AG2465+AH2465))*1.08</f>
        <v>23363.851488929929</v>
      </c>
      <c r="AN2465" s="750"/>
      <c r="AO2465" s="750"/>
      <c r="AP2465" s="750"/>
      <c r="AQ2465" s="750"/>
      <c r="AR2465" s="750">
        <f>(((U2465+AD2465+AG2465+AH2465)*AI2465)+(U2465+AD2465+AG2465+AH2465))*1.08</f>
        <v>23209.930584913196</v>
      </c>
      <c r="AS2465" s="750"/>
      <c r="AT2465" s="750"/>
    </row>
    <row r="2466" spans="3:46" s="29" customFormat="1" ht="31.5" x14ac:dyDescent="0.25">
      <c r="C2466" s="1006"/>
      <c r="D2466" s="999"/>
      <c r="E2466" s="119" t="s">
        <v>411</v>
      </c>
      <c r="M2466" s="750" t="s">
        <v>537</v>
      </c>
      <c r="N2466" s="750">
        <f>P2</f>
        <v>30.06</v>
      </c>
      <c r="O2466" s="750" t="str">
        <f>O2</f>
        <v>g</v>
      </c>
      <c r="P2466" s="750">
        <v>10</v>
      </c>
      <c r="Q2466" s="750">
        <f t="shared" si="806"/>
        <v>300.59999999999997</v>
      </c>
      <c r="R2466" s="750">
        <v>0</v>
      </c>
      <c r="S2466" s="750">
        <f t="shared" si="808"/>
        <v>0</v>
      </c>
      <c r="T2466" s="750">
        <f t="shared" si="809"/>
        <v>10</v>
      </c>
      <c r="U2466" s="750">
        <f t="shared" si="810"/>
        <v>300.59999999999997</v>
      </c>
      <c r="V2466" s="577" t="s">
        <v>1963</v>
      </c>
      <c r="W2466" s="577" t="s">
        <v>1963</v>
      </c>
      <c r="X2466" s="577" t="s">
        <v>1963</v>
      </c>
      <c r="Y2466" s="577" t="s">
        <v>1963</v>
      </c>
      <c r="Z2466" s="577" t="s">
        <v>1963</v>
      </c>
      <c r="AA2466" s="577" t="s">
        <v>1963</v>
      </c>
      <c r="AB2466" s="577" t="s">
        <v>1963</v>
      </c>
      <c r="AC2466" s="577" t="s">
        <v>1963</v>
      </c>
      <c r="AD2466" s="577" t="s">
        <v>1963</v>
      </c>
      <c r="AE2466" s="577" t="s">
        <v>1963</v>
      </c>
      <c r="AF2466" s="577">
        <f>AL26</f>
        <v>1801.715474357886</v>
      </c>
      <c r="AG2466" s="750">
        <f t="shared" si="811"/>
        <v>18.899999999999999</v>
      </c>
      <c r="AH2466" s="750">
        <f t="shared" si="807"/>
        <v>1547.3435977313275</v>
      </c>
      <c r="AI2466" s="750">
        <v>0.6</v>
      </c>
      <c r="AJ2466" s="750"/>
      <c r="AK2466" s="750"/>
      <c r="AL2466" s="750"/>
      <c r="AM2466" s="750"/>
      <c r="AN2466" s="750"/>
      <c r="AO2466" s="750"/>
      <c r="AP2466" s="750"/>
      <c r="AQ2466" s="750"/>
      <c r="AR2466" s="750"/>
      <c r="AS2466" s="750"/>
      <c r="AT2466" s="750">
        <f>(((U2466+AF2466+AG2466+AH2466)*AI2466)+(U2466+AF2466+AG2466+AH2466))*1.08</f>
        <v>6339.270076570162</v>
      </c>
    </row>
    <row r="2467" spans="3:46" s="29" customFormat="1" ht="31.5" x14ac:dyDescent="0.25">
      <c r="C2467" s="1006"/>
      <c r="D2467" s="999" t="s">
        <v>412</v>
      </c>
      <c r="E2467" s="119" t="s">
        <v>413</v>
      </c>
      <c r="M2467" s="750" t="s">
        <v>436</v>
      </c>
      <c r="N2467" s="750">
        <f>P31</f>
        <v>2.6</v>
      </c>
      <c r="O2467" s="750" t="str">
        <f>O31</f>
        <v>g</v>
      </c>
      <c r="P2467" s="750">
        <v>40</v>
      </c>
      <c r="Q2467" s="750">
        <f t="shared" si="806"/>
        <v>104</v>
      </c>
      <c r="R2467" s="750">
        <f>AJ19</f>
        <v>0.37</v>
      </c>
      <c r="S2467" s="750">
        <f t="shared" si="808"/>
        <v>14.8</v>
      </c>
      <c r="T2467" s="750">
        <f t="shared" si="809"/>
        <v>25.2</v>
      </c>
      <c r="U2467" s="750">
        <f t="shared" si="810"/>
        <v>142.48000000000002</v>
      </c>
      <c r="V2467" s="577" t="s">
        <v>1963</v>
      </c>
      <c r="W2467" s="577" t="s">
        <v>1963</v>
      </c>
      <c r="X2467" s="577" t="s">
        <v>1963</v>
      </c>
      <c r="Y2467" s="577" t="s">
        <v>1963</v>
      </c>
      <c r="Z2467" s="577" t="s">
        <v>1963</v>
      </c>
      <c r="AA2467" s="577" t="s">
        <v>1963</v>
      </c>
      <c r="AB2467" s="577" t="s">
        <v>1963</v>
      </c>
      <c r="AC2467" s="577" t="s">
        <v>1963</v>
      </c>
      <c r="AD2467" s="577" t="s">
        <v>1963</v>
      </c>
      <c r="AE2467" s="577">
        <f>$AR$17</f>
        <v>178.14919446380952</v>
      </c>
      <c r="AF2467" s="577">
        <f>$AR$18</f>
        <v>178.14919446380952</v>
      </c>
      <c r="AG2467" s="750">
        <f t="shared" si="811"/>
        <v>18.899999999999999</v>
      </c>
      <c r="AH2467" s="750">
        <f t="shared" si="807"/>
        <v>1547.3435977313275</v>
      </c>
      <c r="AI2467" s="750">
        <v>0.6</v>
      </c>
      <c r="AJ2467" s="750"/>
      <c r="AK2467" s="750"/>
      <c r="AL2467" s="750"/>
      <c r="AM2467" s="750"/>
      <c r="AN2467" s="750"/>
      <c r="AO2467" s="750"/>
      <c r="AP2467" s="750"/>
      <c r="AQ2467" s="750"/>
      <c r="AR2467" s="750"/>
      <c r="AS2467" s="750">
        <f>(((U2467+AE2467+AG2467+AH2467)*AI2467)+(U2467+AE2467+AG2467+AH2467))*1.08</f>
        <v>3260.5161849131969</v>
      </c>
      <c r="AT2467" s="750">
        <f>(((U2467+AF2467+AG2467+AH2467)*AI2467)+(U2467+AF2467+AG2467+AH2467))*1.08</f>
        <v>3260.5161849131969</v>
      </c>
    </row>
    <row r="2468" spans="3:46" s="29" customFormat="1" x14ac:dyDescent="0.25">
      <c r="C2468" s="1006"/>
      <c r="D2468" s="999"/>
      <c r="E2468" s="119" t="s">
        <v>820</v>
      </c>
      <c r="M2468" s="750" t="s">
        <v>458</v>
      </c>
      <c r="N2468" s="577">
        <f>S10</f>
        <v>32.46</v>
      </c>
      <c r="O2468" s="750" t="str">
        <f>R10</f>
        <v>g</v>
      </c>
      <c r="P2468" s="750">
        <v>40</v>
      </c>
      <c r="Q2468" s="750">
        <f t="shared" si="806"/>
        <v>1298.4000000000001</v>
      </c>
      <c r="R2468" s="750">
        <v>0</v>
      </c>
      <c r="S2468" s="750">
        <f t="shared" si="808"/>
        <v>0</v>
      </c>
      <c r="T2468" s="750">
        <f t="shared" si="809"/>
        <v>40</v>
      </c>
      <c r="U2468" s="750">
        <f t="shared" si="810"/>
        <v>1298.4000000000001</v>
      </c>
      <c r="V2468" s="577" t="s">
        <v>1963</v>
      </c>
      <c r="W2468" s="577" t="s">
        <v>1963</v>
      </c>
      <c r="X2468" s="577" t="s">
        <v>1963</v>
      </c>
      <c r="Y2468" s="577"/>
      <c r="Z2468" s="577"/>
      <c r="AA2468" s="577">
        <f>AR13</f>
        <v>178.14919446380952</v>
      </c>
      <c r="AB2468" s="577" t="s">
        <v>1963</v>
      </c>
      <c r="AC2468" s="577" t="s">
        <v>1963</v>
      </c>
      <c r="AD2468" s="577" t="s">
        <v>1963</v>
      </c>
      <c r="AE2468" s="577" t="s">
        <v>1963</v>
      </c>
      <c r="AF2468" s="577" t="s">
        <v>1963</v>
      </c>
      <c r="AG2468" s="750">
        <f t="shared" si="811"/>
        <v>18.899999999999999</v>
      </c>
      <c r="AH2468" s="750">
        <f t="shared" si="807"/>
        <v>1547.3435977313275</v>
      </c>
      <c r="AI2468" s="750">
        <v>0.6</v>
      </c>
      <c r="AJ2468" s="750"/>
      <c r="AK2468" s="750"/>
      <c r="AL2468" s="750"/>
      <c r="AM2468" s="577"/>
      <c r="AN2468" s="750"/>
      <c r="AO2468" s="577">
        <f>(((U2468+AA2468+AG2468+AH2468)*AI2468)+(U2468+AA2468+AG2468+AH2468))*1.08</f>
        <v>5257.9459449131982</v>
      </c>
      <c r="AP2468" s="750"/>
      <c r="AQ2468" s="750"/>
      <c r="AR2468" s="750"/>
      <c r="AS2468" s="750"/>
      <c r="AT2468" s="750"/>
    </row>
    <row r="2469" spans="3:46" s="29" customFormat="1" ht="31.5" x14ac:dyDescent="0.25">
      <c r="C2469" s="1006"/>
      <c r="D2469" s="999"/>
      <c r="E2469" s="119" t="s">
        <v>414</v>
      </c>
      <c r="M2469" s="750" t="s">
        <v>484</v>
      </c>
      <c r="N2469" s="750">
        <f>S7</f>
        <v>54</v>
      </c>
      <c r="O2469" s="750" t="str">
        <f>R7</f>
        <v>g</v>
      </c>
      <c r="P2469" s="750">
        <v>50</v>
      </c>
      <c r="Q2469" s="750">
        <f t="shared" si="806"/>
        <v>2700</v>
      </c>
      <c r="R2469" s="750">
        <f>AN2</f>
        <v>0.33</v>
      </c>
      <c r="S2469" s="750">
        <f t="shared" si="808"/>
        <v>16.5</v>
      </c>
      <c r="T2469" s="750">
        <f t="shared" si="809"/>
        <v>33.5</v>
      </c>
      <c r="U2469" s="750">
        <f t="shared" si="810"/>
        <v>3591</v>
      </c>
      <c r="V2469" s="577" t="s">
        <v>1963</v>
      </c>
      <c r="W2469" s="577" t="s">
        <v>1963</v>
      </c>
      <c r="X2469" s="577" t="s">
        <v>1963</v>
      </c>
      <c r="Y2469" s="577"/>
      <c r="Z2469" s="577">
        <f t="shared" ref="Z2469:Z2470" si="815">$AR$12</f>
        <v>267.22379169571428</v>
      </c>
      <c r="AA2469" s="577">
        <f t="shared" ref="AA2469:AA2470" si="816">$AR$13</f>
        <v>178.14919446380952</v>
      </c>
      <c r="AB2469" s="577">
        <f t="shared" ref="AB2469:AB2470" si="817">$AR$14</f>
        <v>178.14919446380952</v>
      </c>
      <c r="AC2469" s="577" t="s">
        <v>1963</v>
      </c>
      <c r="AD2469" s="577" t="s">
        <v>1963</v>
      </c>
      <c r="AE2469" s="577" t="s">
        <v>1963</v>
      </c>
      <c r="AF2469" s="577" t="s">
        <v>1963</v>
      </c>
      <c r="AG2469" s="750">
        <f t="shared" si="811"/>
        <v>18.899999999999999</v>
      </c>
      <c r="AH2469" s="750">
        <f t="shared" si="807"/>
        <v>1547.3435977313275</v>
      </c>
      <c r="AI2469" s="750">
        <v>0.6</v>
      </c>
      <c r="AJ2469" s="750"/>
      <c r="AK2469" s="750"/>
      <c r="AL2469" s="750"/>
      <c r="AM2469" s="750"/>
      <c r="AN2469" s="750">
        <f>(((U2469+Z2469+AG2469+AH2469)*AI2469)+(U2469+Z2469+AG2469+AH2469))*1.08</f>
        <v>9373.4796489299297</v>
      </c>
      <c r="AO2469" s="750">
        <f>(((U2469+AA2469+AG2469+AH2469)*AI2469)+(U2469+AA2469+AG2469+AH2469))*1.08</f>
        <v>9219.5587449131963</v>
      </c>
      <c r="AP2469" s="750">
        <f>(((U2469+AB2469+AG2469+AH2469)*AI2469)+(U2469+AB2469+AG2469+AH2469))*1.08</f>
        <v>9219.5587449131963</v>
      </c>
      <c r="AQ2469" s="750"/>
      <c r="AR2469" s="750"/>
      <c r="AS2469" s="750"/>
      <c r="AT2469" s="750"/>
    </row>
    <row r="2470" spans="3:46" s="29" customFormat="1" ht="31.5" x14ac:dyDescent="0.25">
      <c r="C2470" s="1006"/>
      <c r="D2470" s="999" t="s">
        <v>415</v>
      </c>
      <c r="E2470" s="119" t="s">
        <v>399</v>
      </c>
      <c r="M2470" s="750" t="s">
        <v>427</v>
      </c>
      <c r="N2470" s="750">
        <f>S8</f>
        <v>59</v>
      </c>
      <c r="O2470" s="750" t="str">
        <f>R8</f>
        <v>g</v>
      </c>
      <c r="P2470" s="750">
        <v>50</v>
      </c>
      <c r="Q2470" s="750">
        <f t="shared" si="806"/>
        <v>2950</v>
      </c>
      <c r="R2470" s="750">
        <f>AN4</f>
        <v>0.41</v>
      </c>
      <c r="S2470" s="750">
        <f t="shared" si="808"/>
        <v>20.5</v>
      </c>
      <c r="T2470" s="750">
        <f t="shared" si="809"/>
        <v>29.5</v>
      </c>
      <c r="U2470" s="750"/>
      <c r="V2470" s="577"/>
      <c r="W2470" s="577" t="s">
        <v>1963</v>
      </c>
      <c r="X2470" s="577">
        <f t="shared" ref="X2470" si="818">$AR$10</f>
        <v>267.22379169571428</v>
      </c>
      <c r="Y2470" s="577"/>
      <c r="Z2470" s="577">
        <f t="shared" si="815"/>
        <v>267.22379169571428</v>
      </c>
      <c r="AA2470" s="577">
        <f t="shared" si="816"/>
        <v>178.14919446380952</v>
      </c>
      <c r="AB2470" s="577">
        <f t="shared" si="817"/>
        <v>178.14919446380952</v>
      </c>
      <c r="AC2470" s="577" t="s">
        <v>1963</v>
      </c>
      <c r="AD2470" s="577" t="s">
        <v>1963</v>
      </c>
      <c r="AE2470" s="577" t="s">
        <v>1963</v>
      </c>
      <c r="AF2470" s="577" t="s">
        <v>1963</v>
      </c>
      <c r="AG2470" s="750">
        <f t="shared" si="811"/>
        <v>18.899999999999999</v>
      </c>
      <c r="AH2470" s="750">
        <f t="shared" si="807"/>
        <v>1547.3435977313275</v>
      </c>
      <c r="AI2470" s="750">
        <v>0.6</v>
      </c>
      <c r="AJ2470" s="750"/>
      <c r="AK2470" s="750"/>
      <c r="AL2470" s="750">
        <f>(((U2470+X2470+AG2470+AH2470)*AI2470)+(U2470+X2470+AG2470+AH2470))*1.08</f>
        <v>3168.2316489299283</v>
      </c>
      <c r="AM2470" s="750"/>
      <c r="AN2470" s="750">
        <f>(((U2470+Z2470+AG2470+AH2470)*AI2470)+(U2470+Z2470+AG2470+AH2470))*1.08</f>
        <v>3168.2316489299283</v>
      </c>
      <c r="AO2470" s="750">
        <f>(((U2470+AA2470+AG2470+AH2470)*AI2470)+(U2470+AA2470+AG2470+AH2470))*1.08</f>
        <v>3014.3107449131971</v>
      </c>
      <c r="AP2470" s="750">
        <f>(((U2470+AB2470+AG2470+AH2470)*AI2470)+(U2470+AB2470+AG2470+AH2470))*1.08</f>
        <v>3014.3107449131971</v>
      </c>
      <c r="AQ2470" s="750"/>
      <c r="AR2470" s="750"/>
      <c r="AS2470" s="750"/>
      <c r="AT2470" s="750"/>
    </row>
    <row r="2471" spans="3:46" s="29" customFormat="1" ht="31.5" x14ac:dyDescent="0.25">
      <c r="C2471" s="1006"/>
      <c r="D2471" s="999"/>
      <c r="E2471" s="119" t="s">
        <v>416</v>
      </c>
      <c r="M2471" s="750" t="s">
        <v>487</v>
      </c>
      <c r="N2471" s="750">
        <f>S16</f>
        <v>31.23</v>
      </c>
      <c r="O2471" s="750" t="str">
        <f>R16</f>
        <v>g</v>
      </c>
      <c r="P2471" s="750">
        <v>50</v>
      </c>
      <c r="Q2471" s="750">
        <f t="shared" si="806"/>
        <v>1561.5</v>
      </c>
      <c r="R2471" s="750">
        <v>0</v>
      </c>
      <c r="S2471" s="750">
        <f t="shared" si="808"/>
        <v>0</v>
      </c>
      <c r="T2471" s="750">
        <f t="shared" si="809"/>
        <v>50</v>
      </c>
      <c r="U2471" s="750">
        <f t="shared" si="810"/>
        <v>1561.5</v>
      </c>
      <c r="V2471" s="577" t="s">
        <v>1963</v>
      </c>
      <c r="W2471" s="577" t="s">
        <v>1963</v>
      </c>
      <c r="X2471" s="577" t="s">
        <v>1963</v>
      </c>
      <c r="Y2471" s="577"/>
      <c r="Z2471" s="577"/>
      <c r="AA2471" s="577">
        <f>AR13</f>
        <v>178.14919446380952</v>
      </c>
      <c r="AB2471" s="577" t="s">
        <v>1963</v>
      </c>
      <c r="AC2471" s="577" t="s">
        <v>1963</v>
      </c>
      <c r="AD2471" s="577" t="s">
        <v>1963</v>
      </c>
      <c r="AE2471" s="577" t="s">
        <v>1963</v>
      </c>
      <c r="AF2471" s="577" t="s">
        <v>1963</v>
      </c>
      <c r="AG2471" s="750">
        <f t="shared" si="811"/>
        <v>18.899999999999999</v>
      </c>
      <c r="AH2471" s="750">
        <f t="shared" si="807"/>
        <v>1547.3435977313275</v>
      </c>
      <c r="AI2471" s="750">
        <v>0.6</v>
      </c>
      <c r="AJ2471" s="750"/>
      <c r="AK2471" s="750"/>
      <c r="AL2471" s="750"/>
      <c r="AM2471" s="750"/>
      <c r="AN2471" s="750"/>
      <c r="AO2471" s="577">
        <f>(((U2471+AA2471+AG2471+AH2471)*AI2471)+(U2471+AA2471+AG2471+AH2471))*1.08</f>
        <v>5712.5827449131975</v>
      </c>
      <c r="AP2471" s="750"/>
      <c r="AQ2471" s="750"/>
      <c r="AR2471" s="750"/>
      <c r="AS2471" s="750"/>
      <c r="AT2471" s="750"/>
    </row>
    <row r="2472" spans="3:46" s="29" customFormat="1" ht="31.5" x14ac:dyDescent="0.25">
      <c r="C2472" s="1006"/>
      <c r="D2472" s="1000" t="s">
        <v>417</v>
      </c>
      <c r="E2472" s="119" t="s">
        <v>399</v>
      </c>
      <c r="M2472" s="750" t="s">
        <v>691</v>
      </c>
      <c r="N2472" s="750">
        <f>P16</f>
        <v>1.5</v>
      </c>
      <c r="O2472" s="750" t="str">
        <f>O16</f>
        <v>g</v>
      </c>
      <c r="P2472" s="750">
        <v>30</v>
      </c>
      <c r="Q2472" s="750">
        <f t="shared" si="806"/>
        <v>45</v>
      </c>
      <c r="R2472" s="750">
        <f>AJ9</f>
        <v>0.55000000000000004</v>
      </c>
      <c r="S2472" s="750">
        <f t="shared" si="808"/>
        <v>16.5</v>
      </c>
      <c r="T2472" s="750">
        <f t="shared" si="809"/>
        <v>13.5</v>
      </c>
      <c r="U2472" s="750">
        <f t="shared" si="810"/>
        <v>69.75</v>
      </c>
      <c r="V2472" s="577" t="s">
        <v>1963</v>
      </c>
      <c r="W2472" s="577" t="s">
        <v>1963</v>
      </c>
      <c r="X2472" s="577" t="s">
        <v>1963</v>
      </c>
      <c r="Y2472" s="577" t="s">
        <v>1963</v>
      </c>
      <c r="Z2472" s="577" t="s">
        <v>1963</v>
      </c>
      <c r="AA2472" s="577" t="s">
        <v>1963</v>
      </c>
      <c r="AB2472" s="577" t="s">
        <v>1963</v>
      </c>
      <c r="AC2472" s="577" t="s">
        <v>1963</v>
      </c>
      <c r="AD2472" s="577" t="s">
        <v>1963</v>
      </c>
      <c r="AE2472" s="577">
        <f t="shared" ref="AE2472:AE2478" si="819">$AR$17</f>
        <v>178.14919446380952</v>
      </c>
      <c r="AF2472" s="577">
        <f t="shared" ref="AF2472:AF2478" si="820">$AR$18</f>
        <v>178.14919446380952</v>
      </c>
      <c r="AG2472" s="750">
        <f t="shared" si="811"/>
        <v>18.899999999999999</v>
      </c>
      <c r="AH2472" s="750">
        <f t="shared" si="807"/>
        <v>1547.3435977313275</v>
      </c>
      <c r="AI2472" s="750">
        <v>0.6</v>
      </c>
      <c r="AJ2472" s="750"/>
      <c r="AK2472" s="750"/>
      <c r="AL2472" s="750"/>
      <c r="AM2472" s="750"/>
      <c r="AN2472" s="750"/>
      <c r="AO2472" s="577"/>
      <c r="AP2472" s="750"/>
      <c r="AQ2472" s="750"/>
      <c r="AR2472" s="750"/>
      <c r="AS2472" s="750">
        <f>(((U2472+AE2472+AG2472+AH2472)*AI2472)+(U2472+AE2472+AG2472+AH2472))*1.08</f>
        <v>3134.8387449131965</v>
      </c>
      <c r="AT2472" s="750">
        <f>(((U2472+AF2472+AG2472+AH2472)*AI2472)+(U2472+AF2472+AG2472+AH2472))*1.08</f>
        <v>3134.8387449131965</v>
      </c>
    </row>
    <row r="2473" spans="3:46" s="29" customFormat="1" ht="47.25" x14ac:dyDescent="0.25">
      <c r="C2473" s="1006"/>
      <c r="D2473" s="1001"/>
      <c r="E2473" s="119" t="s">
        <v>821</v>
      </c>
      <c r="M2473" s="750" t="s">
        <v>539</v>
      </c>
      <c r="N2473" s="750">
        <f>P7</f>
        <v>2.5</v>
      </c>
      <c r="O2473" s="750" t="str">
        <f>O7</f>
        <v>g</v>
      </c>
      <c r="P2473" s="750">
        <v>30</v>
      </c>
      <c r="Q2473" s="750">
        <f t="shared" ref="Q2473:Q2479" si="821">N2473*P2473</f>
        <v>75</v>
      </c>
      <c r="R2473" s="750">
        <f>AJ5</f>
        <v>0.13</v>
      </c>
      <c r="S2473" s="750">
        <f t="shared" ref="S2473:S2479" si="822">P2473*R2473</f>
        <v>3.9000000000000004</v>
      </c>
      <c r="T2473" s="750">
        <f t="shared" ref="T2473:T2479" si="823">P2473-S2473</f>
        <v>26.1</v>
      </c>
      <c r="U2473" s="750">
        <f t="shared" ref="U2473:U2479" si="824">Q2473+((S2473*Q2473)/P2473)</f>
        <v>84.75</v>
      </c>
      <c r="V2473" s="577" t="s">
        <v>1963</v>
      </c>
      <c r="W2473" s="577" t="s">
        <v>1963</v>
      </c>
      <c r="X2473" s="577" t="s">
        <v>1963</v>
      </c>
      <c r="Y2473" s="577" t="s">
        <v>1963</v>
      </c>
      <c r="Z2473" s="577" t="s">
        <v>1963</v>
      </c>
      <c r="AA2473" s="577" t="s">
        <v>1963</v>
      </c>
      <c r="AB2473" s="577" t="s">
        <v>1963</v>
      </c>
      <c r="AC2473" s="577" t="s">
        <v>1963</v>
      </c>
      <c r="AD2473" s="577" t="s">
        <v>1963</v>
      </c>
      <c r="AE2473" s="577">
        <f t="shared" si="819"/>
        <v>178.14919446380952</v>
      </c>
      <c r="AF2473" s="577">
        <f t="shared" si="820"/>
        <v>178.14919446380952</v>
      </c>
      <c r="AG2473" s="750">
        <f t="shared" si="811"/>
        <v>18.899999999999999</v>
      </c>
      <c r="AH2473" s="750">
        <f t="shared" si="807"/>
        <v>1547.3435977313275</v>
      </c>
      <c r="AI2473" s="750">
        <v>0.6</v>
      </c>
      <c r="AJ2473" s="750"/>
      <c r="AK2473" s="750"/>
      <c r="AL2473" s="750"/>
      <c r="AM2473" s="750"/>
      <c r="AN2473" s="750"/>
      <c r="AO2473" s="577"/>
      <c r="AP2473" s="750"/>
      <c r="AQ2473" s="750"/>
      <c r="AR2473" s="750"/>
      <c r="AS2473" s="750">
        <f>(((U2473+AE2473+AG2473+AH2473)*AI2473)+(U2473+AE2473+AG2473+AH2473))*1.08</f>
        <v>3160.7587449131966</v>
      </c>
      <c r="AT2473" s="750">
        <f>(((U2473+AF2473+AG2473+AH2473)*AI2473)+(U2473+AF2473+AG2473+AH2473))*1.08</f>
        <v>3160.7587449131966</v>
      </c>
    </row>
    <row r="2474" spans="3:46" s="29" customFormat="1" ht="47.25" x14ac:dyDescent="0.25">
      <c r="C2474" s="1006"/>
      <c r="D2474" s="999" t="s">
        <v>418</v>
      </c>
      <c r="E2474" s="119" t="s">
        <v>822</v>
      </c>
      <c r="M2474" s="750" t="s">
        <v>529</v>
      </c>
      <c r="N2474" s="750">
        <f>P32</f>
        <v>17.72</v>
      </c>
      <c r="O2474" s="750" t="str">
        <f>O32</f>
        <v>g</v>
      </c>
      <c r="P2474" s="750">
        <v>30</v>
      </c>
      <c r="Q2474" s="750">
        <f t="shared" si="821"/>
        <v>531.59999999999991</v>
      </c>
      <c r="R2474" s="750">
        <f>AJ20</f>
        <v>0.31</v>
      </c>
      <c r="S2474" s="750">
        <f t="shared" si="822"/>
        <v>9.3000000000000007</v>
      </c>
      <c r="T2474" s="750">
        <f t="shared" si="823"/>
        <v>20.7</v>
      </c>
      <c r="U2474" s="750">
        <f t="shared" si="824"/>
        <v>696.39599999999984</v>
      </c>
      <c r="V2474" s="577" t="s">
        <v>1963</v>
      </c>
      <c r="W2474" s="577" t="s">
        <v>1963</v>
      </c>
      <c r="X2474" s="577" t="s">
        <v>1963</v>
      </c>
      <c r="Y2474" s="577" t="s">
        <v>1963</v>
      </c>
      <c r="Z2474" s="577" t="s">
        <v>1963</v>
      </c>
      <c r="AA2474" s="577" t="s">
        <v>1963</v>
      </c>
      <c r="AB2474" s="577" t="s">
        <v>1963</v>
      </c>
      <c r="AC2474" s="577" t="s">
        <v>1963</v>
      </c>
      <c r="AD2474" s="577" t="s">
        <v>1963</v>
      </c>
      <c r="AE2474" s="577">
        <f t="shared" si="819"/>
        <v>178.14919446380952</v>
      </c>
      <c r="AF2474" s="577">
        <f t="shared" si="820"/>
        <v>178.14919446380952</v>
      </c>
      <c r="AG2474" s="750">
        <f t="shared" si="811"/>
        <v>18.899999999999999</v>
      </c>
      <c r="AH2474" s="750">
        <f t="shared" si="807"/>
        <v>1547.3435977313275</v>
      </c>
      <c r="AI2474" s="750">
        <v>0.6</v>
      </c>
      <c r="AJ2474" s="750"/>
      <c r="AK2474" s="750"/>
      <c r="AL2474" s="750"/>
      <c r="AM2474" s="750"/>
      <c r="AN2474" s="750"/>
      <c r="AO2474" s="577"/>
      <c r="AP2474" s="750"/>
      <c r="AQ2474" s="750"/>
      <c r="AR2474" s="750"/>
      <c r="AS2474" s="750">
        <f>(((U2474+AE2474+AG2474+AH2474)*AI2474)+(U2474+AE2474+AG2474+AH2474))*1.08</f>
        <v>4217.6830329131963</v>
      </c>
      <c r="AT2474" s="750">
        <f>(((U2474+AF2474+AG2474+AH2474)*AI2474)+(U2474+AF2474+AG2474+AH2474))*1.08</f>
        <v>4217.6830329131963</v>
      </c>
    </row>
    <row r="2475" spans="3:46" s="29" customFormat="1" ht="31.5" x14ac:dyDescent="0.25">
      <c r="C2475" s="1006"/>
      <c r="D2475" s="999"/>
      <c r="E2475" s="119" t="s">
        <v>419</v>
      </c>
      <c r="M2475" s="750" t="s">
        <v>672</v>
      </c>
      <c r="N2475" s="750">
        <f>P8</f>
        <v>3.3330000000000002</v>
      </c>
      <c r="O2475" s="750" t="str">
        <f>O8</f>
        <v>g</v>
      </c>
      <c r="P2475" s="750">
        <v>30</v>
      </c>
      <c r="Q2475" s="750">
        <f t="shared" si="821"/>
        <v>99.990000000000009</v>
      </c>
      <c r="R2475" s="750">
        <f>AJ6</f>
        <v>0.5</v>
      </c>
      <c r="S2475" s="750">
        <f t="shared" si="822"/>
        <v>15</v>
      </c>
      <c r="T2475" s="750">
        <f t="shared" si="823"/>
        <v>15</v>
      </c>
      <c r="U2475" s="750">
        <f t="shared" si="824"/>
        <v>149.98500000000001</v>
      </c>
      <c r="V2475" s="577" t="s">
        <v>1963</v>
      </c>
      <c r="W2475" s="577" t="s">
        <v>1963</v>
      </c>
      <c r="X2475" s="577" t="s">
        <v>1963</v>
      </c>
      <c r="Y2475" s="577" t="s">
        <v>1963</v>
      </c>
      <c r="Z2475" s="577" t="s">
        <v>1963</v>
      </c>
      <c r="AA2475" s="577" t="s">
        <v>1963</v>
      </c>
      <c r="AB2475" s="577" t="s">
        <v>1963</v>
      </c>
      <c r="AC2475" s="577" t="s">
        <v>1963</v>
      </c>
      <c r="AD2475" s="577" t="s">
        <v>1963</v>
      </c>
      <c r="AE2475" s="577">
        <f t="shared" si="819"/>
        <v>178.14919446380952</v>
      </c>
      <c r="AF2475" s="577">
        <f t="shared" si="820"/>
        <v>178.14919446380952</v>
      </c>
      <c r="AG2475" s="750">
        <f t="shared" si="811"/>
        <v>18.899999999999999</v>
      </c>
      <c r="AH2475" s="750">
        <f t="shared" si="807"/>
        <v>1547.3435977313275</v>
      </c>
      <c r="AI2475" s="750">
        <v>0.6</v>
      </c>
      <c r="AJ2475" s="750"/>
      <c r="AK2475" s="750"/>
      <c r="AL2475" s="750"/>
      <c r="AM2475" s="750"/>
      <c r="AN2475" s="750"/>
      <c r="AO2475" s="577"/>
      <c r="AP2475" s="750"/>
      <c r="AQ2475" s="750"/>
      <c r="AR2475" s="750"/>
      <c r="AS2475" s="750">
        <f>(((U2475+AE2475+AG2475+AH2475)*AI2475)+(U2475+AE2475+AG2475+AH2475))*1.08</f>
        <v>3273.4848249131969</v>
      </c>
      <c r="AT2475" s="750">
        <f>(((U2475+AF2475+AG2475+AH2475)*AI2475)+(U2475+AF2475+AG2475+AH2475))*1.08</f>
        <v>3273.4848249131969</v>
      </c>
    </row>
    <row r="2476" spans="3:46" s="29" customFormat="1" ht="31.5" x14ac:dyDescent="0.25">
      <c r="C2476" s="1006"/>
      <c r="D2476" s="999" t="s">
        <v>420</v>
      </c>
      <c r="E2476" s="119" t="s">
        <v>421</v>
      </c>
      <c r="M2476" s="750" t="s">
        <v>692</v>
      </c>
      <c r="N2476" s="750">
        <f>S9</f>
        <v>46.63</v>
      </c>
      <c r="O2476" s="750" t="str">
        <f>R9</f>
        <v>g</v>
      </c>
      <c r="P2476" s="750">
        <v>50</v>
      </c>
      <c r="Q2476" s="750">
        <f t="shared" si="821"/>
        <v>2331.5</v>
      </c>
      <c r="R2476" s="750">
        <v>0</v>
      </c>
      <c r="S2476" s="750">
        <f t="shared" si="822"/>
        <v>0</v>
      </c>
      <c r="T2476" s="750">
        <f t="shared" si="823"/>
        <v>50</v>
      </c>
      <c r="U2476" s="750">
        <f t="shared" si="824"/>
        <v>2331.5</v>
      </c>
      <c r="V2476" s="577" t="s">
        <v>1963</v>
      </c>
      <c r="W2476" s="577" t="s">
        <v>1963</v>
      </c>
      <c r="X2476" s="577" t="s">
        <v>1963</v>
      </c>
      <c r="Y2476" s="577"/>
      <c r="Z2476" s="577"/>
      <c r="AA2476" s="577">
        <f>AR13</f>
        <v>178.14919446380952</v>
      </c>
      <c r="AB2476" s="577" t="s">
        <v>1963</v>
      </c>
      <c r="AC2476" s="577" t="s">
        <v>1963</v>
      </c>
      <c r="AD2476" s="577" t="s">
        <v>1963</v>
      </c>
      <c r="AE2476" s="577" t="s">
        <v>1963</v>
      </c>
      <c r="AF2476" s="577" t="s">
        <v>1963</v>
      </c>
      <c r="AG2476" s="750">
        <f t="shared" si="811"/>
        <v>18.899999999999999</v>
      </c>
      <c r="AH2476" s="750">
        <f t="shared" si="807"/>
        <v>1547.3435977313275</v>
      </c>
      <c r="AI2476" s="750">
        <v>0.6</v>
      </c>
      <c r="AJ2476" s="750"/>
      <c r="AK2476" s="750"/>
      <c r="AL2476" s="750"/>
      <c r="AM2476" s="750"/>
      <c r="AN2476" s="750"/>
      <c r="AO2476" s="577">
        <f t="shared" ref="AO2476" si="825">(((U2476+AA2476+AG2476+AH2476)*AI2476)+(U2476+AA2476+AG2476+AH2476))*1.08</f>
        <v>7043.1427449131979</v>
      </c>
      <c r="AP2476" s="750"/>
      <c r="AQ2476" s="750"/>
      <c r="AR2476" s="750"/>
      <c r="AS2476" s="750"/>
      <c r="AT2476" s="750"/>
    </row>
    <row r="2477" spans="3:46" s="29" customFormat="1" ht="31.5" x14ac:dyDescent="0.25">
      <c r="C2477" s="1006"/>
      <c r="D2477" s="999"/>
      <c r="E2477" s="119" t="s">
        <v>422</v>
      </c>
      <c r="M2477" s="750" t="s">
        <v>677</v>
      </c>
      <c r="N2477" s="750">
        <f>P20</f>
        <v>4</v>
      </c>
      <c r="O2477" s="750" t="str">
        <f>O20</f>
        <v>g</v>
      </c>
      <c r="P2477" s="750">
        <v>40</v>
      </c>
      <c r="Q2477" s="750">
        <f t="shared" si="821"/>
        <v>160</v>
      </c>
      <c r="R2477" s="750">
        <v>0</v>
      </c>
      <c r="S2477" s="750">
        <f t="shared" si="822"/>
        <v>0</v>
      </c>
      <c r="T2477" s="750">
        <f t="shared" si="823"/>
        <v>40</v>
      </c>
      <c r="U2477" s="750">
        <f t="shared" si="824"/>
        <v>160</v>
      </c>
      <c r="V2477" s="577" t="s">
        <v>1963</v>
      </c>
      <c r="W2477" s="577" t="s">
        <v>1963</v>
      </c>
      <c r="X2477" s="577" t="s">
        <v>1963</v>
      </c>
      <c r="Y2477" s="577" t="s">
        <v>1963</v>
      </c>
      <c r="Z2477" s="577" t="s">
        <v>1963</v>
      </c>
      <c r="AA2477" s="577" t="s">
        <v>1963</v>
      </c>
      <c r="AB2477" s="577" t="s">
        <v>1963</v>
      </c>
      <c r="AC2477" s="577" t="s">
        <v>1963</v>
      </c>
      <c r="AD2477" s="577" t="s">
        <v>1963</v>
      </c>
      <c r="AE2477" s="577">
        <f t="shared" si="819"/>
        <v>178.14919446380952</v>
      </c>
      <c r="AF2477" s="577">
        <f t="shared" si="820"/>
        <v>178.14919446380952</v>
      </c>
      <c r="AG2477" s="750">
        <f t="shared" si="811"/>
        <v>18.899999999999999</v>
      </c>
      <c r="AH2477" s="750">
        <f t="shared" si="807"/>
        <v>1547.3435977313275</v>
      </c>
      <c r="AI2477" s="750">
        <v>0.6</v>
      </c>
      <c r="AJ2477" s="750"/>
      <c r="AK2477" s="750"/>
      <c r="AL2477" s="750"/>
      <c r="AM2477" s="750"/>
      <c r="AN2477" s="750"/>
      <c r="AO2477" s="750"/>
      <c r="AP2477" s="750"/>
      <c r="AQ2477" s="750"/>
      <c r="AR2477" s="750"/>
      <c r="AS2477" s="750">
        <f>(((U2477+AE2477+AG2477+AH2477)*AI2477)+(U2477+AE2477+AG2477+AH2477))*1.08</f>
        <v>3290.7907449131972</v>
      </c>
      <c r="AT2477" s="750">
        <f>(((U2477+AF2477+AG2477+AH2477)*AI2477)+(U2477+AF2477+AG2477+AH2477))*1.08</f>
        <v>3290.7907449131972</v>
      </c>
    </row>
    <row r="2478" spans="3:46" s="29" customFormat="1" x14ac:dyDescent="0.25">
      <c r="C2478" s="1006"/>
      <c r="D2478" s="999"/>
      <c r="E2478" s="119" t="s">
        <v>423</v>
      </c>
      <c r="M2478" s="750" t="s">
        <v>653</v>
      </c>
      <c r="N2478" s="750">
        <f>P17</f>
        <v>14.478999999999999</v>
      </c>
      <c r="O2478" s="750" t="str">
        <f>O17</f>
        <v>g</v>
      </c>
      <c r="P2478" s="750">
        <v>40</v>
      </c>
      <c r="Q2478" s="750">
        <f t="shared" si="821"/>
        <v>579.16</v>
      </c>
      <c r="R2478" s="750">
        <f>AJ10</f>
        <v>0</v>
      </c>
      <c r="S2478" s="750">
        <f t="shared" si="822"/>
        <v>0</v>
      </c>
      <c r="T2478" s="750">
        <f t="shared" si="823"/>
        <v>40</v>
      </c>
      <c r="U2478" s="750">
        <f t="shared" si="824"/>
        <v>579.16</v>
      </c>
      <c r="V2478" s="577" t="s">
        <v>1963</v>
      </c>
      <c r="W2478" s="577" t="s">
        <v>1963</v>
      </c>
      <c r="X2478" s="577" t="s">
        <v>1963</v>
      </c>
      <c r="Y2478" s="577" t="s">
        <v>1963</v>
      </c>
      <c r="Z2478" s="577" t="s">
        <v>1963</v>
      </c>
      <c r="AA2478" s="577" t="s">
        <v>1963</v>
      </c>
      <c r="AB2478" s="577" t="s">
        <v>1963</v>
      </c>
      <c r="AC2478" s="577" t="s">
        <v>1963</v>
      </c>
      <c r="AD2478" s="577" t="s">
        <v>1963</v>
      </c>
      <c r="AE2478" s="577">
        <f t="shared" si="819"/>
        <v>178.14919446380952</v>
      </c>
      <c r="AF2478" s="577">
        <f t="shared" si="820"/>
        <v>178.14919446380952</v>
      </c>
      <c r="AG2478" s="750">
        <f t="shared" si="811"/>
        <v>18.899999999999999</v>
      </c>
      <c r="AH2478" s="750">
        <f t="shared" si="807"/>
        <v>1547.3435977313275</v>
      </c>
      <c r="AI2478" s="750">
        <v>0.6</v>
      </c>
      <c r="AJ2478" s="750"/>
      <c r="AK2478" s="750"/>
      <c r="AL2478" s="750"/>
      <c r="AM2478" s="750"/>
      <c r="AN2478" s="750"/>
      <c r="AO2478" s="750"/>
      <c r="AP2478" s="750"/>
      <c r="AQ2478" s="750"/>
      <c r="AR2478" s="750"/>
      <c r="AS2478" s="750">
        <f>(((U2478+AE2478+AG2478+AH2478)*AI2478)+(U2478+AE2478+AG2478+AH2478))*1.08</f>
        <v>4015.0992249131973</v>
      </c>
      <c r="AT2478" s="750">
        <f>(((U2478+AF2478+AG2478+AH2478)*AI2478)+(U2478+AF2478+AG2478+AH2478))*1.08</f>
        <v>4015.0992249131973</v>
      </c>
    </row>
    <row r="2479" spans="3:46" s="29" customFormat="1" ht="31.5" x14ac:dyDescent="0.25">
      <c r="C2479" s="1006"/>
      <c r="D2479" s="999" t="s">
        <v>424</v>
      </c>
      <c r="E2479" s="119" t="s">
        <v>421</v>
      </c>
      <c r="M2479" s="750" t="s">
        <v>808</v>
      </c>
      <c r="N2479" s="577">
        <f>S2</f>
        <v>44.2</v>
      </c>
      <c r="O2479" s="750" t="str">
        <f>R2</f>
        <v>g</v>
      </c>
      <c r="P2479" s="750">
        <v>40</v>
      </c>
      <c r="Q2479" s="750">
        <f t="shared" si="821"/>
        <v>1768</v>
      </c>
      <c r="R2479" s="750">
        <f>AN9</f>
        <v>0.52</v>
      </c>
      <c r="S2479" s="750">
        <f t="shared" si="822"/>
        <v>20.8</v>
      </c>
      <c r="T2479" s="750">
        <f t="shared" si="823"/>
        <v>19.2</v>
      </c>
      <c r="U2479" s="750">
        <f t="shared" si="824"/>
        <v>2687.36</v>
      </c>
      <c r="V2479" s="750" t="s">
        <v>1963</v>
      </c>
      <c r="W2479" s="750" t="s">
        <v>1963</v>
      </c>
      <c r="X2479" s="750" t="s">
        <v>1963</v>
      </c>
      <c r="Y2479" s="577">
        <f>AR11</f>
        <v>267.22379169571428</v>
      </c>
      <c r="Z2479" s="577" t="s">
        <v>1963</v>
      </c>
      <c r="AA2479" s="577" t="s">
        <v>1963</v>
      </c>
      <c r="AB2479" s="577" t="s">
        <v>1963</v>
      </c>
      <c r="AC2479" s="577" t="s">
        <v>1963</v>
      </c>
      <c r="AD2479" s="577" t="s">
        <v>1963</v>
      </c>
      <c r="AE2479" s="577" t="s">
        <v>1963</v>
      </c>
      <c r="AF2479" s="577" t="s">
        <v>1963</v>
      </c>
      <c r="AG2479" s="750">
        <f t="shared" si="811"/>
        <v>18.899999999999999</v>
      </c>
      <c r="AH2479" s="750">
        <f t="shared" si="807"/>
        <v>1547.3435977313275</v>
      </c>
      <c r="AI2479" s="750">
        <v>0.6</v>
      </c>
      <c r="AJ2479" s="750"/>
      <c r="AK2479" s="750"/>
      <c r="AL2479" s="750"/>
      <c r="AM2479" s="750">
        <f>(((U2479+Y2479+AG2479+AH2479)*AI2479)+(U2479+Y2479+AG2479+AH2479))*1.08</f>
        <v>7811.9897289299297</v>
      </c>
      <c r="AN2479" s="750"/>
      <c r="AO2479" s="750"/>
      <c r="AP2479" s="750"/>
      <c r="AQ2479" s="750"/>
      <c r="AR2479" s="750"/>
      <c r="AS2479" s="750"/>
      <c r="AT2479" s="750"/>
    </row>
    <row r="2480" spans="3:46" s="29" customFormat="1" ht="31.5" x14ac:dyDescent="0.25">
      <c r="C2480" s="1006"/>
      <c r="D2480" s="999"/>
      <c r="E2480" s="119" t="s">
        <v>425</v>
      </c>
      <c r="M2480" s="750"/>
      <c r="N2480" s="750"/>
      <c r="O2480" s="750"/>
      <c r="P2480" s="750"/>
      <c r="Q2480" s="750"/>
      <c r="R2480" s="750"/>
      <c r="S2480" s="750"/>
      <c r="T2480" s="750"/>
      <c r="U2480" s="750"/>
      <c r="V2480" s="750"/>
      <c r="W2480" s="750"/>
      <c r="X2480" s="750"/>
      <c r="Y2480" s="750"/>
      <c r="Z2480" s="750"/>
      <c r="AA2480" s="750"/>
      <c r="AB2480" s="750"/>
      <c r="AC2480" s="750"/>
      <c r="AD2480" s="750"/>
      <c r="AE2480" s="750"/>
      <c r="AF2480" s="750"/>
      <c r="AG2480" s="750"/>
      <c r="AH2480" s="750"/>
      <c r="AI2480" s="750"/>
      <c r="AJ2480" s="750"/>
      <c r="AK2480" s="750"/>
      <c r="AL2480" s="750"/>
      <c r="AM2480" s="750"/>
      <c r="AN2480" s="750"/>
      <c r="AO2480" s="750"/>
      <c r="AP2480" s="750"/>
      <c r="AQ2480" s="750"/>
      <c r="AR2480" s="750"/>
      <c r="AS2480" s="750"/>
      <c r="AT2480" s="750"/>
    </row>
    <row r="2481" spans="3:61" s="29" customFormat="1" x14ac:dyDescent="0.25">
      <c r="C2481" s="1006"/>
      <c r="D2481" s="999"/>
      <c r="E2481" s="119" t="s">
        <v>423</v>
      </c>
      <c r="M2481" s="750" t="s">
        <v>337</v>
      </c>
      <c r="N2481" s="750">
        <f>SUM(N2462:N2480)</f>
        <v>538.49200000000008</v>
      </c>
      <c r="O2481" s="750"/>
      <c r="P2481" s="750">
        <f>SUM(P2462:P2480)</f>
        <v>760</v>
      </c>
      <c r="Q2481" s="750">
        <f>SUM(Q2462:Q2480)</f>
        <v>24243.75</v>
      </c>
      <c r="R2481" s="750"/>
      <c r="S2481" s="750"/>
      <c r="T2481" s="750"/>
      <c r="U2481" s="750">
        <f>SUM(U2462:U2480)</f>
        <v>28353.661000000004</v>
      </c>
      <c r="V2481" s="750"/>
      <c r="W2481" s="750"/>
      <c r="X2481" s="750"/>
      <c r="Y2481" s="750"/>
      <c r="Z2481" s="750"/>
      <c r="AA2481" s="750"/>
      <c r="AB2481" s="750"/>
      <c r="AC2481" s="750"/>
      <c r="AD2481" s="750"/>
      <c r="AE2481" s="750"/>
      <c r="AF2481" s="750"/>
      <c r="AG2481" s="750"/>
      <c r="AH2481" s="750"/>
      <c r="AI2481" s="750"/>
      <c r="AJ2481" s="750"/>
      <c r="AK2481" s="750"/>
      <c r="AL2481" s="750"/>
      <c r="AM2481" s="750"/>
      <c r="AN2481" s="750"/>
      <c r="AO2481" s="750"/>
      <c r="AP2481" s="750"/>
      <c r="AQ2481" s="750"/>
      <c r="AR2481" s="750"/>
      <c r="AS2481" s="750"/>
      <c r="AT2481" s="750"/>
    </row>
    <row r="2482" spans="3:61" s="29" customFormat="1" x14ac:dyDescent="0.25">
      <c r="C2482" s="111"/>
      <c r="D2482" s="112"/>
      <c r="E2482" s="112"/>
    </row>
    <row r="2483" spans="3:61" s="29" customFormat="1" x14ac:dyDescent="0.25">
      <c r="C2483" s="111"/>
      <c r="D2483" s="112"/>
      <c r="E2483" s="112"/>
    </row>
    <row r="2484" spans="3:61" s="29" customFormat="1" x14ac:dyDescent="0.25">
      <c r="C2484" s="111"/>
      <c r="D2484" s="112"/>
      <c r="E2484" s="112"/>
    </row>
    <row r="2485" spans="3:61" s="29" customFormat="1" x14ac:dyDescent="0.25">
      <c r="C2485" s="111"/>
      <c r="D2485" s="112"/>
      <c r="E2485" s="112"/>
    </row>
    <row r="2486" spans="3:61" s="29" customFormat="1" x14ac:dyDescent="0.25"/>
    <row r="2487" spans="3:61" s="29" customFormat="1" x14ac:dyDescent="0.25"/>
    <row r="2488" spans="3:61" s="29" customFormat="1" x14ac:dyDescent="0.25">
      <c r="C2488" s="890" t="s">
        <v>8</v>
      </c>
      <c r="D2488" s="890"/>
      <c r="E2488" s="890"/>
      <c r="F2488" s="890"/>
      <c r="G2488" s="890"/>
      <c r="H2488" s="890"/>
      <c r="I2488" s="890"/>
      <c r="J2488" s="890"/>
      <c r="M2488" s="1044" t="s">
        <v>1883</v>
      </c>
      <c r="N2488" s="1044"/>
      <c r="O2488" s="1044"/>
      <c r="P2488" s="1044"/>
      <c r="Q2488" s="1044"/>
      <c r="R2488" s="1044"/>
      <c r="S2488" s="1044"/>
      <c r="T2488" s="1044"/>
      <c r="U2488" s="1044"/>
      <c r="W2488" s="1044" t="s">
        <v>1883</v>
      </c>
      <c r="X2488" s="1044"/>
      <c r="Y2488" s="1044"/>
      <c r="Z2488" s="1044"/>
      <c r="AA2488" s="1044"/>
      <c r="AB2488" s="1044"/>
      <c r="AC2488" s="1044"/>
      <c r="AD2488" s="1044"/>
      <c r="AE2488" s="1044"/>
    </row>
    <row r="2489" spans="3:61" s="29" customFormat="1" x14ac:dyDescent="0.25">
      <c r="C2489" s="891" t="s">
        <v>0</v>
      </c>
      <c r="D2489" s="891"/>
      <c r="E2489" s="891"/>
      <c r="F2489" s="891" t="s">
        <v>1</v>
      </c>
      <c r="G2489" s="891"/>
      <c r="H2489" s="891"/>
      <c r="I2489" s="891"/>
      <c r="J2489" s="891"/>
      <c r="M2489" s="80" t="s">
        <v>336</v>
      </c>
      <c r="N2489" s="80" t="s">
        <v>174</v>
      </c>
      <c r="O2489" s="80" t="s">
        <v>248</v>
      </c>
      <c r="P2489" s="80" t="s">
        <v>176</v>
      </c>
      <c r="Q2489" s="80" t="s">
        <v>337</v>
      </c>
      <c r="R2489" s="299" t="s">
        <v>1641</v>
      </c>
      <c r="S2489" s="299" t="s">
        <v>1642</v>
      </c>
      <c r="T2489" s="299" t="s">
        <v>1643</v>
      </c>
      <c r="U2489" s="299" t="s">
        <v>1644</v>
      </c>
      <c r="W2489" s="484" t="s">
        <v>336</v>
      </c>
      <c r="X2489" s="484" t="s">
        <v>174</v>
      </c>
      <c r="Y2489" s="484" t="s">
        <v>248</v>
      </c>
      <c r="Z2489" s="484" t="s">
        <v>176</v>
      </c>
      <c r="AA2489" s="484" t="s">
        <v>337</v>
      </c>
      <c r="AB2489" s="484" t="s">
        <v>1641</v>
      </c>
      <c r="AC2489" s="484" t="s">
        <v>1642</v>
      </c>
      <c r="AD2489" s="484" t="s">
        <v>1643</v>
      </c>
      <c r="AE2489" s="484" t="s">
        <v>1644</v>
      </c>
      <c r="AG2489" s="1045" t="s">
        <v>352</v>
      </c>
      <c r="AH2489" s="1046"/>
      <c r="AI2489" s="1046"/>
      <c r="AJ2489" s="1046"/>
      <c r="AK2489" s="1046"/>
      <c r="AL2489" s="1046"/>
      <c r="AM2489" s="1046"/>
      <c r="AN2489" s="1046"/>
      <c r="AO2489" s="1047"/>
      <c r="AQ2489" s="1045" t="s">
        <v>581</v>
      </c>
      <c r="AR2489" s="1046"/>
      <c r="AS2489" s="1046"/>
      <c r="AT2489" s="1046"/>
      <c r="AU2489" s="1046"/>
      <c r="AV2489" s="1046"/>
      <c r="AW2489" s="1046"/>
      <c r="AX2489" s="1046"/>
      <c r="AY2489" s="1047"/>
      <c r="BA2489" s="1045" t="s">
        <v>555</v>
      </c>
      <c r="BB2489" s="1046"/>
      <c r="BC2489" s="1046"/>
      <c r="BD2489" s="1046"/>
      <c r="BE2489" s="1046"/>
      <c r="BF2489" s="1046"/>
      <c r="BG2489" s="1046"/>
      <c r="BH2489" s="1046"/>
      <c r="BI2489" s="1047"/>
    </row>
    <row r="2490" spans="3:61" s="29" customFormat="1" x14ac:dyDescent="0.25">
      <c r="C2490" s="892" t="s">
        <v>2</v>
      </c>
      <c r="D2490" s="892"/>
      <c r="E2490" s="892"/>
      <c r="F2490" s="893" t="s">
        <v>227</v>
      </c>
      <c r="G2490" s="893"/>
      <c r="H2490" s="893"/>
      <c r="I2490" s="893"/>
      <c r="J2490" s="893"/>
      <c r="M2490" s="120" t="s">
        <v>344</v>
      </c>
      <c r="N2490" s="120">
        <f>E15</f>
        <v>2099.0723984875517</v>
      </c>
      <c r="O2490" s="120" t="str">
        <f>D15</f>
        <v>g</v>
      </c>
      <c r="P2490" s="120">
        <v>30</v>
      </c>
      <c r="Q2490" s="120">
        <f>N2490</f>
        <v>2099.0723984875517</v>
      </c>
      <c r="R2490" s="120">
        <v>0</v>
      </c>
      <c r="S2490" s="120">
        <f>P2490*R2490</f>
        <v>0</v>
      </c>
      <c r="T2490" s="120">
        <f>P2490-S2490</f>
        <v>30</v>
      </c>
      <c r="U2490" s="120">
        <f>Q2490+((S2490*Q2490)/P2490)</f>
        <v>2099.0723984875517</v>
      </c>
      <c r="W2490" s="120" t="s">
        <v>344</v>
      </c>
      <c r="X2490" s="154">
        <f>F15</f>
        <v>2073.8723984875514</v>
      </c>
      <c r="Y2490" s="120" t="str">
        <f>D15</f>
        <v>g</v>
      </c>
      <c r="Z2490" s="120">
        <v>30</v>
      </c>
      <c r="AA2490" s="120">
        <f>X2490</f>
        <v>2073.8723984875514</v>
      </c>
      <c r="AB2490" s="120">
        <v>0</v>
      </c>
      <c r="AC2490" s="120">
        <f>Z2490*AB2490</f>
        <v>0</v>
      </c>
      <c r="AD2490" s="120">
        <f>Z2490-AC2490</f>
        <v>30</v>
      </c>
      <c r="AE2490" s="120">
        <f>AA2490+((AC2490*AA2490)/Z2490)</f>
        <v>2073.8723984875514</v>
      </c>
      <c r="AG2490" s="299" t="s">
        <v>336</v>
      </c>
      <c r="AH2490" s="299" t="s">
        <v>174</v>
      </c>
      <c r="AI2490" s="299" t="s">
        <v>248</v>
      </c>
      <c r="AJ2490" s="299" t="s">
        <v>176</v>
      </c>
      <c r="AK2490" s="299" t="s">
        <v>337</v>
      </c>
      <c r="AL2490" s="299" t="s">
        <v>1641</v>
      </c>
      <c r="AM2490" s="299" t="s">
        <v>1642</v>
      </c>
      <c r="AN2490" s="299" t="s">
        <v>1643</v>
      </c>
      <c r="AO2490" s="299" t="s">
        <v>1644</v>
      </c>
      <c r="AQ2490" s="299" t="s">
        <v>336</v>
      </c>
      <c r="AR2490" s="299" t="s">
        <v>174</v>
      </c>
      <c r="AS2490" s="299" t="s">
        <v>248</v>
      </c>
      <c r="AT2490" s="299" t="s">
        <v>176</v>
      </c>
      <c r="AU2490" s="299" t="s">
        <v>337</v>
      </c>
      <c r="AV2490" s="299" t="s">
        <v>1641</v>
      </c>
      <c r="AW2490" s="299" t="s">
        <v>1642</v>
      </c>
      <c r="AX2490" s="299" t="s">
        <v>1643</v>
      </c>
      <c r="AY2490" s="299" t="s">
        <v>1644</v>
      </c>
      <c r="BA2490" s="299" t="s">
        <v>336</v>
      </c>
      <c r="BB2490" s="299" t="s">
        <v>174</v>
      </c>
      <c r="BC2490" s="299" t="s">
        <v>248</v>
      </c>
      <c r="BD2490" s="299" t="s">
        <v>176</v>
      </c>
      <c r="BE2490" s="299" t="s">
        <v>337</v>
      </c>
      <c r="BF2490" s="299" t="s">
        <v>1641</v>
      </c>
      <c r="BG2490" s="299" t="s">
        <v>1642</v>
      </c>
      <c r="BH2490" s="299" t="s">
        <v>1643</v>
      </c>
      <c r="BI2490" s="299" t="s">
        <v>1644</v>
      </c>
    </row>
    <row r="2491" spans="3:61" s="29" customFormat="1" x14ac:dyDescent="0.25">
      <c r="C2491" s="892"/>
      <c r="D2491" s="892"/>
      <c r="E2491" s="892"/>
      <c r="F2491" s="893"/>
      <c r="G2491" s="893"/>
      <c r="H2491" s="893"/>
      <c r="I2491" s="893"/>
      <c r="J2491" s="893"/>
      <c r="M2491" s="120" t="s">
        <v>340</v>
      </c>
      <c r="N2491" s="120">
        <f>Y20</f>
        <v>0.64</v>
      </c>
      <c r="O2491" s="120" t="str">
        <f>X20</f>
        <v>g</v>
      </c>
      <c r="P2491" s="120">
        <v>3</v>
      </c>
      <c r="Q2491" s="120">
        <f>N2491*P2491</f>
        <v>1.92</v>
      </c>
      <c r="R2491" s="120">
        <v>0</v>
      </c>
      <c r="S2491" s="120">
        <f t="shared" ref="S2491:S2494" si="826">P2491*R2491</f>
        <v>0</v>
      </c>
      <c r="T2491" s="120">
        <f t="shared" ref="T2491:T2494" si="827">P2491-S2491</f>
        <v>3</v>
      </c>
      <c r="U2491" s="120">
        <f t="shared" ref="U2491:U2494" si="828">Q2491+((S2491*Q2491)/P2491)</f>
        <v>1.92</v>
      </c>
      <c r="W2491" s="120" t="s">
        <v>340</v>
      </c>
      <c r="X2491" s="154">
        <f>Y20</f>
        <v>0.64</v>
      </c>
      <c r="Y2491" s="120" t="str">
        <f>X20</f>
        <v>g</v>
      </c>
      <c r="Z2491" s="120">
        <v>3</v>
      </c>
      <c r="AA2491" s="120">
        <f>X2491*Z2491</f>
        <v>1.92</v>
      </c>
      <c r="AB2491" s="120">
        <v>0</v>
      </c>
      <c r="AC2491" s="120">
        <f t="shared" ref="AC2491:AC2493" si="829">Z2491*AB2491</f>
        <v>0</v>
      </c>
      <c r="AD2491" s="120">
        <f t="shared" ref="AD2491:AD2493" si="830">Z2491-AC2491</f>
        <v>3</v>
      </c>
      <c r="AE2491" s="120">
        <f t="shared" ref="AE2491:AE2493" si="831">AA2491+((AC2491*AA2491)/Z2491)</f>
        <v>1.92</v>
      </c>
      <c r="AG2491" s="120" t="s">
        <v>550</v>
      </c>
      <c r="AH2491" s="120">
        <f>AE5</f>
        <v>2.04</v>
      </c>
      <c r="AI2491" s="120" t="str">
        <f>AD5</f>
        <v>g</v>
      </c>
      <c r="AJ2491" s="120">
        <v>15</v>
      </c>
      <c r="AK2491" s="120">
        <f>AH2491*AJ2491</f>
        <v>30.6</v>
      </c>
      <c r="AL2491" s="120">
        <v>0</v>
      </c>
      <c r="AM2491" s="120">
        <f>AJ2491*AL2491</f>
        <v>0</v>
      </c>
      <c r="AN2491" s="120">
        <f>AJ2491-AM2491</f>
        <v>15</v>
      </c>
      <c r="AO2491" s="120">
        <f>AK2491+((AM2491*AK2491)/AJ2491)</f>
        <v>30.6</v>
      </c>
      <c r="AQ2491" s="120" t="s">
        <v>442</v>
      </c>
      <c r="AR2491" s="120">
        <f>Y3</f>
        <v>30</v>
      </c>
      <c r="AS2491" s="120" t="str">
        <f>X3</f>
        <v>g</v>
      </c>
      <c r="AT2491" s="120">
        <v>10</v>
      </c>
      <c r="AU2491" s="120">
        <f>AR2491*AT2491</f>
        <v>300</v>
      </c>
      <c r="AV2491" s="120">
        <v>0</v>
      </c>
      <c r="AW2491" s="120">
        <f>AT2491*AV2491</f>
        <v>0</v>
      </c>
      <c r="AX2491" s="120">
        <f>AT2491-AW2491</f>
        <v>10</v>
      </c>
      <c r="AY2491" s="120">
        <f>AU2491+((AW2491*AU2491)/AT2491)</f>
        <v>300</v>
      </c>
      <c r="BA2491" s="120" t="s">
        <v>430</v>
      </c>
      <c r="BB2491" s="120">
        <f>P10</f>
        <v>0.7</v>
      </c>
      <c r="BC2491" s="120" t="str">
        <f>O10</f>
        <v>g</v>
      </c>
      <c r="BD2491" s="120">
        <v>20</v>
      </c>
      <c r="BE2491" s="120">
        <f t="shared" ref="BE2491:BE2496" si="832">BB2491*BD2491</f>
        <v>14</v>
      </c>
      <c r="BF2491" s="120">
        <f>AJ7</f>
        <v>0.15</v>
      </c>
      <c r="BG2491" s="120">
        <f>BD2491*BF2491</f>
        <v>3</v>
      </c>
      <c r="BH2491" s="120">
        <f>BD2491-BG2491</f>
        <v>17</v>
      </c>
      <c r="BI2491" s="120">
        <f>BE2491+((BG2491*BE2491)/BD2491)</f>
        <v>16.100000000000001</v>
      </c>
    </row>
    <row r="2492" spans="3:61" s="29" customFormat="1" x14ac:dyDescent="0.25">
      <c r="C2492" s="892"/>
      <c r="D2492" s="892"/>
      <c r="E2492" s="892"/>
      <c r="F2492" s="893"/>
      <c r="G2492" s="893"/>
      <c r="H2492" s="893"/>
      <c r="I2492" s="893"/>
      <c r="J2492" s="893"/>
      <c r="M2492" s="120" t="s">
        <v>355</v>
      </c>
      <c r="N2492" s="120">
        <f>AO2496</f>
        <v>972.6400000000001</v>
      </c>
      <c r="O2492" s="120" t="s">
        <v>342</v>
      </c>
      <c r="P2492" s="120">
        <v>40</v>
      </c>
      <c r="Q2492" s="120">
        <f>N2492</f>
        <v>972.6400000000001</v>
      </c>
      <c r="R2492" s="120">
        <v>0</v>
      </c>
      <c r="S2492" s="120">
        <f t="shared" si="826"/>
        <v>0</v>
      </c>
      <c r="T2492" s="120">
        <f t="shared" si="827"/>
        <v>40</v>
      </c>
      <c r="U2492" s="120">
        <f t="shared" si="828"/>
        <v>972.6400000000001</v>
      </c>
      <c r="W2492" s="120" t="s">
        <v>483</v>
      </c>
      <c r="X2492" s="120">
        <f>AY2498</f>
        <v>3964.01</v>
      </c>
      <c r="Y2492" s="120" t="s">
        <v>1388</v>
      </c>
      <c r="Z2492" s="120">
        <v>40</v>
      </c>
      <c r="AA2492" s="120">
        <f>X2492</f>
        <v>3964.01</v>
      </c>
      <c r="AB2492" s="120">
        <v>0</v>
      </c>
      <c r="AC2492" s="120">
        <f t="shared" si="829"/>
        <v>0</v>
      </c>
      <c r="AD2492" s="120">
        <f t="shared" si="830"/>
        <v>40</v>
      </c>
      <c r="AE2492" s="120">
        <f t="shared" si="831"/>
        <v>3964.01</v>
      </c>
      <c r="AG2492" s="120" t="s">
        <v>551</v>
      </c>
      <c r="AH2492" s="120">
        <f>V4</f>
        <v>3.08</v>
      </c>
      <c r="AI2492" s="120" t="str">
        <f>U4</f>
        <v>mL</v>
      </c>
      <c r="AJ2492" s="120">
        <v>80</v>
      </c>
      <c r="AK2492" s="120">
        <f>AH2492*AJ2492</f>
        <v>246.4</v>
      </c>
      <c r="AL2492" s="120">
        <v>0</v>
      </c>
      <c r="AM2492" s="120">
        <f t="shared" ref="AM2492:AM2495" si="833">AJ2492*AL2492</f>
        <v>0</v>
      </c>
      <c r="AN2492" s="120">
        <f t="shared" ref="AN2492:AN2495" si="834">AJ2492-AM2492</f>
        <v>80</v>
      </c>
      <c r="AO2492" s="120">
        <f t="shared" ref="AO2492:AO2495" si="835">AK2492+((AM2492*AK2492)/AJ2492)</f>
        <v>246.4</v>
      </c>
      <c r="AQ2492" s="120" t="s">
        <v>482</v>
      </c>
      <c r="AR2492" s="120">
        <f>P18</f>
        <v>5</v>
      </c>
      <c r="AS2492" s="120" t="str">
        <f>O18</f>
        <v>g</v>
      </c>
      <c r="AT2492" s="120">
        <v>5</v>
      </c>
      <c r="AU2492" s="120">
        <f t="shared" ref="AU2492:AU2497" si="836">AR2492*AT2492</f>
        <v>25</v>
      </c>
      <c r="AV2492" s="120">
        <f>AJ11</f>
        <v>0.23</v>
      </c>
      <c r="AW2492" s="120">
        <f t="shared" ref="AW2492:AW2495" si="837">AT2492*AV2492</f>
        <v>1.1500000000000001</v>
      </c>
      <c r="AX2492" s="120">
        <f t="shared" ref="AX2492:AX2495" si="838">AT2492-AW2492</f>
        <v>3.8499999999999996</v>
      </c>
      <c r="AY2492" s="120">
        <f t="shared" ref="AY2492:AY2495" si="839">AU2492+((AW2492*AU2492)/AT2492)</f>
        <v>30.75</v>
      </c>
      <c r="BA2492" s="120" t="s">
        <v>436</v>
      </c>
      <c r="BB2492" s="120">
        <f>P31</f>
        <v>2.6</v>
      </c>
      <c r="BC2492" s="120" t="str">
        <f>O31</f>
        <v>g</v>
      </c>
      <c r="BD2492" s="120">
        <v>15</v>
      </c>
      <c r="BE2492" s="120">
        <f t="shared" si="832"/>
        <v>39</v>
      </c>
      <c r="BF2492" s="120">
        <f>AJ19</f>
        <v>0.37</v>
      </c>
      <c r="BG2492" s="120">
        <f t="shared" ref="BG2492:BG2496" si="840">BD2492*BF2492</f>
        <v>5.55</v>
      </c>
      <c r="BH2492" s="120">
        <f t="shared" ref="BH2492:BH2496" si="841">BD2492-BG2492</f>
        <v>9.4499999999999993</v>
      </c>
      <c r="BI2492" s="120">
        <f t="shared" ref="BI2492:BI2496" si="842">BE2492+((BG2492*BE2492)/BD2492)</f>
        <v>53.43</v>
      </c>
    </row>
    <row r="2493" spans="3:61" s="29" customFormat="1" x14ac:dyDescent="0.25">
      <c r="C2493" s="891" t="s">
        <v>0</v>
      </c>
      <c r="D2493" s="891"/>
      <c r="E2493" s="891"/>
      <c r="F2493" s="891" t="s">
        <v>1</v>
      </c>
      <c r="G2493" s="891"/>
      <c r="H2493" s="891"/>
      <c r="I2493" s="891"/>
      <c r="J2493" s="891"/>
      <c r="M2493" s="120" t="s">
        <v>485</v>
      </c>
      <c r="N2493" s="120">
        <f>V12</f>
        <v>25.98</v>
      </c>
      <c r="O2493" s="120" t="str">
        <f>U12</f>
        <v>g</v>
      </c>
      <c r="P2493" s="120">
        <v>30</v>
      </c>
      <c r="Q2493" s="120">
        <f>N2493*P2493</f>
        <v>779.4</v>
      </c>
      <c r="R2493" s="120">
        <v>0</v>
      </c>
      <c r="S2493" s="120">
        <f t="shared" si="826"/>
        <v>0</v>
      </c>
      <c r="T2493" s="120">
        <f t="shared" si="827"/>
        <v>30</v>
      </c>
      <c r="U2493" s="120">
        <f t="shared" si="828"/>
        <v>779.4</v>
      </c>
      <c r="W2493" s="120" t="s">
        <v>485</v>
      </c>
      <c r="X2493" s="154">
        <f>V16</f>
        <v>54.41</v>
      </c>
      <c r="Y2493" s="120" t="str">
        <f>U16</f>
        <v>g</v>
      </c>
      <c r="Z2493" s="120">
        <v>30</v>
      </c>
      <c r="AA2493" s="120">
        <f>X2493*Z2493</f>
        <v>1632.3</v>
      </c>
      <c r="AB2493" s="120">
        <v>0</v>
      </c>
      <c r="AC2493" s="120">
        <f t="shared" si="829"/>
        <v>0</v>
      </c>
      <c r="AD2493" s="120">
        <f t="shared" si="830"/>
        <v>30</v>
      </c>
      <c r="AE2493" s="120">
        <f t="shared" si="831"/>
        <v>1632.3</v>
      </c>
      <c r="AG2493" s="120" t="s">
        <v>347</v>
      </c>
      <c r="AH2493" s="120">
        <f>V6</f>
        <v>28.76</v>
      </c>
      <c r="AI2493" s="120" t="str">
        <f>U6</f>
        <v>g</v>
      </c>
      <c r="AJ2493" s="120">
        <v>15</v>
      </c>
      <c r="AK2493" s="120">
        <f>AH2493*AJ2493</f>
        <v>431.40000000000003</v>
      </c>
      <c r="AL2493" s="120">
        <v>0</v>
      </c>
      <c r="AM2493" s="120">
        <f t="shared" si="833"/>
        <v>0</v>
      </c>
      <c r="AN2493" s="120">
        <f t="shared" si="834"/>
        <v>15</v>
      </c>
      <c r="AO2493" s="120">
        <f t="shared" si="835"/>
        <v>431.40000000000003</v>
      </c>
      <c r="AQ2493" s="120" t="s">
        <v>547</v>
      </c>
      <c r="AR2493" s="120">
        <f>V13</f>
        <v>81.900000000000006</v>
      </c>
      <c r="AS2493" s="120" t="str">
        <f>U13</f>
        <v>g</v>
      </c>
      <c r="AT2493" s="120">
        <v>15</v>
      </c>
      <c r="AU2493" s="120">
        <f t="shared" si="836"/>
        <v>1228.5</v>
      </c>
      <c r="AV2493" s="120">
        <v>0</v>
      </c>
      <c r="AW2493" s="120">
        <f t="shared" si="837"/>
        <v>0</v>
      </c>
      <c r="AX2493" s="120">
        <f t="shared" si="838"/>
        <v>15</v>
      </c>
      <c r="AY2493" s="120">
        <f t="shared" si="839"/>
        <v>1228.5</v>
      </c>
      <c r="BA2493" s="120" t="s">
        <v>435</v>
      </c>
      <c r="BB2493" s="120">
        <f>P5</f>
        <v>2.5</v>
      </c>
      <c r="BC2493" s="120" t="str">
        <f>O5</f>
        <v>g</v>
      </c>
      <c r="BD2493" s="120">
        <v>10</v>
      </c>
      <c r="BE2493" s="120">
        <f t="shared" si="832"/>
        <v>25</v>
      </c>
      <c r="BF2493" s="120">
        <f>AJ3</f>
        <v>0.37</v>
      </c>
      <c r="BG2493" s="120">
        <f t="shared" si="840"/>
        <v>3.7</v>
      </c>
      <c r="BH2493" s="120">
        <f t="shared" si="841"/>
        <v>6.3</v>
      </c>
      <c r="BI2493" s="120">
        <f t="shared" si="842"/>
        <v>34.25</v>
      </c>
    </row>
    <row r="2494" spans="3:61" s="29" customFormat="1" x14ac:dyDescent="0.25">
      <c r="C2494" s="892" t="s">
        <v>3</v>
      </c>
      <c r="D2494" s="892"/>
      <c r="E2494" s="892"/>
      <c r="F2494" s="894" t="s">
        <v>227</v>
      </c>
      <c r="G2494" s="893"/>
      <c r="H2494" s="893"/>
      <c r="I2494" s="893"/>
      <c r="J2494" s="893"/>
      <c r="M2494" s="120" t="s">
        <v>360</v>
      </c>
      <c r="N2494" s="120">
        <f>S8</f>
        <v>59</v>
      </c>
      <c r="O2494" s="120" t="str">
        <f>R8</f>
        <v>g</v>
      </c>
      <c r="P2494" s="120">
        <v>40</v>
      </c>
      <c r="Q2494" s="120">
        <f>N2494*P2494</f>
        <v>2360</v>
      </c>
      <c r="R2494" s="120">
        <f>AN4</f>
        <v>0.41</v>
      </c>
      <c r="S2494" s="120">
        <f t="shared" si="826"/>
        <v>16.399999999999999</v>
      </c>
      <c r="T2494" s="120">
        <f t="shared" si="827"/>
        <v>23.6</v>
      </c>
      <c r="U2494" s="120">
        <f t="shared" si="828"/>
        <v>3327.6</v>
      </c>
      <c r="W2494" s="120" t="s">
        <v>361</v>
      </c>
      <c r="X2494" s="154">
        <f>P31+P8+P19</f>
        <v>16.213000000000001</v>
      </c>
      <c r="Y2494" s="120" t="str">
        <f>O19</f>
        <v>g</v>
      </c>
      <c r="Z2494" s="120">
        <v>15</v>
      </c>
      <c r="AA2494" s="120">
        <f>X2494*Z2494</f>
        <v>243.19500000000002</v>
      </c>
      <c r="AB2494" s="120">
        <f>AJ19+AJ6</f>
        <v>0.87</v>
      </c>
      <c r="AC2494" s="120">
        <f t="shared" ref="AC2494" si="843">Z2494*AB2494</f>
        <v>13.05</v>
      </c>
      <c r="AD2494" s="120">
        <f t="shared" ref="AD2494" si="844">Z2494-AC2494</f>
        <v>1.9499999999999993</v>
      </c>
      <c r="AE2494" s="120">
        <f t="shared" ref="AE2494" si="845">AA2494+((AC2494*AA2494)/Z2494)</f>
        <v>454.77465000000007</v>
      </c>
      <c r="AG2494" s="120" t="s">
        <v>340</v>
      </c>
      <c r="AH2494" s="120">
        <f>Y20</f>
        <v>0.64</v>
      </c>
      <c r="AI2494" s="120" t="str">
        <f>X20</f>
        <v>g</v>
      </c>
      <c r="AJ2494" s="120">
        <v>1</v>
      </c>
      <c r="AK2494" s="120">
        <f>AH2494*AJ2494</f>
        <v>0.64</v>
      </c>
      <c r="AL2494" s="120">
        <v>0</v>
      </c>
      <c r="AM2494" s="120">
        <f t="shared" si="833"/>
        <v>0</v>
      </c>
      <c r="AN2494" s="120">
        <f t="shared" si="834"/>
        <v>1</v>
      </c>
      <c r="AO2494" s="120">
        <f t="shared" si="835"/>
        <v>0.64</v>
      </c>
      <c r="AQ2494" s="120" t="s">
        <v>340</v>
      </c>
      <c r="AR2494" s="120">
        <f>Y20</f>
        <v>0.64</v>
      </c>
      <c r="AS2494" s="120" t="str">
        <f>X20</f>
        <v>g</v>
      </c>
      <c r="AT2494" s="120">
        <v>1</v>
      </c>
      <c r="AU2494" s="120">
        <f t="shared" si="836"/>
        <v>0.64</v>
      </c>
      <c r="AV2494" s="120">
        <v>0</v>
      </c>
      <c r="AW2494" s="120">
        <f t="shared" si="837"/>
        <v>0</v>
      </c>
      <c r="AX2494" s="120">
        <f t="shared" si="838"/>
        <v>1</v>
      </c>
      <c r="AY2494" s="120">
        <f t="shared" si="839"/>
        <v>0.64</v>
      </c>
      <c r="BA2494" s="120" t="s">
        <v>429</v>
      </c>
      <c r="BB2494" s="120">
        <f>P29</f>
        <v>1.8</v>
      </c>
      <c r="BC2494" s="120" t="str">
        <f>O29</f>
        <v>g</v>
      </c>
      <c r="BD2494" s="120">
        <v>40</v>
      </c>
      <c r="BE2494" s="120">
        <f t="shared" si="832"/>
        <v>72</v>
      </c>
      <c r="BF2494" s="120">
        <f>AJ18</f>
        <v>0.05</v>
      </c>
      <c r="BG2494" s="120">
        <f t="shared" si="840"/>
        <v>2</v>
      </c>
      <c r="BH2494" s="120">
        <f t="shared" si="841"/>
        <v>38</v>
      </c>
      <c r="BI2494" s="120">
        <f t="shared" si="842"/>
        <v>75.599999999999994</v>
      </c>
    </row>
    <row r="2495" spans="3:61" s="29" customFormat="1" x14ac:dyDescent="0.25">
      <c r="C2495" s="892"/>
      <c r="D2495" s="892"/>
      <c r="E2495" s="892"/>
      <c r="F2495" s="893"/>
      <c r="G2495" s="893"/>
      <c r="H2495" s="893"/>
      <c r="I2495" s="893"/>
      <c r="J2495" s="893"/>
      <c r="M2495" s="120"/>
      <c r="N2495" s="120"/>
      <c r="O2495" s="120"/>
      <c r="P2495" s="120"/>
      <c r="Q2495" s="120"/>
      <c r="R2495" s="120"/>
      <c r="S2495" s="120"/>
      <c r="T2495" s="120"/>
      <c r="U2495" s="120"/>
      <c r="W2495" s="120"/>
      <c r="X2495" s="120"/>
      <c r="Y2495" s="120"/>
      <c r="Z2495" s="120"/>
      <c r="AA2495" s="120"/>
      <c r="AB2495" s="120"/>
      <c r="AC2495" s="120"/>
      <c r="AD2495" s="120"/>
      <c r="AE2495" s="120"/>
      <c r="AG2495" s="120" t="s">
        <v>356</v>
      </c>
      <c r="AH2495" s="120">
        <f>Y14</f>
        <v>131.80000000000001</v>
      </c>
      <c r="AI2495" s="120" t="str">
        <f>X14</f>
        <v>g</v>
      </c>
      <c r="AJ2495" s="120">
        <v>2</v>
      </c>
      <c r="AK2495" s="120">
        <f>AH2495*AJ2495</f>
        <v>263.60000000000002</v>
      </c>
      <c r="AL2495" s="120">
        <v>0</v>
      </c>
      <c r="AM2495" s="120">
        <f t="shared" si="833"/>
        <v>0</v>
      </c>
      <c r="AN2495" s="120">
        <f t="shared" si="834"/>
        <v>2</v>
      </c>
      <c r="AO2495" s="120">
        <f t="shared" si="835"/>
        <v>263.60000000000002</v>
      </c>
      <c r="AQ2495" s="120" t="s">
        <v>346</v>
      </c>
      <c r="AR2495" s="120">
        <f>P3</f>
        <v>7</v>
      </c>
      <c r="AS2495" s="120" t="str">
        <f>O3</f>
        <v>g</v>
      </c>
      <c r="AT2495" s="120">
        <v>4</v>
      </c>
      <c r="AU2495" s="120">
        <f t="shared" si="836"/>
        <v>28</v>
      </c>
      <c r="AV2495" s="120">
        <f>AJ2</f>
        <v>0.23</v>
      </c>
      <c r="AW2495" s="120">
        <f t="shared" si="837"/>
        <v>0.92</v>
      </c>
      <c r="AX2495" s="120">
        <f t="shared" si="838"/>
        <v>3.08</v>
      </c>
      <c r="AY2495" s="120">
        <f t="shared" si="839"/>
        <v>34.44</v>
      </c>
      <c r="BA2495" s="120" t="s">
        <v>432</v>
      </c>
      <c r="BB2495" s="120">
        <f>S8</f>
        <v>59</v>
      </c>
      <c r="BC2495" s="120" t="str">
        <f>R8</f>
        <v>g</v>
      </c>
      <c r="BD2495" s="120">
        <v>25</v>
      </c>
      <c r="BE2495" s="120">
        <f t="shared" si="832"/>
        <v>1475</v>
      </c>
      <c r="BF2495" s="120">
        <f>AN4</f>
        <v>0.41</v>
      </c>
      <c r="BG2495" s="120">
        <f t="shared" si="840"/>
        <v>10.25</v>
      </c>
      <c r="BH2495" s="120">
        <f t="shared" si="841"/>
        <v>14.75</v>
      </c>
      <c r="BI2495" s="120">
        <f t="shared" si="842"/>
        <v>2079.75</v>
      </c>
    </row>
    <row r="2496" spans="3:61" s="29" customFormat="1" x14ac:dyDescent="0.25">
      <c r="C2496" s="892"/>
      <c r="D2496" s="892"/>
      <c r="E2496" s="892"/>
      <c r="F2496" s="893"/>
      <c r="G2496" s="893"/>
      <c r="H2496" s="893"/>
      <c r="I2496" s="893"/>
      <c r="J2496" s="893"/>
      <c r="M2496" s="120"/>
      <c r="N2496" s="120"/>
      <c r="O2496" s="120"/>
      <c r="P2496" s="120"/>
      <c r="Q2496" s="120"/>
      <c r="R2496" s="120"/>
      <c r="S2496" s="120"/>
      <c r="T2496" s="120"/>
      <c r="U2496" s="120"/>
      <c r="W2496" s="120"/>
      <c r="X2496" s="120"/>
      <c r="Y2496" s="120"/>
      <c r="Z2496" s="120"/>
      <c r="AA2496" s="120"/>
      <c r="AB2496" s="120"/>
      <c r="AC2496" s="120"/>
      <c r="AD2496" s="120"/>
      <c r="AE2496" s="120"/>
      <c r="AG2496" s="120" t="s">
        <v>337</v>
      </c>
      <c r="AH2496" s="120">
        <f>SUM(AH2491:AH2495)</f>
        <v>166.32000000000002</v>
      </c>
      <c r="AI2496" s="120"/>
      <c r="AJ2496" s="120">
        <f>SUM(AJ2491:AJ2495)</f>
        <v>113</v>
      </c>
      <c r="AK2496" s="120">
        <f>SUM(AK2491:AK2495)</f>
        <v>972.6400000000001</v>
      </c>
      <c r="AL2496" s="120"/>
      <c r="AM2496" s="120"/>
      <c r="AN2496" s="120"/>
      <c r="AO2496" s="120">
        <f>SUM(AO2491:AO2495)</f>
        <v>972.6400000000001</v>
      </c>
      <c r="AQ2496" s="120" t="s">
        <v>433</v>
      </c>
      <c r="AR2496" s="120">
        <f>Y18</f>
        <v>223.57</v>
      </c>
      <c r="AS2496" s="120" t="str">
        <f>X18</f>
        <v>g</v>
      </c>
      <c r="AT2496" s="120">
        <v>4</v>
      </c>
      <c r="AU2496" s="120">
        <f t="shared" si="836"/>
        <v>894.28</v>
      </c>
      <c r="AV2496" s="120">
        <v>0</v>
      </c>
      <c r="AW2496" s="120">
        <f t="shared" ref="AW2496:AW2497" si="846">AT2496*AV2496</f>
        <v>0</v>
      </c>
      <c r="AX2496" s="120">
        <f t="shared" ref="AX2496:AX2497" si="847">AT2496-AW2496</f>
        <v>4</v>
      </c>
      <c r="AY2496" s="120">
        <f t="shared" ref="AY2496:AY2497" si="848">AU2496+((AW2496*AU2496)/AT2496)</f>
        <v>894.28</v>
      </c>
      <c r="BA2496" s="120" t="s">
        <v>455</v>
      </c>
      <c r="BB2496" s="120">
        <f>AE15</f>
        <v>51.96</v>
      </c>
      <c r="BC2496" s="120" t="str">
        <f>AD15</f>
        <v>mL</v>
      </c>
      <c r="BD2496" s="120">
        <v>15</v>
      </c>
      <c r="BE2496" s="120">
        <f t="shared" si="832"/>
        <v>779.4</v>
      </c>
      <c r="BF2496" s="120">
        <v>0</v>
      </c>
      <c r="BG2496" s="120">
        <f t="shared" si="840"/>
        <v>0</v>
      </c>
      <c r="BH2496" s="120">
        <f t="shared" si="841"/>
        <v>15</v>
      </c>
      <c r="BI2496" s="120">
        <f t="shared" si="842"/>
        <v>779.4</v>
      </c>
    </row>
    <row r="2497" spans="3:61" s="29" customFormat="1" x14ac:dyDescent="0.25">
      <c r="C2497" s="892" t="s">
        <v>4</v>
      </c>
      <c r="D2497" s="892"/>
      <c r="E2497" s="892"/>
      <c r="F2497" s="893" t="s">
        <v>15</v>
      </c>
      <c r="G2497" s="893"/>
      <c r="H2497" s="893"/>
      <c r="I2497" s="893"/>
      <c r="J2497" s="893"/>
      <c r="M2497" s="120"/>
      <c r="N2497" s="120"/>
      <c r="O2497" s="120"/>
      <c r="P2497" s="120"/>
      <c r="Q2497" s="120"/>
      <c r="R2497" s="120"/>
      <c r="S2497" s="120"/>
      <c r="T2497" s="120"/>
      <c r="U2497" s="120"/>
      <c r="W2497" s="120"/>
      <c r="X2497" s="120"/>
      <c r="Y2497" s="120"/>
      <c r="Z2497" s="120"/>
      <c r="AA2497" s="120"/>
      <c r="AB2497" s="120"/>
      <c r="AC2497" s="120"/>
      <c r="AD2497" s="120"/>
      <c r="AE2497" s="120"/>
      <c r="AQ2497" s="120" t="s">
        <v>546</v>
      </c>
      <c r="AR2497" s="120">
        <f>AE3</f>
        <v>49.18</v>
      </c>
      <c r="AS2497" s="120" t="str">
        <f>AD3</f>
        <v>mL</v>
      </c>
      <c r="AT2497" s="120">
        <v>30</v>
      </c>
      <c r="AU2497" s="120">
        <f t="shared" si="836"/>
        <v>1475.4</v>
      </c>
      <c r="AV2497" s="120">
        <v>0</v>
      </c>
      <c r="AW2497" s="120">
        <f t="shared" si="846"/>
        <v>0</v>
      </c>
      <c r="AX2497" s="120">
        <f t="shared" si="847"/>
        <v>30</v>
      </c>
      <c r="AY2497" s="120">
        <f t="shared" si="848"/>
        <v>1475.4</v>
      </c>
      <c r="BA2497" s="120"/>
      <c r="BB2497" s="120"/>
      <c r="BC2497" s="120"/>
      <c r="BD2497" s="120"/>
      <c r="BE2497" s="120"/>
      <c r="BF2497" s="120"/>
      <c r="BG2497" s="120"/>
      <c r="BH2497" s="120"/>
      <c r="BI2497" s="120"/>
    </row>
    <row r="2498" spans="3:61" s="29" customFormat="1" x14ac:dyDescent="0.25">
      <c r="C2498" s="892"/>
      <c r="D2498" s="892"/>
      <c r="E2498" s="892"/>
      <c r="F2498" s="893"/>
      <c r="G2498" s="893"/>
      <c r="H2498" s="893"/>
      <c r="I2498" s="893"/>
      <c r="J2498" s="893"/>
      <c r="M2498" s="120" t="s">
        <v>337</v>
      </c>
      <c r="N2498" s="120">
        <f>SUM(N2490:N2497)</f>
        <v>3157.3323984875519</v>
      </c>
      <c r="O2498" s="120"/>
      <c r="P2498" s="120">
        <f>SUM(P2490:P2497)</f>
        <v>143</v>
      </c>
      <c r="Q2498" s="120">
        <f>SUM(Q2490:Q2497)</f>
        <v>6213.0323984875522</v>
      </c>
      <c r="R2498" s="120"/>
      <c r="S2498" s="120"/>
      <c r="T2498" s="120"/>
      <c r="U2498" s="120">
        <f>SUM(U2490:U2497)</f>
        <v>7180.6323984875517</v>
      </c>
      <c r="W2498" s="120" t="s">
        <v>337</v>
      </c>
      <c r="X2498" s="120">
        <f>SUM(X2490:X2497)</f>
        <v>6109.1453984875516</v>
      </c>
      <c r="Y2498" s="120"/>
      <c r="Z2498" s="120">
        <f>SUM(Z2490:Z2497)</f>
        <v>118</v>
      </c>
      <c r="AA2498" s="120">
        <f>SUM(AA2490:AA2497)</f>
        <v>7915.2973984875516</v>
      </c>
      <c r="AB2498" s="120"/>
      <c r="AC2498" s="120"/>
      <c r="AD2498" s="120"/>
      <c r="AE2498" s="120">
        <f>SUM(AE2490:AE2497)</f>
        <v>8126.8770484875522</v>
      </c>
      <c r="AK2498" s="120" t="s">
        <v>1681</v>
      </c>
      <c r="AL2498" s="120">
        <f>AO2496</f>
        <v>972.6400000000001</v>
      </c>
      <c r="AM2498" s="608" t="s">
        <v>2142</v>
      </c>
      <c r="AN2498" s="608">
        <f>(AL2498*100)/AL2505</f>
        <v>18.883145188726939</v>
      </c>
      <c r="AQ2498" s="120" t="s">
        <v>337</v>
      </c>
      <c r="AR2498" s="120">
        <f>SUM(AR2491:AR2497)</f>
        <v>397.29</v>
      </c>
      <c r="AS2498" s="120"/>
      <c r="AT2498" s="120">
        <f>SUM(AT2491:AT2497)</f>
        <v>69</v>
      </c>
      <c r="AU2498" s="120">
        <f>SUM(AU2491:AU2497)</f>
        <v>3951.82</v>
      </c>
      <c r="AV2498" s="120"/>
      <c r="AW2498" s="120"/>
      <c r="AX2498" s="120"/>
      <c r="AY2498" s="120">
        <f>SUM(AY2491:AY2497)</f>
        <v>3964.01</v>
      </c>
      <c r="BA2498" s="120" t="s">
        <v>337</v>
      </c>
      <c r="BB2498" s="120">
        <f>SUM(BB2491:BB2497)</f>
        <v>118.56</v>
      </c>
      <c r="BC2498" s="120"/>
      <c r="BD2498" s="120">
        <f>SUM(BD2491:BD2497)</f>
        <v>125</v>
      </c>
      <c r="BE2498" s="120">
        <f>SUM(BE2491:BE2497)</f>
        <v>2404.4</v>
      </c>
      <c r="BF2498" s="120"/>
      <c r="BG2498" s="120"/>
      <c r="BH2498" s="120"/>
      <c r="BI2498" s="120">
        <f>SUM(BI2491:BI2497)</f>
        <v>3038.53</v>
      </c>
    </row>
    <row r="2499" spans="3:61" s="29" customFormat="1" x14ac:dyDescent="0.25">
      <c r="C2499" s="892"/>
      <c r="D2499" s="892"/>
      <c r="E2499" s="892"/>
      <c r="F2499" s="893"/>
      <c r="G2499" s="893"/>
      <c r="H2499" s="893"/>
      <c r="I2499" s="893"/>
      <c r="J2499" s="893"/>
      <c r="AK2499" s="120" t="s">
        <v>2326</v>
      </c>
      <c r="AL2499" s="120">
        <f>$AK$26</f>
        <v>1490.4701889752762</v>
      </c>
    </row>
    <row r="2500" spans="3:61" s="29" customFormat="1" x14ac:dyDescent="0.25">
      <c r="C2500" s="892" t="s">
        <v>5</v>
      </c>
      <c r="D2500" s="892"/>
      <c r="E2500" s="892"/>
      <c r="F2500" s="893" t="s">
        <v>228</v>
      </c>
      <c r="G2500" s="893"/>
      <c r="H2500" s="893"/>
      <c r="I2500" s="893"/>
      <c r="J2500" s="893"/>
      <c r="Q2500" s="120" t="s">
        <v>1681</v>
      </c>
      <c r="R2500" s="120">
        <f>U2498</f>
        <v>7180.6323984875517</v>
      </c>
      <c r="S2500" s="608" t="s">
        <v>2142</v>
      </c>
      <c r="T2500" s="608">
        <f>(R2500*100)/R2507</f>
        <v>45.223078324031817</v>
      </c>
      <c r="AA2500" s="120" t="s">
        <v>1681</v>
      </c>
      <c r="AB2500" s="120">
        <f>AE2498</f>
        <v>8126.8770484875522</v>
      </c>
      <c r="AC2500" s="608" t="s">
        <v>2142</v>
      </c>
      <c r="AD2500" s="608">
        <f>(AB2500*100)/AB2507</f>
        <v>46.403875444694137</v>
      </c>
      <c r="AK2500" s="120" t="s">
        <v>2325</v>
      </c>
      <c r="AL2500" s="120">
        <f>$AK$27</f>
        <v>75.599999999999994</v>
      </c>
      <c r="AU2500" s="120" t="s">
        <v>1681</v>
      </c>
      <c r="AV2500" s="120">
        <f>AY2498</f>
        <v>3964.01</v>
      </c>
      <c r="AW2500" s="608" t="s">
        <v>2142</v>
      </c>
      <c r="AX2500" s="608">
        <f>(AV2500*100)/AV2507</f>
        <v>38.411231720352944</v>
      </c>
      <c r="BE2500" s="120" t="s">
        <v>1681</v>
      </c>
      <c r="BF2500" s="120">
        <f>BI2498</f>
        <v>3038.53</v>
      </c>
      <c r="BG2500" s="608" t="s">
        <v>2142</v>
      </c>
      <c r="BH2500" s="608">
        <f>(BF2500*100)/BF2507</f>
        <v>34.84275142808319</v>
      </c>
    </row>
    <row r="2501" spans="3:61" s="29" customFormat="1" x14ac:dyDescent="0.25">
      <c r="C2501" s="892"/>
      <c r="D2501" s="892"/>
      <c r="E2501" s="892"/>
      <c r="F2501" s="893"/>
      <c r="G2501" s="893"/>
      <c r="H2501" s="893"/>
      <c r="I2501" s="893"/>
      <c r="J2501" s="893"/>
      <c r="Q2501" s="120" t="s">
        <v>2326</v>
      </c>
      <c r="R2501" s="120">
        <f>$AK$26</f>
        <v>1490.4701889752762</v>
      </c>
      <c r="AA2501" s="120" t="s">
        <v>2326</v>
      </c>
      <c r="AB2501" s="120">
        <f>$AK$26</f>
        <v>1490.4701889752762</v>
      </c>
      <c r="AK2501" s="120" t="s">
        <v>1684</v>
      </c>
      <c r="AL2501" s="120">
        <f>$AK$29</f>
        <v>442.09817078037929</v>
      </c>
      <c r="AU2501" s="120" t="s">
        <v>2326</v>
      </c>
      <c r="AV2501" s="120">
        <f>$AK$26</f>
        <v>1490.4701889752762</v>
      </c>
      <c r="BE2501" s="120" t="s">
        <v>1682</v>
      </c>
      <c r="BF2501" s="120">
        <f>$AK$26</f>
        <v>1490.4701889752762</v>
      </c>
    </row>
    <row r="2502" spans="3:61" s="29" customFormat="1" x14ac:dyDescent="0.25">
      <c r="C2502" s="892"/>
      <c r="D2502" s="892"/>
      <c r="E2502" s="892"/>
      <c r="F2502" s="893"/>
      <c r="G2502" s="893"/>
      <c r="H2502" s="893"/>
      <c r="I2502" s="893"/>
      <c r="J2502" s="893"/>
      <c r="Q2502" s="120" t="s">
        <v>2325</v>
      </c>
      <c r="R2502" s="120">
        <f>$AK$27</f>
        <v>75.599999999999994</v>
      </c>
      <c r="AA2502" s="120" t="s">
        <v>2325</v>
      </c>
      <c r="AB2502" s="120">
        <f>$AK$27</f>
        <v>75.599999999999994</v>
      </c>
      <c r="AK2502" s="120" t="s">
        <v>1685</v>
      </c>
      <c r="AL2502" s="120">
        <v>0.6</v>
      </c>
      <c r="AU2502" s="120" t="s">
        <v>2325</v>
      </c>
      <c r="AV2502" s="120">
        <f>$AK$27</f>
        <v>75.599999999999994</v>
      </c>
      <c r="BE2502" s="120" t="s">
        <v>1683</v>
      </c>
      <c r="BF2502" s="120">
        <f>$AK$27</f>
        <v>75.599999999999994</v>
      </c>
    </row>
    <row r="2503" spans="3:61" s="29" customFormat="1" x14ac:dyDescent="0.25">
      <c r="C2503" s="892" t="s">
        <v>6</v>
      </c>
      <c r="D2503" s="892"/>
      <c r="E2503" s="892"/>
      <c r="F2503" s="893" t="s">
        <v>9</v>
      </c>
      <c r="G2503" s="893"/>
      <c r="H2503" s="893"/>
      <c r="I2503" s="893"/>
      <c r="J2503" s="893"/>
      <c r="Q2503" s="120" t="s">
        <v>1684</v>
      </c>
      <c r="R2503" s="120">
        <f>$AK$29</f>
        <v>442.09817078037929</v>
      </c>
      <c r="AA2503" s="120" t="s">
        <v>1684</v>
      </c>
      <c r="AB2503" s="120">
        <f>$AK$29</f>
        <v>442.09817078037929</v>
      </c>
      <c r="AK2503" s="120" t="s">
        <v>1708</v>
      </c>
      <c r="AL2503" s="120">
        <f>(SUM(AL2498:AL2501)*AL2502)+SUM(AL2498:AL2501)</f>
        <v>4769.2933756090488</v>
      </c>
      <c r="AU2503" s="120" t="s">
        <v>1684</v>
      </c>
      <c r="AV2503" s="120">
        <f>$AK$29</f>
        <v>442.09817078037929</v>
      </c>
      <c r="BE2503" s="120" t="s">
        <v>1684</v>
      </c>
      <c r="BF2503" s="120">
        <f>$AK$29</f>
        <v>442.09817078037929</v>
      </c>
    </row>
    <row r="2504" spans="3:61" s="29" customFormat="1" x14ac:dyDescent="0.25">
      <c r="C2504" s="892"/>
      <c r="D2504" s="892"/>
      <c r="E2504" s="892"/>
      <c r="F2504" s="893"/>
      <c r="G2504" s="893"/>
      <c r="H2504" s="893"/>
      <c r="I2504" s="893"/>
      <c r="J2504" s="893"/>
      <c r="Q2504" s="120" t="s">
        <v>1685</v>
      </c>
      <c r="R2504" s="120">
        <v>0.6</v>
      </c>
      <c r="AA2504" s="120" t="s">
        <v>1685</v>
      </c>
      <c r="AB2504" s="120">
        <v>0.6</v>
      </c>
      <c r="AK2504" s="120" t="s">
        <v>2130</v>
      </c>
      <c r="AL2504" s="120">
        <f>AL2503*0.08</f>
        <v>381.54347004872392</v>
      </c>
      <c r="AU2504" s="120" t="s">
        <v>1685</v>
      </c>
      <c r="AV2504" s="120">
        <v>0.6</v>
      </c>
      <c r="BE2504" s="120" t="s">
        <v>1780</v>
      </c>
      <c r="BF2504" s="120">
        <v>0.6</v>
      </c>
    </row>
    <row r="2505" spans="3:61" s="29" customFormat="1" x14ac:dyDescent="0.25">
      <c r="C2505" s="892"/>
      <c r="D2505" s="892"/>
      <c r="E2505" s="892"/>
      <c r="F2505" s="893"/>
      <c r="G2505" s="893"/>
      <c r="H2505" s="893"/>
      <c r="I2505" s="893"/>
      <c r="J2505" s="893"/>
      <c r="Q2505" s="120" t="s">
        <v>1708</v>
      </c>
      <c r="R2505" s="120">
        <f>(SUM(R2500:R2503)*R2504)+SUM(R2500:R2503)</f>
        <v>14702.081213189133</v>
      </c>
      <c r="AA2505" s="120" t="s">
        <v>1708</v>
      </c>
      <c r="AB2505" s="120">
        <f>(SUM(AB2500:AB2503)*AB2504)+SUM(AB2500:AB2503)</f>
        <v>16216.072653189132</v>
      </c>
      <c r="AK2505" s="120" t="s">
        <v>1686</v>
      </c>
      <c r="AL2505" s="120">
        <f>SUM(AL2503+AL2504)</f>
        <v>5150.8368456577728</v>
      </c>
      <c r="AU2505" s="120" t="s">
        <v>1708</v>
      </c>
      <c r="AV2505" s="120">
        <f>(SUM(AV2500:AV2503)*AV2504)+SUM(AV2500:AV2503)</f>
        <v>9555.4853756090488</v>
      </c>
      <c r="BE2505" s="120" t="s">
        <v>1708</v>
      </c>
      <c r="BF2505" s="120">
        <f>(SUM(BF2500:BF2503)*BF2504)+SUM(BF2500:BF2503)</f>
        <v>8074.7173756090506</v>
      </c>
    </row>
    <row r="2506" spans="3:61" s="29" customFormat="1" x14ac:dyDescent="0.25">
      <c r="C2506" s="892" t="s">
        <v>7</v>
      </c>
      <c r="D2506" s="892"/>
      <c r="E2506" s="892"/>
      <c r="F2506" s="893" t="s">
        <v>647</v>
      </c>
      <c r="G2506" s="893"/>
      <c r="H2506" s="893"/>
      <c r="I2506" s="893"/>
      <c r="J2506" s="893"/>
      <c r="Q2506" s="120" t="s">
        <v>2130</v>
      </c>
      <c r="R2506" s="120">
        <f>R2505*0.08</f>
        <v>1176.1664970551305</v>
      </c>
      <c r="AA2506" s="120" t="s">
        <v>2130</v>
      </c>
      <c r="AB2506" s="120">
        <f>AB2505*0.08</f>
        <v>1297.2858122551306</v>
      </c>
      <c r="AU2506" s="120" t="s">
        <v>2130</v>
      </c>
      <c r="AV2506" s="120">
        <f>AV2505*0.08</f>
        <v>764.43883004872396</v>
      </c>
      <c r="BE2506" s="120" t="s">
        <v>2130</v>
      </c>
      <c r="BF2506" s="120">
        <f>BF2505*0.08</f>
        <v>645.97739004872403</v>
      </c>
    </row>
    <row r="2507" spans="3:61" s="29" customFormat="1" x14ac:dyDescent="0.25">
      <c r="C2507" s="892"/>
      <c r="D2507" s="892"/>
      <c r="E2507" s="892"/>
      <c r="F2507" s="893"/>
      <c r="G2507" s="893"/>
      <c r="H2507" s="893"/>
      <c r="I2507" s="893"/>
      <c r="J2507" s="893"/>
      <c r="Q2507" s="120" t="s">
        <v>1686</v>
      </c>
      <c r="R2507" s="120">
        <f>SUM(R2505+R2506)</f>
        <v>15878.247710244263</v>
      </c>
      <c r="AA2507" s="120" t="s">
        <v>1686</v>
      </c>
      <c r="AB2507" s="120">
        <f>SUM(AB2505+AB2506)</f>
        <v>17513.358465444264</v>
      </c>
      <c r="AU2507" s="120" t="s">
        <v>1686</v>
      </c>
      <c r="AV2507" s="120">
        <f>SUM(AV2505+AV2506)</f>
        <v>10319.924205657773</v>
      </c>
      <c r="BE2507" s="120" t="s">
        <v>1686</v>
      </c>
      <c r="BF2507" s="120">
        <f>SUM(BF2505+BF2506)</f>
        <v>8720.694765657774</v>
      </c>
    </row>
    <row r="2508" spans="3:61" s="29" customFormat="1" x14ac:dyDescent="0.25">
      <c r="C2508" s="892"/>
      <c r="D2508" s="892"/>
      <c r="E2508" s="892"/>
      <c r="F2508" s="893"/>
      <c r="G2508" s="893"/>
      <c r="H2508" s="893"/>
      <c r="I2508" s="893"/>
      <c r="J2508" s="893"/>
    </row>
    <row r="2509" spans="3:61" s="29" customFormat="1" x14ac:dyDescent="0.25"/>
    <row r="2510" spans="3:61" s="29" customFormat="1" x14ac:dyDescent="0.25"/>
    <row r="2511" spans="3:61" s="29" customFormat="1" x14ac:dyDescent="0.25">
      <c r="C2511" s="890" t="s">
        <v>8</v>
      </c>
      <c r="D2511" s="890"/>
      <c r="E2511" s="890"/>
      <c r="F2511" s="890"/>
      <c r="G2511" s="890"/>
      <c r="H2511" s="890"/>
      <c r="I2511" s="890"/>
      <c r="J2511" s="890"/>
    </row>
    <row r="2512" spans="3:61" s="29" customFormat="1" x14ac:dyDescent="0.25">
      <c r="C2512" s="891" t="s">
        <v>0</v>
      </c>
      <c r="D2512" s="891"/>
      <c r="E2512" s="891"/>
      <c r="F2512" s="891" t="s">
        <v>1</v>
      </c>
      <c r="G2512" s="891"/>
      <c r="H2512" s="891"/>
      <c r="I2512" s="891"/>
      <c r="J2512" s="891"/>
      <c r="M2512" s="80" t="s">
        <v>336</v>
      </c>
      <c r="N2512" s="80" t="s">
        <v>174</v>
      </c>
      <c r="O2512" s="80" t="s">
        <v>248</v>
      </c>
      <c r="P2512" s="80" t="s">
        <v>176</v>
      </c>
      <c r="Q2512" s="80" t="s">
        <v>337</v>
      </c>
      <c r="R2512" s="299" t="s">
        <v>1641</v>
      </c>
      <c r="S2512" s="299" t="s">
        <v>1642</v>
      </c>
      <c r="T2512" s="299" t="s">
        <v>1643</v>
      </c>
      <c r="U2512" s="299" t="s">
        <v>1644</v>
      </c>
      <c r="W2512" s="484" t="s">
        <v>336</v>
      </c>
      <c r="X2512" s="484" t="s">
        <v>174</v>
      </c>
      <c r="Y2512" s="484" t="s">
        <v>248</v>
      </c>
      <c r="Z2512" s="484" t="s">
        <v>176</v>
      </c>
      <c r="AA2512" s="484" t="s">
        <v>337</v>
      </c>
      <c r="AB2512" s="484" t="s">
        <v>1641</v>
      </c>
      <c r="AC2512" s="484" t="s">
        <v>1642</v>
      </c>
      <c r="AD2512" s="484" t="s">
        <v>1643</v>
      </c>
      <c r="AE2512" s="484" t="s">
        <v>1644</v>
      </c>
    </row>
    <row r="2513" spans="3:31" s="29" customFormat="1" x14ac:dyDescent="0.25">
      <c r="C2513" s="892" t="s">
        <v>2</v>
      </c>
      <c r="D2513" s="892"/>
      <c r="E2513" s="892"/>
      <c r="F2513" s="893" t="s">
        <v>229</v>
      </c>
      <c r="G2513" s="893"/>
      <c r="H2513" s="893"/>
      <c r="I2513" s="893"/>
      <c r="J2513" s="893"/>
      <c r="M2513" s="120" t="s">
        <v>344</v>
      </c>
      <c r="N2513" s="120">
        <f>E22</f>
        <v>2099.0723984875517</v>
      </c>
      <c r="O2513" s="120" t="str">
        <f>D22</f>
        <v>g</v>
      </c>
      <c r="P2513" s="120">
        <v>30</v>
      </c>
      <c r="Q2513" s="120">
        <f>N2513</f>
        <v>2099.0723984875517</v>
      </c>
      <c r="R2513" s="120">
        <v>0</v>
      </c>
      <c r="S2513" s="120">
        <f>P2513*R2513</f>
        <v>0</v>
      </c>
      <c r="T2513" s="120">
        <f>P2513-S2513</f>
        <v>30</v>
      </c>
      <c r="U2513" s="120">
        <f>Q2513+((S2513*Q2513)/P2513)</f>
        <v>2099.0723984875517</v>
      </c>
      <c r="V2513" s="103"/>
      <c r="W2513" s="120" t="s">
        <v>344</v>
      </c>
      <c r="X2513" s="154">
        <f>F22</f>
        <v>2073.8723984875514</v>
      </c>
      <c r="Y2513" s="120" t="str">
        <f>D22</f>
        <v>g</v>
      </c>
      <c r="Z2513" s="120">
        <v>30</v>
      </c>
      <c r="AA2513" s="120">
        <f>X2513</f>
        <v>2073.8723984875514</v>
      </c>
      <c r="AB2513" s="120">
        <v>0</v>
      </c>
      <c r="AC2513" s="120">
        <f>Z2513*AB2513</f>
        <v>0</v>
      </c>
      <c r="AD2513" s="120">
        <f>Z2513-AC2513</f>
        <v>30</v>
      </c>
      <c r="AE2513" s="120">
        <f>AA2513+((AC2513*AA2513)/Z2513)</f>
        <v>2073.8723984875514</v>
      </c>
    </row>
    <row r="2514" spans="3:31" s="29" customFormat="1" x14ac:dyDescent="0.25">
      <c r="C2514" s="892"/>
      <c r="D2514" s="892"/>
      <c r="E2514" s="892"/>
      <c r="F2514" s="893"/>
      <c r="G2514" s="893"/>
      <c r="H2514" s="893"/>
      <c r="I2514" s="893"/>
      <c r="J2514" s="893"/>
      <c r="M2514" s="120" t="s">
        <v>340</v>
      </c>
      <c r="N2514" s="120">
        <f>Y20</f>
        <v>0.64</v>
      </c>
      <c r="O2514" s="120" t="str">
        <f>X20</f>
        <v>g</v>
      </c>
      <c r="P2514" s="120">
        <v>3</v>
      </c>
      <c r="Q2514" s="120">
        <f>N2514*P2514</f>
        <v>1.92</v>
      </c>
      <c r="R2514" s="120">
        <v>0</v>
      </c>
      <c r="S2514" s="120">
        <f t="shared" ref="S2514:S2516" si="849">P2514*R2514</f>
        <v>0</v>
      </c>
      <c r="T2514" s="120">
        <f t="shared" ref="T2514:T2516" si="850">P2514-S2514</f>
        <v>3</v>
      </c>
      <c r="U2514" s="120">
        <f t="shared" ref="U2514:U2516" si="851">Q2514+((S2514*Q2514)/P2514)</f>
        <v>1.92</v>
      </c>
      <c r="V2514" s="104"/>
      <c r="W2514" s="120" t="s">
        <v>340</v>
      </c>
      <c r="X2514" s="154">
        <f>Y20</f>
        <v>0.64</v>
      </c>
      <c r="Y2514" s="120" t="str">
        <f>X20</f>
        <v>g</v>
      </c>
      <c r="Z2514" s="120">
        <v>3</v>
      </c>
      <c r="AA2514" s="120">
        <f>X2514*Z2514</f>
        <v>1.92</v>
      </c>
      <c r="AB2514" s="120">
        <v>0</v>
      </c>
      <c r="AC2514" s="120">
        <f t="shared" ref="AC2514:AC2515" si="852">Z2514*AB2514</f>
        <v>0</v>
      </c>
      <c r="AD2514" s="120">
        <f t="shared" ref="AD2514:AD2515" si="853">Z2514-AC2514</f>
        <v>3</v>
      </c>
      <c r="AE2514" s="120">
        <f t="shared" ref="AE2514:AE2515" si="854">AA2514+((AC2514*AA2514)/Z2514)</f>
        <v>1.92</v>
      </c>
    </row>
    <row r="2515" spans="3:31" s="29" customFormat="1" x14ac:dyDescent="0.25">
      <c r="C2515" s="892"/>
      <c r="D2515" s="892"/>
      <c r="E2515" s="892"/>
      <c r="F2515" s="893"/>
      <c r="G2515" s="893"/>
      <c r="H2515" s="893"/>
      <c r="I2515" s="893"/>
      <c r="J2515" s="893"/>
      <c r="M2515" s="120" t="s">
        <v>485</v>
      </c>
      <c r="N2515" s="120">
        <f>V12</f>
        <v>25.98</v>
      </c>
      <c r="O2515" s="120" t="str">
        <f>U12</f>
        <v>g</v>
      </c>
      <c r="P2515" s="120">
        <v>20</v>
      </c>
      <c r="Q2515" s="120">
        <f>N2515*P2515</f>
        <v>519.6</v>
      </c>
      <c r="R2515" s="120">
        <v>0</v>
      </c>
      <c r="S2515" s="120">
        <f t="shared" si="849"/>
        <v>0</v>
      </c>
      <c r="T2515" s="120">
        <f t="shared" si="850"/>
        <v>20</v>
      </c>
      <c r="U2515" s="120">
        <f t="shared" si="851"/>
        <v>519.6</v>
      </c>
      <c r="V2515" s="30"/>
      <c r="W2515" s="120" t="s">
        <v>485</v>
      </c>
      <c r="X2515" s="154">
        <f>V16</f>
        <v>54.41</v>
      </c>
      <c r="Y2515" s="120" t="str">
        <f>U16</f>
        <v>g</v>
      </c>
      <c r="Z2515" s="120">
        <v>20</v>
      </c>
      <c r="AA2515" s="120">
        <f>X2515*Z2515</f>
        <v>1088.1999999999998</v>
      </c>
      <c r="AB2515" s="120">
        <v>0</v>
      </c>
      <c r="AC2515" s="120">
        <f t="shared" si="852"/>
        <v>0</v>
      </c>
      <c r="AD2515" s="120">
        <f t="shared" si="853"/>
        <v>20</v>
      </c>
      <c r="AE2515" s="120">
        <f t="shared" si="854"/>
        <v>1088.1999999999998</v>
      </c>
    </row>
    <row r="2516" spans="3:31" s="29" customFormat="1" x14ac:dyDescent="0.25">
      <c r="C2516" s="891" t="s">
        <v>0</v>
      </c>
      <c r="D2516" s="891"/>
      <c r="E2516" s="891"/>
      <c r="F2516" s="891" t="s">
        <v>1</v>
      </c>
      <c r="G2516" s="891"/>
      <c r="H2516" s="891"/>
      <c r="I2516" s="891"/>
      <c r="J2516" s="891"/>
      <c r="M2516" s="120" t="s">
        <v>458</v>
      </c>
      <c r="N2516" s="120">
        <f>S10</f>
        <v>32.46</v>
      </c>
      <c r="O2516" s="120" t="str">
        <f>R10</f>
        <v>g</v>
      </c>
      <c r="P2516" s="120">
        <v>20</v>
      </c>
      <c r="Q2516" s="120">
        <f>N2516*P2516</f>
        <v>649.20000000000005</v>
      </c>
      <c r="R2516" s="120">
        <v>0</v>
      </c>
      <c r="S2516" s="120">
        <f t="shared" si="849"/>
        <v>0</v>
      </c>
      <c r="T2516" s="120">
        <f t="shared" si="850"/>
        <v>20</v>
      </c>
      <c r="U2516" s="120">
        <f t="shared" si="851"/>
        <v>649.20000000000005</v>
      </c>
      <c r="V2516" s="30"/>
      <c r="W2516" s="120" t="s">
        <v>1387</v>
      </c>
      <c r="X2516" s="154">
        <f>P31+P8+P6</f>
        <v>13.733000000000001</v>
      </c>
      <c r="Y2516" s="120" t="str">
        <f>O6</f>
        <v>g</v>
      </c>
      <c r="Z2516" s="120">
        <v>20</v>
      </c>
      <c r="AA2516" s="120">
        <f>X2516*Z2516</f>
        <v>274.66000000000003</v>
      </c>
      <c r="AB2516" s="120">
        <f>AJ19+AJ4+AJ6</f>
        <v>1.42</v>
      </c>
      <c r="AC2516" s="120">
        <f t="shared" ref="AC2516" si="855">Z2516*AB2516</f>
        <v>28.4</v>
      </c>
      <c r="AD2516" s="120">
        <f>Z2516-AC2516</f>
        <v>-8.3999999999999986</v>
      </c>
      <c r="AE2516" s="120">
        <f t="shared" ref="AE2516" si="856">AA2516+((AC2516*AA2516)/Z2516)</f>
        <v>664.67720000000008</v>
      </c>
    </row>
    <row r="2517" spans="3:31" s="29" customFormat="1" x14ac:dyDescent="0.25">
      <c r="C2517" s="892" t="s">
        <v>3</v>
      </c>
      <c r="D2517" s="892"/>
      <c r="E2517" s="892"/>
      <c r="F2517" s="894" t="s">
        <v>230</v>
      </c>
      <c r="G2517" s="893"/>
      <c r="H2517" s="893"/>
      <c r="I2517" s="893"/>
      <c r="J2517" s="893"/>
      <c r="M2517" s="120"/>
      <c r="N2517" s="120"/>
      <c r="O2517" s="120"/>
      <c r="P2517" s="120"/>
      <c r="Q2517" s="120"/>
      <c r="R2517" s="120"/>
      <c r="S2517" s="120"/>
      <c r="T2517" s="120"/>
      <c r="U2517" s="120"/>
      <c r="V2517" s="30"/>
      <c r="W2517" s="120"/>
      <c r="X2517" s="120"/>
      <c r="Y2517" s="120"/>
      <c r="Z2517" s="120"/>
      <c r="AA2517" s="120"/>
      <c r="AB2517" s="120"/>
      <c r="AC2517" s="120"/>
      <c r="AD2517" s="120"/>
      <c r="AE2517" s="120"/>
    </row>
    <row r="2518" spans="3:31" s="29" customFormat="1" x14ac:dyDescent="0.25">
      <c r="C2518" s="892"/>
      <c r="D2518" s="892"/>
      <c r="E2518" s="892"/>
      <c r="F2518" s="893"/>
      <c r="G2518" s="893"/>
      <c r="H2518" s="893"/>
      <c r="I2518" s="893"/>
      <c r="J2518" s="893"/>
      <c r="M2518" s="120"/>
      <c r="N2518" s="120"/>
      <c r="O2518" s="120"/>
      <c r="P2518" s="120"/>
      <c r="Q2518" s="120"/>
      <c r="R2518" s="120"/>
      <c r="S2518" s="120"/>
      <c r="T2518" s="120"/>
      <c r="U2518" s="120"/>
      <c r="V2518" s="30"/>
      <c r="W2518" s="120"/>
      <c r="X2518" s="120"/>
      <c r="Y2518" s="120"/>
      <c r="Z2518" s="120"/>
      <c r="AA2518" s="120"/>
      <c r="AB2518" s="120"/>
      <c r="AC2518" s="120"/>
      <c r="AD2518" s="120"/>
      <c r="AE2518" s="120"/>
    </row>
    <row r="2519" spans="3:31" s="29" customFormat="1" x14ac:dyDescent="0.25">
      <c r="C2519" s="892"/>
      <c r="D2519" s="892"/>
      <c r="E2519" s="892"/>
      <c r="F2519" s="893"/>
      <c r="G2519" s="893"/>
      <c r="H2519" s="893"/>
      <c r="I2519" s="893"/>
      <c r="J2519" s="893"/>
      <c r="M2519" s="120"/>
      <c r="N2519" s="120"/>
      <c r="O2519" s="120"/>
      <c r="P2519" s="120"/>
      <c r="Q2519" s="120"/>
      <c r="R2519" s="120"/>
      <c r="S2519" s="120"/>
      <c r="T2519" s="120"/>
      <c r="U2519" s="120"/>
      <c r="V2519" s="30"/>
      <c r="W2519" s="120"/>
      <c r="X2519" s="120"/>
      <c r="Y2519" s="120"/>
      <c r="Z2519" s="120"/>
      <c r="AA2519" s="120"/>
      <c r="AB2519" s="120"/>
      <c r="AC2519" s="120"/>
      <c r="AD2519" s="120"/>
      <c r="AE2519" s="120"/>
    </row>
    <row r="2520" spans="3:31" s="29" customFormat="1" x14ac:dyDescent="0.25">
      <c r="C2520" s="892" t="s">
        <v>4</v>
      </c>
      <c r="D2520" s="892"/>
      <c r="E2520" s="892"/>
      <c r="F2520" s="893" t="s">
        <v>15</v>
      </c>
      <c r="G2520" s="893"/>
      <c r="H2520" s="893"/>
      <c r="I2520" s="893"/>
      <c r="J2520" s="893"/>
      <c r="M2520" s="120"/>
      <c r="N2520" s="120"/>
      <c r="O2520" s="120"/>
      <c r="P2520" s="120"/>
      <c r="Q2520" s="120"/>
      <c r="R2520" s="120"/>
      <c r="S2520" s="120"/>
      <c r="T2520" s="120"/>
      <c r="U2520" s="120"/>
      <c r="V2520" s="30"/>
      <c r="W2520" s="120"/>
      <c r="X2520" s="120"/>
      <c r="Y2520" s="120"/>
      <c r="Z2520" s="120"/>
      <c r="AA2520" s="120"/>
      <c r="AB2520" s="120"/>
      <c r="AC2520" s="120"/>
      <c r="AD2520" s="120"/>
      <c r="AE2520" s="120"/>
    </row>
    <row r="2521" spans="3:31" s="29" customFormat="1" x14ac:dyDescent="0.25">
      <c r="C2521" s="892"/>
      <c r="D2521" s="892"/>
      <c r="E2521" s="892"/>
      <c r="F2521" s="893"/>
      <c r="G2521" s="893"/>
      <c r="H2521" s="893"/>
      <c r="I2521" s="893"/>
      <c r="J2521" s="893"/>
      <c r="M2521" s="120" t="s">
        <v>337</v>
      </c>
      <c r="N2521" s="120">
        <f>SUM(N2513:N2520)</f>
        <v>2158.1523984875516</v>
      </c>
      <c r="O2521" s="120"/>
      <c r="P2521" s="120">
        <f>SUM(P2513:P2520)</f>
        <v>73</v>
      </c>
      <c r="Q2521" s="120">
        <f>SUM(Q2513:Q2520)</f>
        <v>3269.7923984875515</v>
      </c>
      <c r="R2521" s="120"/>
      <c r="S2521" s="120"/>
      <c r="T2521" s="120"/>
      <c r="U2521" s="120">
        <f>SUM(U2513:U2520)</f>
        <v>3269.7923984875515</v>
      </c>
      <c r="W2521" s="120" t="s">
        <v>337</v>
      </c>
      <c r="X2521" s="120">
        <f>SUM(X2513:X2520)</f>
        <v>2142.6553984875513</v>
      </c>
      <c r="Y2521" s="120"/>
      <c r="Z2521" s="120">
        <f>SUM(Z2513:Z2520)</f>
        <v>73</v>
      </c>
      <c r="AA2521" s="120">
        <f>SUM(AA2513:AA2520)</f>
        <v>3438.6523984875512</v>
      </c>
      <c r="AB2521" s="120"/>
      <c r="AC2521" s="120"/>
      <c r="AD2521" s="120"/>
      <c r="AE2521" s="120">
        <f>SUM(AE2513:AE2520)</f>
        <v>3828.6695984875514</v>
      </c>
    </row>
    <row r="2522" spans="3:31" s="29" customFormat="1" x14ac:dyDescent="0.25">
      <c r="C2522" s="892"/>
      <c r="D2522" s="892"/>
      <c r="E2522" s="892"/>
      <c r="F2522" s="893"/>
      <c r="G2522" s="893"/>
      <c r="H2522" s="893"/>
      <c r="I2522" s="893"/>
      <c r="J2522" s="893"/>
    </row>
    <row r="2523" spans="3:31" s="29" customFormat="1" x14ac:dyDescent="0.25">
      <c r="C2523" s="892" t="s">
        <v>5</v>
      </c>
      <c r="D2523" s="892"/>
      <c r="E2523" s="892"/>
      <c r="F2523" s="893" t="s">
        <v>231</v>
      </c>
      <c r="G2523" s="893"/>
      <c r="H2523" s="893"/>
      <c r="I2523" s="893"/>
      <c r="J2523" s="893"/>
      <c r="Q2523" s="120" t="s">
        <v>1681</v>
      </c>
      <c r="R2523" s="120">
        <f>U2521</f>
        <v>3269.7923984875515</v>
      </c>
      <c r="S2523" s="608" t="s">
        <v>2142</v>
      </c>
      <c r="T2523" s="608">
        <f>(R2523*100)/R2530</f>
        <v>35.851743846174472</v>
      </c>
      <c r="AA2523" s="120" t="s">
        <v>1681</v>
      </c>
      <c r="AB2523" s="120">
        <f>AE2521</f>
        <v>3828.6695984875514</v>
      </c>
      <c r="AC2523" s="608" t="s">
        <v>2142</v>
      </c>
      <c r="AD2523" s="608">
        <f>(AB2523*100)/AB2530</f>
        <v>37.960027205713239</v>
      </c>
    </row>
    <row r="2524" spans="3:31" s="29" customFormat="1" x14ac:dyDescent="0.25">
      <c r="C2524" s="892"/>
      <c r="D2524" s="892"/>
      <c r="E2524" s="892"/>
      <c r="F2524" s="893"/>
      <c r="G2524" s="893"/>
      <c r="H2524" s="893"/>
      <c r="I2524" s="893"/>
      <c r="J2524" s="893"/>
      <c r="Q2524" s="120" t="s">
        <v>2326</v>
      </c>
      <c r="R2524" s="120">
        <f>$AK$26</f>
        <v>1490.4701889752762</v>
      </c>
      <c r="AA2524" s="120" t="s">
        <v>2326</v>
      </c>
      <c r="AB2524" s="120">
        <f>$AK$26</f>
        <v>1490.4701889752762</v>
      </c>
    </row>
    <row r="2525" spans="3:31" s="29" customFormat="1" x14ac:dyDescent="0.25">
      <c r="C2525" s="892"/>
      <c r="D2525" s="892"/>
      <c r="E2525" s="892"/>
      <c r="F2525" s="893"/>
      <c r="G2525" s="893"/>
      <c r="H2525" s="893"/>
      <c r="I2525" s="893"/>
      <c r="J2525" s="893"/>
      <c r="Q2525" s="120" t="s">
        <v>2325</v>
      </c>
      <c r="R2525" s="120">
        <f>$AK$27</f>
        <v>75.599999999999994</v>
      </c>
      <c r="AA2525" s="120" t="s">
        <v>2325</v>
      </c>
      <c r="AB2525" s="120">
        <f>$AK$27</f>
        <v>75.599999999999994</v>
      </c>
    </row>
    <row r="2526" spans="3:31" s="29" customFormat="1" x14ac:dyDescent="0.25">
      <c r="C2526" s="892" t="s">
        <v>6</v>
      </c>
      <c r="D2526" s="892"/>
      <c r="E2526" s="892"/>
      <c r="F2526" s="893" t="s">
        <v>9</v>
      </c>
      <c r="G2526" s="893"/>
      <c r="H2526" s="893"/>
      <c r="I2526" s="893"/>
      <c r="J2526" s="893"/>
      <c r="Q2526" s="120" t="s">
        <v>1684</v>
      </c>
      <c r="R2526" s="120">
        <f>$AK$29</f>
        <v>442.09817078037929</v>
      </c>
      <c r="AA2526" s="120" t="s">
        <v>1684</v>
      </c>
      <c r="AB2526" s="120">
        <f>$AK$29</f>
        <v>442.09817078037929</v>
      </c>
    </row>
    <row r="2527" spans="3:31" s="29" customFormat="1" x14ac:dyDescent="0.25">
      <c r="C2527" s="892"/>
      <c r="D2527" s="892"/>
      <c r="E2527" s="892"/>
      <c r="F2527" s="893"/>
      <c r="G2527" s="893"/>
      <c r="H2527" s="893"/>
      <c r="I2527" s="893"/>
      <c r="J2527" s="893"/>
      <c r="Q2527" s="120" t="s">
        <v>1685</v>
      </c>
      <c r="R2527" s="120">
        <v>0.6</v>
      </c>
      <c r="AA2527" s="120" t="s">
        <v>1685</v>
      </c>
      <c r="AB2527" s="120">
        <v>0.6</v>
      </c>
    </row>
    <row r="2528" spans="3:31" s="29" customFormat="1" x14ac:dyDescent="0.25">
      <c r="C2528" s="892"/>
      <c r="D2528" s="892"/>
      <c r="E2528" s="892"/>
      <c r="F2528" s="893"/>
      <c r="G2528" s="893"/>
      <c r="H2528" s="893"/>
      <c r="I2528" s="893"/>
      <c r="J2528" s="893"/>
      <c r="Q2528" s="120" t="s">
        <v>1708</v>
      </c>
      <c r="R2528" s="120">
        <f>(SUM(R2523:R2526)*R2527)+SUM(R2523:R2526)</f>
        <v>8444.7372131891316</v>
      </c>
      <c r="AA2528" s="120" t="s">
        <v>1708</v>
      </c>
      <c r="AB2528" s="120">
        <f>(SUM(AB2523:AB2526)*AB2527)+SUM(AB2523:AB2526)</f>
        <v>9338.9407331891307</v>
      </c>
    </row>
    <row r="2529" spans="3:31" s="29" customFormat="1" x14ac:dyDescent="0.25">
      <c r="C2529" s="892" t="s">
        <v>7</v>
      </c>
      <c r="D2529" s="892"/>
      <c r="E2529" s="892"/>
      <c r="F2529" s="893" t="s">
        <v>648</v>
      </c>
      <c r="G2529" s="893"/>
      <c r="H2529" s="893"/>
      <c r="I2529" s="893"/>
      <c r="J2529" s="893"/>
      <c r="Q2529" s="120" t="s">
        <v>2130</v>
      </c>
      <c r="R2529" s="120">
        <f>R2528*0.08</f>
        <v>675.57897705513051</v>
      </c>
      <c r="AA2529" s="120" t="s">
        <v>2130</v>
      </c>
      <c r="AB2529" s="120">
        <f>AB2528*0.08</f>
        <v>747.11525865513045</v>
      </c>
    </row>
    <row r="2530" spans="3:31" s="29" customFormat="1" x14ac:dyDescent="0.25">
      <c r="C2530" s="892"/>
      <c r="D2530" s="892"/>
      <c r="E2530" s="892"/>
      <c r="F2530" s="893"/>
      <c r="G2530" s="893"/>
      <c r="H2530" s="893"/>
      <c r="I2530" s="893"/>
      <c r="J2530" s="893"/>
      <c r="Q2530" s="120" t="s">
        <v>1686</v>
      </c>
      <c r="R2530" s="120">
        <f>SUM(R2528+R2529)</f>
        <v>9120.3161902442625</v>
      </c>
      <c r="AA2530" s="120" t="s">
        <v>1686</v>
      </c>
      <c r="AB2530" s="120">
        <f>SUM(AB2528+AB2529)</f>
        <v>10086.055991844261</v>
      </c>
    </row>
    <row r="2531" spans="3:31" s="29" customFormat="1" x14ac:dyDescent="0.25">
      <c r="C2531" s="892"/>
      <c r="D2531" s="892"/>
      <c r="E2531" s="892"/>
      <c r="F2531" s="893"/>
      <c r="G2531" s="893"/>
      <c r="H2531" s="893"/>
      <c r="I2531" s="893"/>
      <c r="J2531" s="893"/>
    </row>
    <row r="2532" spans="3:31" s="29" customFormat="1" x14ac:dyDescent="0.25"/>
    <row r="2533" spans="3:31" s="29" customFormat="1" x14ac:dyDescent="0.25"/>
    <row r="2534" spans="3:31" s="29" customFormat="1" x14ac:dyDescent="0.25">
      <c r="C2534" s="890" t="s">
        <v>8</v>
      </c>
      <c r="D2534" s="890"/>
      <c r="E2534" s="890"/>
      <c r="F2534" s="890"/>
      <c r="G2534" s="890"/>
      <c r="H2534" s="890"/>
      <c r="I2534" s="890"/>
      <c r="J2534" s="890"/>
    </row>
    <row r="2535" spans="3:31" s="29" customFormat="1" x14ac:dyDescent="0.25">
      <c r="C2535" s="891" t="s">
        <v>0</v>
      </c>
      <c r="D2535" s="891"/>
      <c r="E2535" s="891"/>
      <c r="F2535" s="891" t="s">
        <v>1</v>
      </c>
      <c r="G2535" s="891"/>
      <c r="H2535" s="891"/>
      <c r="I2535" s="891"/>
      <c r="J2535" s="891"/>
      <c r="M2535" s="80" t="s">
        <v>336</v>
      </c>
      <c r="N2535" s="80" t="s">
        <v>174</v>
      </c>
      <c r="O2535" s="80" t="s">
        <v>248</v>
      </c>
      <c r="P2535" s="80" t="s">
        <v>176</v>
      </c>
      <c r="Q2535" s="80" t="s">
        <v>337</v>
      </c>
      <c r="R2535" s="299" t="s">
        <v>1641</v>
      </c>
      <c r="S2535" s="299" t="s">
        <v>1642</v>
      </c>
      <c r="T2535" s="299" t="s">
        <v>1643</v>
      </c>
      <c r="U2535" s="299" t="s">
        <v>1644</v>
      </c>
      <c r="V2535" s="30"/>
      <c r="W2535" s="484" t="s">
        <v>336</v>
      </c>
      <c r="X2535" s="484" t="s">
        <v>174</v>
      </c>
      <c r="Y2535" s="484" t="s">
        <v>248</v>
      </c>
      <c r="Z2535" s="484" t="s">
        <v>176</v>
      </c>
      <c r="AA2535" s="484" t="s">
        <v>337</v>
      </c>
      <c r="AB2535" s="484" t="s">
        <v>1641</v>
      </c>
      <c r="AC2535" s="484" t="s">
        <v>1642</v>
      </c>
      <c r="AD2535" s="484" t="s">
        <v>1643</v>
      </c>
      <c r="AE2535" s="484" t="s">
        <v>1644</v>
      </c>
    </row>
    <row r="2536" spans="3:31" s="29" customFormat="1" x14ac:dyDescent="0.25">
      <c r="C2536" s="892" t="s">
        <v>2</v>
      </c>
      <c r="D2536" s="892"/>
      <c r="E2536" s="892"/>
      <c r="F2536" s="893" t="s">
        <v>232</v>
      </c>
      <c r="G2536" s="893"/>
      <c r="H2536" s="893"/>
      <c r="I2536" s="893"/>
      <c r="J2536" s="893"/>
      <c r="M2536" s="120" t="s">
        <v>344</v>
      </c>
      <c r="N2536" s="120">
        <f>E15</f>
        <v>2099.0723984875517</v>
      </c>
      <c r="O2536" s="120" t="str">
        <f>D15</f>
        <v>g</v>
      </c>
      <c r="P2536" s="120">
        <v>30</v>
      </c>
      <c r="Q2536" s="120">
        <f>N2536</f>
        <v>2099.0723984875517</v>
      </c>
      <c r="R2536" s="120">
        <v>0</v>
      </c>
      <c r="S2536" s="120">
        <f>P2536*R2536</f>
        <v>0</v>
      </c>
      <c r="T2536" s="120">
        <f>P2536-S2536</f>
        <v>30</v>
      </c>
      <c r="U2536" s="120">
        <f>Q2536+((S2536*Q2536)/P2536)</f>
        <v>2099.0723984875517</v>
      </c>
      <c r="V2536" s="103"/>
      <c r="W2536" s="120" t="s">
        <v>344</v>
      </c>
      <c r="X2536" s="154">
        <f>F15</f>
        <v>2073.8723984875514</v>
      </c>
      <c r="Y2536" s="120" t="str">
        <f>D15</f>
        <v>g</v>
      </c>
      <c r="Z2536" s="120">
        <v>30</v>
      </c>
      <c r="AA2536" s="120">
        <f>X2536</f>
        <v>2073.8723984875514</v>
      </c>
      <c r="AB2536" s="120">
        <v>0</v>
      </c>
      <c r="AC2536" s="120">
        <f>Z2536*AB2536</f>
        <v>0</v>
      </c>
      <c r="AD2536" s="120">
        <f>Z2536-AC2536</f>
        <v>30</v>
      </c>
      <c r="AE2536" s="120">
        <f>AA2536+((AC2536*AA2536)/Z2536)</f>
        <v>2073.8723984875514</v>
      </c>
    </row>
    <row r="2537" spans="3:31" s="29" customFormat="1" x14ac:dyDescent="0.25">
      <c r="C2537" s="892"/>
      <c r="D2537" s="892"/>
      <c r="E2537" s="892"/>
      <c r="F2537" s="893"/>
      <c r="G2537" s="893"/>
      <c r="H2537" s="893"/>
      <c r="I2537" s="893"/>
      <c r="J2537" s="893"/>
      <c r="M2537" s="120" t="s">
        <v>429</v>
      </c>
      <c r="N2537" s="120">
        <f>P29</f>
        <v>1.8</v>
      </c>
      <c r="O2537" s="120" t="str">
        <f>O29</f>
        <v>g</v>
      </c>
      <c r="P2537" s="120">
        <v>20</v>
      </c>
      <c r="Q2537" s="120">
        <f t="shared" ref="Q2537:Q2542" si="857">N2537*P2537</f>
        <v>36</v>
      </c>
      <c r="R2537" s="120">
        <f>AJ18</f>
        <v>0.05</v>
      </c>
      <c r="S2537" s="120">
        <f t="shared" ref="S2537:S2542" si="858">P2537*R2537</f>
        <v>1</v>
      </c>
      <c r="T2537" s="120">
        <f t="shared" ref="T2537:T2542" si="859">P2537-S2537</f>
        <v>19</v>
      </c>
      <c r="U2537" s="120">
        <f t="shared" ref="U2537:U2542" si="860">Q2537+((S2537*Q2537)/P2537)</f>
        <v>37.799999999999997</v>
      </c>
      <c r="V2537" s="104"/>
      <c r="W2537" s="120" t="s">
        <v>429</v>
      </c>
      <c r="X2537" s="154">
        <f>P29</f>
        <v>1.8</v>
      </c>
      <c r="Y2537" s="120" t="str">
        <f>O29</f>
        <v>g</v>
      </c>
      <c r="Z2537" s="120">
        <v>20</v>
      </c>
      <c r="AA2537" s="120">
        <f t="shared" ref="AA2537:AA2542" si="861">X2537*Z2537</f>
        <v>36</v>
      </c>
      <c r="AB2537" s="120">
        <f>AJ18</f>
        <v>0.05</v>
      </c>
      <c r="AC2537" s="120">
        <f t="shared" ref="AC2537:AC2542" si="862">Z2537*AB2537</f>
        <v>1</v>
      </c>
      <c r="AD2537" s="120">
        <f t="shared" ref="AD2537:AD2542" si="863">Z2537-AC2537</f>
        <v>19</v>
      </c>
      <c r="AE2537" s="120">
        <f t="shared" ref="AE2537:AE2542" si="864">AA2537+((AC2537*AA2537)/Z2537)</f>
        <v>37.799999999999997</v>
      </c>
    </row>
    <row r="2538" spans="3:31" s="29" customFormat="1" x14ac:dyDescent="0.25">
      <c r="C2538" s="892"/>
      <c r="D2538" s="892"/>
      <c r="E2538" s="892"/>
      <c r="F2538" s="893"/>
      <c r="G2538" s="893"/>
      <c r="H2538" s="893"/>
      <c r="I2538" s="893"/>
      <c r="J2538" s="893"/>
      <c r="M2538" s="120" t="s">
        <v>430</v>
      </c>
      <c r="N2538" s="120">
        <f>P11</f>
        <v>1.4</v>
      </c>
      <c r="O2538" s="120" t="str">
        <f>O11</f>
        <v>g</v>
      </c>
      <c r="P2538" s="120">
        <v>20</v>
      </c>
      <c r="Q2538" s="120">
        <f t="shared" si="857"/>
        <v>28</v>
      </c>
      <c r="R2538" s="120">
        <f>AJ7</f>
        <v>0.15</v>
      </c>
      <c r="S2538" s="120">
        <f t="shared" si="858"/>
        <v>3</v>
      </c>
      <c r="T2538" s="120">
        <f t="shared" si="859"/>
        <v>17</v>
      </c>
      <c r="U2538" s="120">
        <f t="shared" si="860"/>
        <v>32.200000000000003</v>
      </c>
      <c r="V2538" s="30"/>
      <c r="W2538" s="120" t="s">
        <v>430</v>
      </c>
      <c r="X2538" s="154">
        <f>P10</f>
        <v>0.7</v>
      </c>
      <c r="Y2538" s="120" t="str">
        <f>O10</f>
        <v>g</v>
      </c>
      <c r="Z2538" s="120">
        <v>20</v>
      </c>
      <c r="AA2538" s="120">
        <f t="shared" si="861"/>
        <v>14</v>
      </c>
      <c r="AB2538" s="120">
        <f>AJ7</f>
        <v>0.15</v>
      </c>
      <c r="AC2538" s="120">
        <f t="shared" si="862"/>
        <v>3</v>
      </c>
      <c r="AD2538" s="120">
        <f t="shared" si="863"/>
        <v>17</v>
      </c>
      <c r="AE2538" s="120">
        <f t="shared" si="864"/>
        <v>16.100000000000001</v>
      </c>
    </row>
    <row r="2539" spans="3:31" s="29" customFormat="1" x14ac:dyDescent="0.25">
      <c r="C2539" s="891" t="s">
        <v>0</v>
      </c>
      <c r="D2539" s="891"/>
      <c r="E2539" s="891"/>
      <c r="F2539" s="891" t="s">
        <v>1</v>
      </c>
      <c r="G2539" s="891"/>
      <c r="H2539" s="891"/>
      <c r="I2539" s="891"/>
      <c r="J2539" s="891"/>
      <c r="M2539" s="120" t="s">
        <v>346</v>
      </c>
      <c r="N2539" s="120">
        <f>P3</f>
        <v>7</v>
      </c>
      <c r="O2539" s="120" t="str">
        <f>O3</f>
        <v>g</v>
      </c>
      <c r="P2539" s="120">
        <v>5</v>
      </c>
      <c r="Q2539" s="120">
        <f t="shared" si="857"/>
        <v>35</v>
      </c>
      <c r="R2539" s="120">
        <f>AJ2</f>
        <v>0.23</v>
      </c>
      <c r="S2539" s="120">
        <f t="shared" si="858"/>
        <v>1.1500000000000001</v>
      </c>
      <c r="T2539" s="120">
        <f t="shared" si="859"/>
        <v>3.8499999999999996</v>
      </c>
      <c r="U2539" s="120">
        <f t="shared" si="860"/>
        <v>43.05</v>
      </c>
      <c r="V2539" s="30"/>
      <c r="W2539" s="120" t="s">
        <v>346</v>
      </c>
      <c r="X2539" s="154">
        <f>P3</f>
        <v>7</v>
      </c>
      <c r="Y2539" s="120" t="str">
        <f>O3</f>
        <v>g</v>
      </c>
      <c r="Z2539" s="120">
        <v>5</v>
      </c>
      <c r="AA2539" s="120">
        <f t="shared" si="861"/>
        <v>35</v>
      </c>
      <c r="AB2539" s="120">
        <f>AJ2</f>
        <v>0.23</v>
      </c>
      <c r="AC2539" s="120">
        <f t="shared" si="862"/>
        <v>1.1500000000000001</v>
      </c>
      <c r="AD2539" s="120">
        <f t="shared" si="863"/>
        <v>3.8499999999999996</v>
      </c>
      <c r="AE2539" s="120">
        <f t="shared" si="864"/>
        <v>43.05</v>
      </c>
    </row>
    <row r="2540" spans="3:31" s="29" customFormat="1" x14ac:dyDescent="0.25">
      <c r="C2540" s="892" t="s">
        <v>3</v>
      </c>
      <c r="D2540" s="892"/>
      <c r="E2540" s="892"/>
      <c r="F2540" s="894" t="s">
        <v>233</v>
      </c>
      <c r="G2540" s="893"/>
      <c r="H2540" s="893"/>
      <c r="I2540" s="893"/>
      <c r="J2540" s="893"/>
      <c r="M2540" s="120" t="s">
        <v>340</v>
      </c>
      <c r="N2540" s="120">
        <f>Y20</f>
        <v>0.64</v>
      </c>
      <c r="O2540" s="120" t="str">
        <f>X20</f>
        <v>g</v>
      </c>
      <c r="P2540" s="120">
        <v>3</v>
      </c>
      <c r="Q2540" s="120">
        <f t="shared" si="857"/>
        <v>1.92</v>
      </c>
      <c r="R2540" s="120">
        <v>0</v>
      </c>
      <c r="S2540" s="120">
        <f t="shared" si="858"/>
        <v>0</v>
      </c>
      <c r="T2540" s="120">
        <f t="shared" si="859"/>
        <v>3</v>
      </c>
      <c r="U2540" s="120">
        <f t="shared" si="860"/>
        <v>1.92</v>
      </c>
      <c r="V2540" s="30"/>
      <c r="W2540" s="120" t="s">
        <v>340</v>
      </c>
      <c r="X2540" s="154">
        <f>Y20</f>
        <v>0.64</v>
      </c>
      <c r="Y2540" s="120" t="str">
        <f>X20</f>
        <v>g</v>
      </c>
      <c r="Z2540" s="120">
        <v>3</v>
      </c>
      <c r="AA2540" s="120">
        <f t="shared" si="861"/>
        <v>1.92</v>
      </c>
      <c r="AB2540" s="120">
        <v>0</v>
      </c>
      <c r="AC2540" s="120">
        <f t="shared" si="862"/>
        <v>0</v>
      </c>
      <c r="AD2540" s="120">
        <f t="shared" si="863"/>
        <v>3</v>
      </c>
      <c r="AE2540" s="120">
        <f t="shared" si="864"/>
        <v>1.92</v>
      </c>
    </row>
    <row r="2541" spans="3:31" s="29" customFormat="1" x14ac:dyDescent="0.25">
      <c r="C2541" s="892"/>
      <c r="D2541" s="892"/>
      <c r="E2541" s="892"/>
      <c r="F2541" s="893"/>
      <c r="G2541" s="893"/>
      <c r="H2541" s="893"/>
      <c r="I2541" s="893"/>
      <c r="J2541" s="893"/>
      <c r="M2541" s="120" t="s">
        <v>433</v>
      </c>
      <c r="N2541" s="120">
        <f>Y18</f>
        <v>223.57</v>
      </c>
      <c r="O2541" s="120" t="str">
        <f>X18</f>
        <v>g</v>
      </c>
      <c r="P2541" s="120">
        <v>3</v>
      </c>
      <c r="Q2541" s="120">
        <f t="shared" si="857"/>
        <v>670.71</v>
      </c>
      <c r="R2541" s="120">
        <v>0</v>
      </c>
      <c r="S2541" s="120">
        <f t="shared" si="858"/>
        <v>0</v>
      </c>
      <c r="T2541" s="120">
        <f t="shared" si="859"/>
        <v>3</v>
      </c>
      <c r="U2541" s="120">
        <f t="shared" si="860"/>
        <v>670.71</v>
      </c>
      <c r="V2541" s="30"/>
      <c r="W2541" s="120" t="s">
        <v>433</v>
      </c>
      <c r="X2541" s="154">
        <f>Y18</f>
        <v>223.57</v>
      </c>
      <c r="Y2541" s="120" t="str">
        <f>X18</f>
        <v>g</v>
      </c>
      <c r="Z2541" s="120">
        <v>3</v>
      </c>
      <c r="AA2541" s="120">
        <f t="shared" si="861"/>
        <v>670.71</v>
      </c>
      <c r="AB2541" s="120">
        <v>0</v>
      </c>
      <c r="AC2541" s="120">
        <f t="shared" si="862"/>
        <v>0</v>
      </c>
      <c r="AD2541" s="120">
        <f t="shared" si="863"/>
        <v>3</v>
      </c>
      <c r="AE2541" s="120">
        <f t="shared" si="864"/>
        <v>670.71</v>
      </c>
    </row>
    <row r="2542" spans="3:31" s="29" customFormat="1" x14ac:dyDescent="0.25">
      <c r="C2542" s="892"/>
      <c r="D2542" s="892"/>
      <c r="E2542" s="892"/>
      <c r="F2542" s="893"/>
      <c r="G2542" s="893"/>
      <c r="H2542" s="893"/>
      <c r="I2542" s="893"/>
      <c r="J2542" s="893"/>
      <c r="M2542" s="120" t="s">
        <v>341</v>
      </c>
      <c r="N2542" s="120">
        <f>AE3</f>
        <v>49.18</v>
      </c>
      <c r="O2542" s="120" t="str">
        <f>AD3</f>
        <v>mL</v>
      </c>
      <c r="P2542" s="120">
        <v>4</v>
      </c>
      <c r="Q2542" s="120">
        <f t="shared" si="857"/>
        <v>196.72</v>
      </c>
      <c r="R2542" s="120">
        <v>0</v>
      </c>
      <c r="S2542" s="120">
        <f t="shared" si="858"/>
        <v>0</v>
      </c>
      <c r="T2542" s="120">
        <f t="shared" si="859"/>
        <v>4</v>
      </c>
      <c r="U2542" s="120">
        <f t="shared" si="860"/>
        <v>196.72</v>
      </c>
      <c r="V2542" s="30"/>
      <c r="W2542" s="120" t="s">
        <v>341</v>
      </c>
      <c r="X2542" s="154">
        <f>AE3</f>
        <v>49.18</v>
      </c>
      <c r="Y2542" s="120" t="str">
        <f>AD3</f>
        <v>mL</v>
      </c>
      <c r="Z2542" s="120">
        <v>4</v>
      </c>
      <c r="AA2542" s="120">
        <f t="shared" si="861"/>
        <v>196.72</v>
      </c>
      <c r="AB2542" s="120">
        <v>0</v>
      </c>
      <c r="AC2542" s="120">
        <f t="shared" si="862"/>
        <v>0</v>
      </c>
      <c r="AD2542" s="120">
        <f t="shared" si="863"/>
        <v>4</v>
      </c>
      <c r="AE2542" s="120">
        <f t="shared" si="864"/>
        <v>196.72</v>
      </c>
    </row>
    <row r="2543" spans="3:31" s="29" customFormat="1" x14ac:dyDescent="0.25">
      <c r="C2543" s="892" t="s">
        <v>4</v>
      </c>
      <c r="D2543" s="892"/>
      <c r="E2543" s="892"/>
      <c r="F2543" s="893" t="s">
        <v>15</v>
      </c>
      <c r="G2543" s="893"/>
      <c r="H2543" s="893"/>
      <c r="I2543" s="893"/>
      <c r="J2543" s="893"/>
      <c r="M2543" s="120"/>
      <c r="N2543" s="120"/>
      <c r="O2543" s="120"/>
      <c r="P2543" s="120"/>
      <c r="Q2543" s="120"/>
      <c r="R2543" s="120"/>
      <c r="S2543" s="120"/>
      <c r="T2543" s="120"/>
      <c r="U2543" s="120"/>
      <c r="V2543" s="30"/>
      <c r="W2543" s="120"/>
      <c r="X2543" s="120"/>
      <c r="Y2543" s="120"/>
      <c r="Z2543" s="120"/>
      <c r="AA2543" s="120"/>
      <c r="AB2543" s="120"/>
      <c r="AC2543" s="120"/>
      <c r="AD2543" s="120"/>
      <c r="AE2543" s="120"/>
    </row>
    <row r="2544" spans="3:31" s="29" customFormat="1" x14ac:dyDescent="0.25">
      <c r="C2544" s="892"/>
      <c r="D2544" s="892"/>
      <c r="E2544" s="892"/>
      <c r="F2544" s="893"/>
      <c r="G2544" s="893"/>
      <c r="H2544" s="893"/>
      <c r="I2544" s="893"/>
      <c r="J2544" s="893"/>
      <c r="M2544" s="120" t="s">
        <v>337</v>
      </c>
      <c r="N2544" s="120">
        <f>SUM(N2536:N2543)</f>
        <v>2382.6623984875519</v>
      </c>
      <c r="O2544" s="120"/>
      <c r="P2544" s="120">
        <f>SUM(P2536:P2543)</f>
        <v>85</v>
      </c>
      <c r="Q2544" s="120">
        <f>SUM(Q2536:Q2543)</f>
        <v>3067.4223984875516</v>
      </c>
      <c r="R2544" s="120"/>
      <c r="S2544" s="120"/>
      <c r="T2544" s="120"/>
      <c r="U2544" s="120">
        <f>SUM(U2536:U2543)</f>
        <v>3081.4723984875518</v>
      </c>
      <c r="V2544" s="30"/>
      <c r="W2544" s="120" t="s">
        <v>337</v>
      </c>
      <c r="X2544" s="120">
        <f>SUM(X2536:X2543)</f>
        <v>2356.7623984875513</v>
      </c>
      <c r="Y2544" s="120"/>
      <c r="Z2544" s="120">
        <f>SUM(Z2536:Z2543)</f>
        <v>85</v>
      </c>
      <c r="AA2544" s="120">
        <f>SUM(AA2536:AA2543)</f>
        <v>3028.2223984875513</v>
      </c>
      <c r="AB2544" s="120"/>
      <c r="AC2544" s="120"/>
      <c r="AD2544" s="120"/>
      <c r="AE2544" s="120">
        <f>SUM(AE2536:AE2543)</f>
        <v>3040.1723984875516</v>
      </c>
    </row>
    <row r="2545" spans="3:61" s="29" customFormat="1" x14ac:dyDescent="0.25">
      <c r="C2545" s="892"/>
      <c r="D2545" s="892"/>
      <c r="E2545" s="892"/>
      <c r="F2545" s="893"/>
      <c r="G2545" s="893"/>
      <c r="H2545" s="893"/>
      <c r="I2545" s="893"/>
      <c r="J2545" s="893"/>
    </row>
    <row r="2546" spans="3:61" s="29" customFormat="1" x14ac:dyDescent="0.25">
      <c r="C2546" s="892" t="s">
        <v>5</v>
      </c>
      <c r="D2546" s="892"/>
      <c r="E2546" s="892"/>
      <c r="F2546" s="893" t="s">
        <v>234</v>
      </c>
      <c r="G2546" s="893"/>
      <c r="H2546" s="893"/>
      <c r="I2546" s="893"/>
      <c r="J2546" s="893"/>
      <c r="Q2546" s="120" t="s">
        <v>1681</v>
      </c>
      <c r="R2546" s="120">
        <f>U2544</f>
        <v>3081.4723984875518</v>
      </c>
      <c r="S2546" s="608" t="s">
        <v>2142</v>
      </c>
      <c r="T2546" s="608">
        <f>(R2546*100)/R2553</f>
        <v>35.037040423281461</v>
      </c>
      <c r="AA2546" s="120" t="s">
        <v>1681</v>
      </c>
      <c r="AB2546" s="120">
        <f>AE2544</f>
        <v>3040.1723984875516</v>
      </c>
      <c r="AC2546" s="608" t="s">
        <v>2142</v>
      </c>
      <c r="AD2546" s="608">
        <f>(AB2546*100)/AB2553</f>
        <v>34.850243102741047</v>
      </c>
    </row>
    <row r="2547" spans="3:61" s="29" customFormat="1" x14ac:dyDescent="0.25">
      <c r="C2547" s="892"/>
      <c r="D2547" s="892"/>
      <c r="E2547" s="892"/>
      <c r="F2547" s="893"/>
      <c r="G2547" s="893"/>
      <c r="H2547" s="893"/>
      <c r="I2547" s="893"/>
      <c r="J2547" s="893"/>
      <c r="Q2547" s="120" t="s">
        <v>2326</v>
      </c>
      <c r="R2547" s="120">
        <f>$AK$26</f>
        <v>1490.4701889752762</v>
      </c>
      <c r="AA2547" s="120" t="s">
        <v>2326</v>
      </c>
      <c r="AB2547" s="120">
        <f>$AK$26</f>
        <v>1490.4701889752762</v>
      </c>
    </row>
    <row r="2548" spans="3:61" s="29" customFormat="1" x14ac:dyDescent="0.25">
      <c r="C2548" s="892"/>
      <c r="D2548" s="892"/>
      <c r="E2548" s="892"/>
      <c r="F2548" s="893"/>
      <c r="G2548" s="893"/>
      <c r="H2548" s="893"/>
      <c r="I2548" s="893"/>
      <c r="J2548" s="893"/>
      <c r="Q2548" s="120" t="s">
        <v>2325</v>
      </c>
      <c r="R2548" s="120">
        <f>$AK$27</f>
        <v>75.599999999999994</v>
      </c>
      <c r="AA2548" s="120" t="s">
        <v>2325</v>
      </c>
      <c r="AB2548" s="120">
        <f>$AK$27</f>
        <v>75.599999999999994</v>
      </c>
    </row>
    <row r="2549" spans="3:61" s="29" customFormat="1" x14ac:dyDescent="0.25">
      <c r="C2549" s="892" t="s">
        <v>6</v>
      </c>
      <c r="D2549" s="892"/>
      <c r="E2549" s="892"/>
      <c r="F2549" s="893" t="s">
        <v>9</v>
      </c>
      <c r="G2549" s="893"/>
      <c r="H2549" s="893"/>
      <c r="I2549" s="893"/>
      <c r="J2549" s="893"/>
      <c r="Q2549" s="120" t="s">
        <v>1684</v>
      </c>
      <c r="R2549" s="120">
        <f>$AK$29</f>
        <v>442.09817078037929</v>
      </c>
      <c r="AA2549" s="120" t="s">
        <v>1684</v>
      </c>
      <c r="AB2549" s="120">
        <f>$AK$29</f>
        <v>442.09817078037929</v>
      </c>
    </row>
    <row r="2550" spans="3:61" s="29" customFormat="1" x14ac:dyDescent="0.25">
      <c r="C2550" s="892"/>
      <c r="D2550" s="892"/>
      <c r="E2550" s="892"/>
      <c r="F2550" s="893"/>
      <c r="G2550" s="893"/>
      <c r="H2550" s="893"/>
      <c r="I2550" s="893"/>
      <c r="J2550" s="893"/>
      <c r="Q2550" s="120" t="s">
        <v>1685</v>
      </c>
      <c r="R2550" s="120">
        <v>0.6</v>
      </c>
      <c r="AA2550" s="120" t="s">
        <v>1685</v>
      </c>
      <c r="AB2550" s="120">
        <v>0.6</v>
      </c>
    </row>
    <row r="2551" spans="3:61" s="29" customFormat="1" x14ac:dyDescent="0.25">
      <c r="C2551" s="892"/>
      <c r="D2551" s="892"/>
      <c r="E2551" s="892"/>
      <c r="F2551" s="893"/>
      <c r="G2551" s="893"/>
      <c r="H2551" s="893"/>
      <c r="I2551" s="893"/>
      <c r="J2551" s="893"/>
      <c r="Q2551" s="120" t="s">
        <v>1708</v>
      </c>
      <c r="R2551" s="120">
        <f>(SUM(R2546:R2549)*R2550)+SUM(R2546:R2549)</f>
        <v>8143.4252131891317</v>
      </c>
      <c r="AA2551" s="120" t="s">
        <v>1708</v>
      </c>
      <c r="AB2551" s="120">
        <f>(SUM(AB2546:AB2549)*AB2550)+SUM(AB2546:AB2549)</f>
        <v>8077.3452131891318</v>
      </c>
    </row>
    <row r="2552" spans="3:61" s="29" customFormat="1" x14ac:dyDescent="0.25">
      <c r="C2552" s="892" t="s">
        <v>7</v>
      </c>
      <c r="D2552" s="892"/>
      <c r="E2552" s="892"/>
      <c r="F2552" s="893" t="s">
        <v>235</v>
      </c>
      <c r="G2552" s="893"/>
      <c r="H2552" s="893"/>
      <c r="I2552" s="893"/>
      <c r="J2552" s="893"/>
      <c r="Q2552" s="120" t="s">
        <v>2130</v>
      </c>
      <c r="R2552" s="120">
        <f>R2551*0.08</f>
        <v>651.4740170551305</v>
      </c>
      <c r="AA2552" s="120" t="s">
        <v>2130</v>
      </c>
      <c r="AB2552" s="120">
        <f>AB2551*0.08</f>
        <v>646.18761705513054</v>
      </c>
    </row>
    <row r="2553" spans="3:61" s="29" customFormat="1" x14ac:dyDescent="0.25">
      <c r="C2553" s="892"/>
      <c r="D2553" s="892"/>
      <c r="E2553" s="892"/>
      <c r="F2553" s="893"/>
      <c r="G2553" s="893"/>
      <c r="H2553" s="893"/>
      <c r="I2553" s="893"/>
      <c r="J2553" s="893"/>
      <c r="Q2553" s="120" t="s">
        <v>1686</v>
      </c>
      <c r="R2553" s="120">
        <f>SUM(R2551+R2552)</f>
        <v>8794.8992302442621</v>
      </c>
      <c r="AA2553" s="120" t="s">
        <v>1686</v>
      </c>
      <c r="AB2553" s="120">
        <f>SUM(AB2551+AB2552)</f>
        <v>8723.5328302442631</v>
      </c>
    </row>
    <row r="2554" spans="3:61" s="29" customFormat="1" x14ac:dyDescent="0.25">
      <c r="C2554" s="892"/>
      <c r="D2554" s="892"/>
      <c r="E2554" s="892"/>
      <c r="F2554" s="893"/>
      <c r="G2554" s="893"/>
      <c r="H2554" s="893"/>
      <c r="I2554" s="893"/>
      <c r="J2554" s="893"/>
    </row>
    <row r="2555" spans="3:61" s="29" customFormat="1" x14ac:dyDescent="0.25"/>
    <row r="2556" spans="3:61" s="29" customFormat="1" x14ac:dyDescent="0.25"/>
    <row r="2557" spans="3:61" s="29" customFormat="1" x14ac:dyDescent="0.25">
      <c r="C2557" s="890" t="s">
        <v>8</v>
      </c>
      <c r="D2557" s="890"/>
      <c r="E2557" s="890"/>
      <c r="F2557" s="890"/>
      <c r="G2557" s="890"/>
      <c r="H2557" s="890"/>
      <c r="I2557" s="890"/>
      <c r="J2557" s="890"/>
    </row>
    <row r="2558" spans="3:61" s="29" customFormat="1" x14ac:dyDescent="0.25">
      <c r="C2558" s="891" t="s">
        <v>0</v>
      </c>
      <c r="D2558" s="891"/>
      <c r="E2558" s="891"/>
      <c r="F2558" s="891" t="s">
        <v>1</v>
      </c>
      <c r="G2558" s="891"/>
      <c r="H2558" s="891"/>
      <c r="I2558" s="891"/>
      <c r="J2558" s="891"/>
      <c r="M2558" s="80" t="s">
        <v>336</v>
      </c>
      <c r="N2558" s="80" t="s">
        <v>174</v>
      </c>
      <c r="O2558" s="80" t="s">
        <v>248</v>
      </c>
      <c r="P2558" s="80" t="s">
        <v>176</v>
      </c>
      <c r="Q2558" s="80" t="s">
        <v>337</v>
      </c>
      <c r="R2558" s="299" t="s">
        <v>1641</v>
      </c>
      <c r="S2558" s="299" t="s">
        <v>1642</v>
      </c>
      <c r="T2558" s="299" t="s">
        <v>1643</v>
      </c>
      <c r="U2558" s="299" t="s">
        <v>1644</v>
      </c>
      <c r="W2558" s="484" t="s">
        <v>336</v>
      </c>
      <c r="X2558" s="484" t="s">
        <v>174</v>
      </c>
      <c r="Y2558" s="484" t="s">
        <v>248</v>
      </c>
      <c r="Z2558" s="484" t="s">
        <v>176</v>
      </c>
      <c r="AA2558" s="484" t="s">
        <v>337</v>
      </c>
      <c r="AB2558" s="484" t="s">
        <v>1641</v>
      </c>
      <c r="AC2558" s="484" t="s">
        <v>1642</v>
      </c>
      <c r="AD2558" s="484" t="s">
        <v>1643</v>
      </c>
      <c r="AE2558" s="484" t="s">
        <v>1644</v>
      </c>
      <c r="AG2558" s="1045" t="s">
        <v>352</v>
      </c>
      <c r="AH2558" s="1046"/>
      <c r="AI2558" s="1046"/>
      <c r="AJ2558" s="1046"/>
      <c r="AK2558" s="1046"/>
      <c r="AL2558" s="1046"/>
      <c r="AM2558" s="1046"/>
      <c r="AN2558" s="1046"/>
      <c r="AO2558" s="1047"/>
      <c r="AQ2558" s="1041" t="s">
        <v>581</v>
      </c>
      <c r="AR2558" s="1042"/>
      <c r="AS2558" s="1042"/>
      <c r="AT2558" s="1042"/>
      <c r="AU2558" s="1042"/>
      <c r="AV2558" s="1042"/>
      <c r="AW2558" s="1042"/>
      <c r="AX2558" s="1042"/>
      <c r="AY2558" s="1043"/>
      <c r="BA2558" s="491" t="s">
        <v>555</v>
      </c>
      <c r="BB2558" s="492"/>
      <c r="BC2558" s="492"/>
      <c r="BD2558" s="492"/>
      <c r="BE2558" s="492"/>
      <c r="BF2558" s="492"/>
      <c r="BG2558" s="492"/>
      <c r="BH2558" s="492"/>
      <c r="BI2558" s="493"/>
    </row>
    <row r="2559" spans="3:61" s="29" customFormat="1" x14ac:dyDescent="0.25">
      <c r="C2559" s="892" t="s">
        <v>2</v>
      </c>
      <c r="D2559" s="892"/>
      <c r="E2559" s="892"/>
      <c r="F2559" s="893" t="s">
        <v>236</v>
      </c>
      <c r="G2559" s="893"/>
      <c r="H2559" s="893"/>
      <c r="I2559" s="893"/>
      <c r="J2559" s="893"/>
      <c r="M2559" s="120" t="s">
        <v>344</v>
      </c>
      <c r="N2559" s="120">
        <f>E15</f>
        <v>2099.0723984875517</v>
      </c>
      <c r="O2559" s="120" t="str">
        <f>D15</f>
        <v>g</v>
      </c>
      <c r="P2559" s="120">
        <v>30</v>
      </c>
      <c r="Q2559" s="120">
        <f>N2559</f>
        <v>2099.0723984875517</v>
      </c>
      <c r="R2559" s="120">
        <v>0</v>
      </c>
      <c r="S2559" s="120">
        <f>P2559*R2559</f>
        <v>0</v>
      </c>
      <c r="T2559" s="120">
        <f>P2559-S2559</f>
        <v>30</v>
      </c>
      <c r="U2559" s="120">
        <f>Q2559+((S2559*Q2559)/P2559)</f>
        <v>2099.0723984875517</v>
      </c>
      <c r="W2559" s="120" t="s">
        <v>344</v>
      </c>
      <c r="X2559" s="154">
        <f>F15</f>
        <v>2073.8723984875514</v>
      </c>
      <c r="Y2559" s="120" t="str">
        <f>D15</f>
        <v>g</v>
      </c>
      <c r="Z2559" s="120">
        <v>30</v>
      </c>
      <c r="AA2559" s="120">
        <f>X2559</f>
        <v>2073.8723984875514</v>
      </c>
      <c r="AB2559" s="120">
        <v>0</v>
      </c>
      <c r="AC2559" s="120">
        <f>Z2559*AB2559</f>
        <v>0</v>
      </c>
      <c r="AD2559" s="120">
        <f>Z2559-AC2559</f>
        <v>30</v>
      </c>
      <c r="AE2559" s="120">
        <f>AA2559+((AC2559*AA2559)/Z2559)</f>
        <v>2073.8723984875514</v>
      </c>
      <c r="AG2559" s="299" t="s">
        <v>336</v>
      </c>
      <c r="AH2559" s="299" t="s">
        <v>174</v>
      </c>
      <c r="AI2559" s="299" t="s">
        <v>248</v>
      </c>
      <c r="AJ2559" s="299" t="s">
        <v>176</v>
      </c>
      <c r="AK2559" s="299" t="s">
        <v>337</v>
      </c>
      <c r="AL2559" s="299" t="s">
        <v>1641</v>
      </c>
      <c r="AM2559" s="299" t="s">
        <v>1642</v>
      </c>
      <c r="AN2559" s="299" t="s">
        <v>1643</v>
      </c>
      <c r="AO2559" s="299" t="s">
        <v>1644</v>
      </c>
      <c r="AQ2559" s="299" t="s">
        <v>336</v>
      </c>
      <c r="AR2559" s="299" t="s">
        <v>174</v>
      </c>
      <c r="AS2559" s="299" t="s">
        <v>248</v>
      </c>
      <c r="AT2559" s="299" t="s">
        <v>176</v>
      </c>
      <c r="AU2559" s="299" t="s">
        <v>337</v>
      </c>
      <c r="AV2559" s="299" t="s">
        <v>1641</v>
      </c>
      <c r="AW2559" s="299" t="s">
        <v>1642</v>
      </c>
      <c r="AX2559" s="299" t="s">
        <v>1643</v>
      </c>
      <c r="AY2559" s="299" t="s">
        <v>1644</v>
      </c>
      <c r="BA2559" s="299" t="s">
        <v>336</v>
      </c>
      <c r="BB2559" s="299" t="s">
        <v>174</v>
      </c>
      <c r="BC2559" s="299" t="s">
        <v>248</v>
      </c>
      <c r="BD2559" s="299" t="s">
        <v>176</v>
      </c>
      <c r="BE2559" s="299" t="s">
        <v>337</v>
      </c>
      <c r="BF2559" s="299" t="s">
        <v>1641</v>
      </c>
      <c r="BG2559" s="299" t="s">
        <v>1642</v>
      </c>
      <c r="BH2559" s="299" t="s">
        <v>1643</v>
      </c>
      <c r="BI2559" s="299" t="s">
        <v>1644</v>
      </c>
    </row>
    <row r="2560" spans="3:61" s="29" customFormat="1" x14ac:dyDescent="0.25">
      <c r="C2560" s="892"/>
      <c r="D2560" s="892"/>
      <c r="E2560" s="892"/>
      <c r="F2560" s="893"/>
      <c r="G2560" s="893"/>
      <c r="H2560" s="893"/>
      <c r="I2560" s="893"/>
      <c r="J2560" s="893"/>
      <c r="M2560" s="120" t="s">
        <v>340</v>
      </c>
      <c r="N2560" s="120">
        <f>Y20</f>
        <v>0.64</v>
      </c>
      <c r="O2560" s="120" t="str">
        <f>X20</f>
        <v>g</v>
      </c>
      <c r="P2560" s="120">
        <v>3</v>
      </c>
      <c r="Q2560" s="120">
        <f>N2560*P2560</f>
        <v>1.92</v>
      </c>
      <c r="R2560" s="120">
        <v>0</v>
      </c>
      <c r="S2560" s="120">
        <f t="shared" ref="S2560:S2562" si="865">P2560*R2560</f>
        <v>0</v>
      </c>
      <c r="T2560" s="120">
        <f t="shared" ref="T2560:T2562" si="866">P2560-S2560</f>
        <v>3</v>
      </c>
      <c r="U2560" s="120">
        <f t="shared" ref="U2560:U2562" si="867">Q2560+((S2560*Q2560)/P2560)</f>
        <v>1.92</v>
      </c>
      <c r="W2560" s="120" t="s">
        <v>340</v>
      </c>
      <c r="X2560" s="154">
        <f>Y20</f>
        <v>0.64</v>
      </c>
      <c r="Y2560" s="120" t="str">
        <f>X20</f>
        <v>g</v>
      </c>
      <c r="Z2560" s="120">
        <v>3</v>
      </c>
      <c r="AA2560" s="120">
        <f>X2560*Z2560</f>
        <v>1.92</v>
      </c>
      <c r="AB2560" s="120">
        <v>0</v>
      </c>
      <c r="AC2560" s="120">
        <f t="shared" ref="AC2560:AC2562" si="868">Z2560*AB2560</f>
        <v>0</v>
      </c>
      <c r="AD2560" s="120">
        <f t="shared" ref="AD2560:AD2562" si="869">Z2560-AC2560</f>
        <v>3</v>
      </c>
      <c r="AE2560" s="120">
        <f t="shared" ref="AE2560:AE2562" si="870">AA2560+((AC2560*AA2560)/Z2560)</f>
        <v>1.92</v>
      </c>
      <c r="AG2560" s="120" t="s">
        <v>550</v>
      </c>
      <c r="AH2560" s="154">
        <f>AE5</f>
        <v>2.04</v>
      </c>
      <c r="AI2560" s="120" t="str">
        <f>AD5</f>
        <v>g</v>
      </c>
      <c r="AJ2560" s="120">
        <v>15</v>
      </c>
      <c r="AK2560" s="120">
        <f>AH2560*AJ2560</f>
        <v>30.6</v>
      </c>
      <c r="AL2560" s="120">
        <v>0</v>
      </c>
      <c r="AM2560" s="120">
        <f>AJ2560*AL2560</f>
        <v>0</v>
      </c>
      <c r="AN2560" s="120">
        <f>AJ2560-AM2560</f>
        <v>15</v>
      </c>
      <c r="AO2560" s="120">
        <f>AK2560+((AM2560*AK2560)/AJ2560)</f>
        <v>30.6</v>
      </c>
      <c r="AQ2560" s="120" t="s">
        <v>442</v>
      </c>
      <c r="AR2560" s="154">
        <f>Y3</f>
        <v>30</v>
      </c>
      <c r="AS2560" s="120" t="str">
        <f>X3</f>
        <v>g</v>
      </c>
      <c r="AT2560" s="120">
        <v>10</v>
      </c>
      <c r="AU2560" s="120">
        <f>AR2560*AT2560</f>
        <v>300</v>
      </c>
      <c r="AV2560" s="120">
        <v>0</v>
      </c>
      <c r="AW2560" s="120">
        <f>AT2560*AV2560</f>
        <v>0</v>
      </c>
      <c r="AX2560" s="120">
        <f>AT2560-AW2560</f>
        <v>10</v>
      </c>
      <c r="AY2560" s="120">
        <f>AU2560+((AW2560*AU2560)/AT2560)</f>
        <v>300</v>
      </c>
      <c r="BA2560" s="120" t="s">
        <v>430</v>
      </c>
      <c r="BB2560" s="154">
        <f>P10</f>
        <v>0.7</v>
      </c>
      <c r="BC2560" s="120" t="str">
        <f>O10</f>
        <v>g</v>
      </c>
      <c r="BD2560" s="120">
        <v>20</v>
      </c>
      <c r="BE2560" s="120">
        <f t="shared" ref="BE2560:BE2565" si="871">BB2560*BD2560</f>
        <v>14</v>
      </c>
      <c r="BF2560" s="120">
        <f>AJ7</f>
        <v>0.15</v>
      </c>
      <c r="BG2560" s="120">
        <f>BD2560*BF2560</f>
        <v>3</v>
      </c>
      <c r="BH2560" s="120">
        <f>BD2560-BG2560</f>
        <v>17</v>
      </c>
      <c r="BI2560" s="120">
        <f>BE2560+((BG2560*BE2560)/BD2560)</f>
        <v>16.100000000000001</v>
      </c>
    </row>
    <row r="2561" spans="3:61" s="29" customFormat="1" x14ac:dyDescent="0.25">
      <c r="C2561" s="892"/>
      <c r="D2561" s="892"/>
      <c r="E2561" s="892"/>
      <c r="F2561" s="893"/>
      <c r="G2561" s="893"/>
      <c r="H2561" s="893"/>
      <c r="I2561" s="893"/>
      <c r="J2561" s="893"/>
      <c r="M2561" s="120" t="s">
        <v>649</v>
      </c>
      <c r="N2561" s="120">
        <f>AO2565</f>
        <v>972.6400000000001</v>
      </c>
      <c r="O2561" s="120" t="s">
        <v>1388</v>
      </c>
      <c r="P2561" s="120">
        <v>40</v>
      </c>
      <c r="Q2561" s="120">
        <f>N2561</f>
        <v>972.6400000000001</v>
      </c>
      <c r="R2561" s="120">
        <v>0</v>
      </c>
      <c r="S2561" s="120">
        <f t="shared" si="865"/>
        <v>0</v>
      </c>
      <c r="T2561" s="120">
        <f t="shared" si="866"/>
        <v>40</v>
      </c>
      <c r="U2561" s="120">
        <f t="shared" si="867"/>
        <v>972.6400000000001</v>
      </c>
      <c r="W2561" s="120" t="s">
        <v>649</v>
      </c>
      <c r="X2561" s="120">
        <f>AY2567</f>
        <v>3994.76</v>
      </c>
      <c r="Y2561" s="120" t="s">
        <v>1388</v>
      </c>
      <c r="Z2561" s="120">
        <v>40</v>
      </c>
      <c r="AA2561" s="120">
        <f>X2561</f>
        <v>3994.76</v>
      </c>
      <c r="AB2561" s="120">
        <v>0</v>
      </c>
      <c r="AC2561" s="120">
        <f t="shared" si="868"/>
        <v>0</v>
      </c>
      <c r="AD2561" s="120">
        <f t="shared" si="869"/>
        <v>40</v>
      </c>
      <c r="AE2561" s="120">
        <f t="shared" si="870"/>
        <v>3994.76</v>
      </c>
      <c r="AG2561" s="120" t="s">
        <v>551</v>
      </c>
      <c r="AH2561" s="154">
        <f>V4</f>
        <v>3.08</v>
      </c>
      <c r="AI2561" s="120" t="str">
        <f>U4</f>
        <v>mL</v>
      </c>
      <c r="AJ2561" s="120">
        <v>80</v>
      </c>
      <c r="AK2561" s="120">
        <f>AH2561*AJ2561</f>
        <v>246.4</v>
      </c>
      <c r="AL2561" s="120">
        <v>0</v>
      </c>
      <c r="AM2561" s="120">
        <f t="shared" ref="AM2561:AM2564" si="872">AJ2561*AL2561</f>
        <v>0</v>
      </c>
      <c r="AN2561" s="120">
        <f t="shared" ref="AN2561:AN2564" si="873">AJ2561-AM2561</f>
        <v>80</v>
      </c>
      <c r="AO2561" s="120">
        <f t="shared" ref="AO2561:AO2564" si="874">AK2561+((AM2561*AK2561)/AJ2561)</f>
        <v>246.4</v>
      </c>
      <c r="AQ2561" s="120" t="s">
        <v>482</v>
      </c>
      <c r="AR2561" s="154">
        <f>P18</f>
        <v>5</v>
      </c>
      <c r="AS2561" s="120" t="str">
        <f>O18</f>
        <v>g</v>
      </c>
      <c r="AT2561" s="120">
        <v>10</v>
      </c>
      <c r="AU2561" s="120">
        <f t="shared" ref="AU2561:AU2566" si="875">AR2561*AT2561</f>
        <v>50</v>
      </c>
      <c r="AV2561" s="120">
        <f>AJ11</f>
        <v>0.23</v>
      </c>
      <c r="AW2561" s="120">
        <f t="shared" ref="AW2561:AW2566" si="876">AT2561*AV2561</f>
        <v>2.3000000000000003</v>
      </c>
      <c r="AX2561" s="120">
        <f t="shared" ref="AX2561:AX2566" si="877">AT2561-AW2561</f>
        <v>7.6999999999999993</v>
      </c>
      <c r="AY2561" s="120">
        <f t="shared" ref="AY2561:AY2566" si="878">AU2561+((AW2561*AU2561)/AT2561)</f>
        <v>61.5</v>
      </c>
      <c r="BA2561" s="120" t="s">
        <v>436</v>
      </c>
      <c r="BB2561" s="154">
        <f>P31</f>
        <v>2.6</v>
      </c>
      <c r="BC2561" s="120" t="str">
        <f>O31</f>
        <v>g</v>
      </c>
      <c r="BD2561" s="120">
        <v>15</v>
      </c>
      <c r="BE2561" s="120">
        <f t="shared" si="871"/>
        <v>39</v>
      </c>
      <c r="BF2561" s="120">
        <f>AJ19</f>
        <v>0.37</v>
      </c>
      <c r="BG2561" s="120">
        <f t="shared" ref="BG2561:BG2565" si="879">BD2561*BF2561</f>
        <v>5.55</v>
      </c>
      <c r="BH2561" s="120">
        <f t="shared" ref="BH2561:BH2565" si="880">BD2561-BG2561</f>
        <v>9.4499999999999993</v>
      </c>
      <c r="BI2561" s="120">
        <f t="shared" ref="BI2561:BI2565" si="881">BE2561+((BG2561*BE2561)/BD2561)</f>
        <v>53.43</v>
      </c>
    </row>
    <row r="2562" spans="3:61" s="29" customFormat="1" x14ac:dyDescent="0.25">
      <c r="C2562" s="891" t="s">
        <v>0</v>
      </c>
      <c r="D2562" s="891"/>
      <c r="E2562" s="891"/>
      <c r="F2562" s="891" t="s">
        <v>1</v>
      </c>
      <c r="G2562" s="891"/>
      <c r="H2562" s="891"/>
      <c r="I2562" s="891"/>
      <c r="J2562" s="891"/>
      <c r="M2562" s="120" t="s">
        <v>485</v>
      </c>
      <c r="N2562" s="120">
        <f>V12</f>
        <v>25.98</v>
      </c>
      <c r="O2562" s="120" t="str">
        <f>U12</f>
        <v>g</v>
      </c>
      <c r="P2562" s="120">
        <v>30</v>
      </c>
      <c r="Q2562" s="120">
        <f>N2562*P2562</f>
        <v>779.4</v>
      </c>
      <c r="R2562" s="120">
        <v>0</v>
      </c>
      <c r="S2562" s="120">
        <f t="shared" si="865"/>
        <v>0</v>
      </c>
      <c r="T2562" s="120">
        <f t="shared" si="866"/>
        <v>30</v>
      </c>
      <c r="U2562" s="120">
        <f t="shared" si="867"/>
        <v>779.4</v>
      </c>
      <c r="W2562" s="120" t="s">
        <v>485</v>
      </c>
      <c r="X2562" s="154">
        <f>V16</f>
        <v>54.41</v>
      </c>
      <c r="Y2562" s="120" t="str">
        <f>U16</f>
        <v>g</v>
      </c>
      <c r="Z2562" s="120">
        <v>30</v>
      </c>
      <c r="AA2562" s="120">
        <f>X2562*Z2562</f>
        <v>1632.3</v>
      </c>
      <c r="AB2562" s="120">
        <v>0</v>
      </c>
      <c r="AC2562" s="120">
        <f t="shared" si="868"/>
        <v>0</v>
      </c>
      <c r="AD2562" s="120">
        <f t="shared" si="869"/>
        <v>30</v>
      </c>
      <c r="AE2562" s="120">
        <f t="shared" si="870"/>
        <v>1632.3</v>
      </c>
      <c r="AG2562" s="120" t="s">
        <v>347</v>
      </c>
      <c r="AH2562" s="154">
        <f>V6</f>
        <v>28.76</v>
      </c>
      <c r="AI2562" s="120" t="str">
        <f>U6</f>
        <v>g</v>
      </c>
      <c r="AJ2562" s="120">
        <v>15</v>
      </c>
      <c r="AK2562" s="120">
        <f>AH2562*AJ2562</f>
        <v>431.40000000000003</v>
      </c>
      <c r="AL2562" s="120">
        <v>0</v>
      </c>
      <c r="AM2562" s="120">
        <f t="shared" si="872"/>
        <v>0</v>
      </c>
      <c r="AN2562" s="120">
        <f t="shared" si="873"/>
        <v>15</v>
      </c>
      <c r="AO2562" s="120">
        <f t="shared" si="874"/>
        <v>431.40000000000003</v>
      </c>
      <c r="AQ2562" s="120" t="s">
        <v>547</v>
      </c>
      <c r="AR2562" s="154">
        <f>V13</f>
        <v>81.900000000000006</v>
      </c>
      <c r="AS2562" s="120" t="str">
        <f>U13</f>
        <v>g</v>
      </c>
      <c r="AT2562" s="120">
        <v>15</v>
      </c>
      <c r="AU2562" s="120">
        <f t="shared" si="875"/>
        <v>1228.5</v>
      </c>
      <c r="AV2562" s="120">
        <v>0</v>
      </c>
      <c r="AW2562" s="120">
        <f t="shared" si="876"/>
        <v>0</v>
      </c>
      <c r="AX2562" s="120">
        <f t="shared" si="877"/>
        <v>15</v>
      </c>
      <c r="AY2562" s="120">
        <f t="shared" si="878"/>
        <v>1228.5</v>
      </c>
      <c r="BA2562" s="120" t="s">
        <v>435</v>
      </c>
      <c r="BB2562" s="154">
        <f>P5</f>
        <v>2.5</v>
      </c>
      <c r="BC2562" s="120" t="str">
        <f>O5</f>
        <v>g</v>
      </c>
      <c r="BD2562" s="120">
        <v>10</v>
      </c>
      <c r="BE2562" s="120">
        <f t="shared" si="871"/>
        <v>25</v>
      </c>
      <c r="BF2562" s="120">
        <f>AJ3</f>
        <v>0.37</v>
      </c>
      <c r="BG2562" s="120">
        <f t="shared" si="879"/>
        <v>3.7</v>
      </c>
      <c r="BH2562" s="120">
        <f t="shared" si="880"/>
        <v>6.3</v>
      </c>
      <c r="BI2562" s="120">
        <f t="shared" si="881"/>
        <v>34.25</v>
      </c>
    </row>
    <row r="2563" spans="3:61" s="29" customFormat="1" x14ac:dyDescent="0.25">
      <c r="C2563" s="892" t="s">
        <v>3</v>
      </c>
      <c r="D2563" s="892"/>
      <c r="E2563" s="892"/>
      <c r="F2563" s="894" t="s">
        <v>237</v>
      </c>
      <c r="G2563" s="893"/>
      <c r="H2563" s="893"/>
      <c r="I2563" s="893"/>
      <c r="J2563" s="893"/>
      <c r="M2563" s="120"/>
      <c r="N2563" s="120"/>
      <c r="O2563" s="120"/>
      <c r="P2563" s="120"/>
      <c r="Q2563" s="120"/>
      <c r="R2563" s="120"/>
      <c r="S2563" s="120"/>
      <c r="T2563" s="120"/>
      <c r="U2563" s="120"/>
      <c r="W2563" s="120"/>
      <c r="X2563" s="120"/>
      <c r="Y2563" s="120"/>
      <c r="Z2563" s="120"/>
      <c r="AA2563" s="120"/>
      <c r="AB2563" s="120"/>
      <c r="AC2563" s="120"/>
      <c r="AD2563" s="120"/>
      <c r="AE2563" s="120"/>
      <c r="AG2563" s="120" t="s">
        <v>340</v>
      </c>
      <c r="AH2563" s="154">
        <f>Y20</f>
        <v>0.64</v>
      </c>
      <c r="AI2563" s="120" t="str">
        <f>X20</f>
        <v>g</v>
      </c>
      <c r="AJ2563" s="120">
        <v>1</v>
      </c>
      <c r="AK2563" s="120">
        <f>AH2563*AJ2563</f>
        <v>0.64</v>
      </c>
      <c r="AL2563" s="120">
        <v>0</v>
      </c>
      <c r="AM2563" s="120">
        <f t="shared" si="872"/>
        <v>0</v>
      </c>
      <c r="AN2563" s="120">
        <f t="shared" si="873"/>
        <v>1</v>
      </c>
      <c r="AO2563" s="120">
        <f t="shared" si="874"/>
        <v>0.64</v>
      </c>
      <c r="AQ2563" s="120" t="s">
        <v>340</v>
      </c>
      <c r="AR2563" s="154">
        <f>Y20</f>
        <v>0.64</v>
      </c>
      <c r="AS2563" s="120" t="str">
        <f>X20</f>
        <v>g</v>
      </c>
      <c r="AT2563" s="120">
        <v>1</v>
      </c>
      <c r="AU2563" s="120">
        <f t="shared" si="875"/>
        <v>0.64</v>
      </c>
      <c r="AV2563" s="120">
        <v>0</v>
      </c>
      <c r="AW2563" s="120">
        <f t="shared" si="876"/>
        <v>0</v>
      </c>
      <c r="AX2563" s="120">
        <f t="shared" si="877"/>
        <v>1</v>
      </c>
      <c r="AY2563" s="120">
        <f t="shared" si="878"/>
        <v>0.64</v>
      </c>
      <c r="BA2563" s="120" t="s">
        <v>429</v>
      </c>
      <c r="BB2563" s="154">
        <f>P29</f>
        <v>1.8</v>
      </c>
      <c r="BC2563" s="120" t="str">
        <f>O29</f>
        <v>g</v>
      </c>
      <c r="BD2563" s="120">
        <v>40</v>
      </c>
      <c r="BE2563" s="120">
        <f t="shared" si="871"/>
        <v>72</v>
      </c>
      <c r="BF2563" s="120">
        <f>AJ18</f>
        <v>0.05</v>
      </c>
      <c r="BG2563" s="120">
        <f t="shared" si="879"/>
        <v>2</v>
      </c>
      <c r="BH2563" s="120">
        <f t="shared" si="880"/>
        <v>38</v>
      </c>
      <c r="BI2563" s="120">
        <f t="shared" si="881"/>
        <v>75.599999999999994</v>
      </c>
    </row>
    <row r="2564" spans="3:61" s="29" customFormat="1" x14ac:dyDescent="0.25">
      <c r="C2564" s="892"/>
      <c r="D2564" s="892"/>
      <c r="E2564" s="892"/>
      <c r="F2564" s="893"/>
      <c r="G2564" s="893"/>
      <c r="H2564" s="893"/>
      <c r="I2564" s="893"/>
      <c r="J2564" s="893"/>
      <c r="M2564" s="120"/>
      <c r="N2564" s="120"/>
      <c r="O2564" s="120"/>
      <c r="P2564" s="120"/>
      <c r="Q2564" s="120"/>
      <c r="R2564" s="120"/>
      <c r="S2564" s="120"/>
      <c r="T2564" s="120"/>
      <c r="U2564" s="120"/>
      <c r="W2564" s="120"/>
      <c r="X2564" s="120"/>
      <c r="Y2564" s="120"/>
      <c r="Z2564" s="120"/>
      <c r="AA2564" s="120"/>
      <c r="AB2564" s="120"/>
      <c r="AC2564" s="120"/>
      <c r="AD2564" s="120"/>
      <c r="AE2564" s="120"/>
      <c r="AG2564" s="120" t="s">
        <v>356</v>
      </c>
      <c r="AH2564" s="154">
        <f>Y14</f>
        <v>131.80000000000001</v>
      </c>
      <c r="AI2564" s="120" t="str">
        <f>X14</f>
        <v>g</v>
      </c>
      <c r="AJ2564" s="120">
        <v>2</v>
      </c>
      <c r="AK2564" s="120">
        <f>AH2564*AJ2564</f>
        <v>263.60000000000002</v>
      </c>
      <c r="AL2564" s="120">
        <v>0</v>
      </c>
      <c r="AM2564" s="120">
        <f t="shared" si="872"/>
        <v>0</v>
      </c>
      <c r="AN2564" s="120">
        <f t="shared" si="873"/>
        <v>2</v>
      </c>
      <c r="AO2564" s="120">
        <f t="shared" si="874"/>
        <v>263.60000000000002</v>
      </c>
      <c r="AQ2564" s="120" t="s">
        <v>346</v>
      </c>
      <c r="AR2564" s="154">
        <f>P3</f>
        <v>7</v>
      </c>
      <c r="AS2564" s="120" t="str">
        <f>O3</f>
        <v>g</v>
      </c>
      <c r="AT2564" s="120">
        <v>4</v>
      </c>
      <c r="AU2564" s="120">
        <f t="shared" si="875"/>
        <v>28</v>
      </c>
      <c r="AV2564" s="120">
        <f>AJ2</f>
        <v>0.23</v>
      </c>
      <c r="AW2564" s="120">
        <f t="shared" si="876"/>
        <v>0.92</v>
      </c>
      <c r="AX2564" s="120">
        <f t="shared" si="877"/>
        <v>3.08</v>
      </c>
      <c r="AY2564" s="120">
        <f t="shared" si="878"/>
        <v>34.44</v>
      </c>
      <c r="BA2564" s="120" t="s">
        <v>432</v>
      </c>
      <c r="BB2564" s="154">
        <f>S8</f>
        <v>59</v>
      </c>
      <c r="BC2564" s="120" t="str">
        <f>R8</f>
        <v>g</v>
      </c>
      <c r="BD2564" s="120">
        <v>25</v>
      </c>
      <c r="BE2564" s="120">
        <f t="shared" si="871"/>
        <v>1475</v>
      </c>
      <c r="BF2564" s="120">
        <f>AN4</f>
        <v>0.41</v>
      </c>
      <c r="BG2564" s="120">
        <f t="shared" si="879"/>
        <v>10.25</v>
      </c>
      <c r="BH2564" s="120">
        <f t="shared" si="880"/>
        <v>14.75</v>
      </c>
      <c r="BI2564" s="120">
        <f t="shared" si="881"/>
        <v>2079.75</v>
      </c>
    </row>
    <row r="2565" spans="3:61" s="29" customFormat="1" x14ac:dyDescent="0.25">
      <c r="C2565" s="892"/>
      <c r="D2565" s="892"/>
      <c r="E2565" s="892"/>
      <c r="F2565" s="893"/>
      <c r="G2565" s="893"/>
      <c r="H2565" s="893"/>
      <c r="I2565" s="893"/>
      <c r="J2565" s="893"/>
      <c r="M2565" s="120"/>
      <c r="N2565" s="120"/>
      <c r="O2565" s="120"/>
      <c r="P2565" s="120"/>
      <c r="Q2565" s="120"/>
      <c r="R2565" s="120"/>
      <c r="S2565" s="120"/>
      <c r="T2565" s="120"/>
      <c r="U2565" s="120"/>
      <c r="W2565" s="120"/>
      <c r="X2565" s="120"/>
      <c r="Y2565" s="120"/>
      <c r="Z2565" s="120"/>
      <c r="AA2565" s="120"/>
      <c r="AB2565" s="120"/>
      <c r="AC2565" s="120"/>
      <c r="AD2565" s="120"/>
      <c r="AE2565" s="120"/>
      <c r="AG2565" s="120" t="s">
        <v>337</v>
      </c>
      <c r="AH2565" s="120">
        <f>SUM(AH2560:AH2564)</f>
        <v>166.32000000000002</v>
      </c>
      <c r="AI2565" s="120"/>
      <c r="AJ2565" s="120">
        <f>SUM(AJ2560:AJ2564)</f>
        <v>113</v>
      </c>
      <c r="AK2565" s="120">
        <f>SUM(AK2560:AK2564)</f>
        <v>972.6400000000001</v>
      </c>
      <c r="AL2565" s="120"/>
      <c r="AM2565" s="120"/>
      <c r="AN2565" s="120"/>
      <c r="AO2565" s="120">
        <f>SUM(AO2560:AO2564)</f>
        <v>972.6400000000001</v>
      </c>
      <c r="AQ2565" s="120" t="s">
        <v>433</v>
      </c>
      <c r="AR2565" s="154">
        <f>Y18</f>
        <v>223.57</v>
      </c>
      <c r="AS2565" s="120" t="str">
        <f>X18</f>
        <v>g</v>
      </c>
      <c r="AT2565" s="120">
        <v>4</v>
      </c>
      <c r="AU2565" s="120">
        <f t="shared" si="875"/>
        <v>894.28</v>
      </c>
      <c r="AV2565" s="120">
        <v>0</v>
      </c>
      <c r="AW2565" s="120">
        <f t="shared" si="876"/>
        <v>0</v>
      </c>
      <c r="AX2565" s="120">
        <f t="shared" si="877"/>
        <v>4</v>
      </c>
      <c r="AY2565" s="120">
        <f t="shared" si="878"/>
        <v>894.28</v>
      </c>
      <c r="BA2565" s="120" t="s">
        <v>455</v>
      </c>
      <c r="BB2565" s="154">
        <f>AE15</f>
        <v>51.96</v>
      </c>
      <c r="BC2565" s="120" t="str">
        <f>AD15</f>
        <v>mL</v>
      </c>
      <c r="BD2565" s="120">
        <v>15</v>
      </c>
      <c r="BE2565" s="120">
        <f t="shared" si="871"/>
        <v>779.4</v>
      </c>
      <c r="BF2565" s="120">
        <v>0</v>
      </c>
      <c r="BG2565" s="120">
        <f t="shared" si="879"/>
        <v>0</v>
      </c>
      <c r="BH2565" s="120">
        <f t="shared" si="880"/>
        <v>15</v>
      </c>
      <c r="BI2565" s="120">
        <f t="shared" si="881"/>
        <v>779.4</v>
      </c>
    </row>
    <row r="2566" spans="3:61" s="29" customFormat="1" x14ac:dyDescent="0.25">
      <c r="C2566" s="892" t="s">
        <v>4</v>
      </c>
      <c r="D2566" s="892"/>
      <c r="E2566" s="892"/>
      <c r="F2566" s="893" t="s">
        <v>15</v>
      </c>
      <c r="G2566" s="893"/>
      <c r="H2566" s="893"/>
      <c r="I2566" s="893"/>
      <c r="J2566" s="893"/>
      <c r="M2566" s="120" t="s">
        <v>337</v>
      </c>
      <c r="N2566" s="120">
        <f>SUM(N2559:N2565)</f>
        <v>3098.3323984875519</v>
      </c>
      <c r="O2566" s="120"/>
      <c r="P2566" s="120">
        <f>SUM(P2559:P2565)</f>
        <v>103</v>
      </c>
      <c r="Q2566" s="120">
        <f>SUM(Q2559:Q2565)</f>
        <v>3853.0323984875517</v>
      </c>
      <c r="R2566" s="120"/>
      <c r="S2566" s="120"/>
      <c r="T2566" s="120"/>
      <c r="U2566" s="120">
        <f>SUM(U2559:U2565)</f>
        <v>3853.0323984875517</v>
      </c>
      <c r="W2566" s="120" t="s">
        <v>337</v>
      </c>
      <c r="X2566" s="120">
        <f>SUM(X2559:X2565)</f>
        <v>6123.6823984875518</v>
      </c>
      <c r="Y2566" s="120"/>
      <c r="Z2566" s="120">
        <f>SUM(Z2559:Z2565)</f>
        <v>103</v>
      </c>
      <c r="AA2566" s="120">
        <f>SUM(AA2559:AA2565)</f>
        <v>7702.8523984875519</v>
      </c>
      <c r="AB2566" s="120"/>
      <c r="AC2566" s="120"/>
      <c r="AD2566" s="120"/>
      <c r="AE2566" s="120">
        <f>SUM(AE2559:AE2565)</f>
        <v>7702.8523984875519</v>
      </c>
      <c r="AQ2566" s="120" t="s">
        <v>546</v>
      </c>
      <c r="AR2566" s="154">
        <f>AE3</f>
        <v>49.18</v>
      </c>
      <c r="AS2566" s="120" t="str">
        <f>AD3</f>
        <v>mL</v>
      </c>
      <c r="AT2566" s="120">
        <v>30</v>
      </c>
      <c r="AU2566" s="120">
        <f t="shared" si="875"/>
        <v>1475.4</v>
      </c>
      <c r="AV2566" s="120">
        <v>0</v>
      </c>
      <c r="AW2566" s="120">
        <f t="shared" si="876"/>
        <v>0</v>
      </c>
      <c r="AX2566" s="120">
        <f t="shared" si="877"/>
        <v>30</v>
      </c>
      <c r="AY2566" s="120">
        <f t="shared" si="878"/>
        <v>1475.4</v>
      </c>
      <c r="BA2566" s="120"/>
      <c r="BB2566" s="120"/>
      <c r="BC2566" s="120"/>
      <c r="BD2566" s="120"/>
      <c r="BE2566" s="120"/>
      <c r="BF2566" s="120"/>
      <c r="BG2566" s="120"/>
      <c r="BH2566" s="120"/>
      <c r="BI2566" s="120"/>
    </row>
    <row r="2567" spans="3:61" s="29" customFormat="1" x14ac:dyDescent="0.25">
      <c r="C2567" s="892"/>
      <c r="D2567" s="892"/>
      <c r="E2567" s="892"/>
      <c r="F2567" s="893"/>
      <c r="G2567" s="893"/>
      <c r="H2567" s="893"/>
      <c r="I2567" s="893"/>
      <c r="J2567" s="893"/>
      <c r="AK2567" s="120" t="s">
        <v>1681</v>
      </c>
      <c r="AL2567" s="120">
        <f>AO2565</f>
        <v>972.6400000000001</v>
      </c>
      <c r="AM2567" s="608" t="s">
        <v>2142</v>
      </c>
      <c r="AN2567" s="608">
        <f>(AL2567*100)/AL2574</f>
        <v>18.883145188726939</v>
      </c>
      <c r="AQ2567" s="120" t="s">
        <v>337</v>
      </c>
      <c r="AR2567" s="120">
        <f>SUM(AR2560:AR2566)</f>
        <v>397.29</v>
      </c>
      <c r="AS2567" s="120"/>
      <c r="AT2567" s="120">
        <f>SUM(AT2560:AT2566)</f>
        <v>74</v>
      </c>
      <c r="AU2567" s="120">
        <f>SUM(AU2560:AU2566)</f>
        <v>3976.82</v>
      </c>
      <c r="AV2567" s="120"/>
      <c r="AW2567" s="120"/>
      <c r="AX2567" s="120"/>
      <c r="AY2567" s="120">
        <f>SUM(AY2560:AY2566)</f>
        <v>3994.76</v>
      </c>
      <c r="BA2567" s="120" t="s">
        <v>337</v>
      </c>
      <c r="BB2567" s="120">
        <f>SUM(BB2560:BB2566)</f>
        <v>118.56</v>
      </c>
      <c r="BC2567" s="120"/>
      <c r="BD2567" s="120">
        <f>SUM(BD2560:BD2566)</f>
        <v>125</v>
      </c>
      <c r="BE2567" s="120">
        <f>SUM(BE2560:BE2566)</f>
        <v>2404.4</v>
      </c>
      <c r="BF2567" s="120"/>
      <c r="BG2567" s="120"/>
      <c r="BH2567" s="120"/>
      <c r="BI2567" s="120">
        <f>SUM(BI2560:BI2566)</f>
        <v>3038.53</v>
      </c>
    </row>
    <row r="2568" spans="3:61" s="29" customFormat="1" x14ac:dyDescent="0.25">
      <c r="C2568" s="892"/>
      <c r="D2568" s="892"/>
      <c r="E2568" s="892"/>
      <c r="F2568" s="893"/>
      <c r="G2568" s="893"/>
      <c r="H2568" s="893"/>
      <c r="I2568" s="893"/>
      <c r="J2568" s="893"/>
      <c r="Q2568" s="120" t="s">
        <v>1681</v>
      </c>
      <c r="R2568" s="120">
        <f>U2566</f>
        <v>3853.0323984875517</v>
      </c>
      <c r="S2568" s="608" t="s">
        <v>2142</v>
      </c>
      <c r="T2568" s="608">
        <f>(R2568*100)/R2575</f>
        <v>38.042786989665295</v>
      </c>
      <c r="AA2568" s="120" t="s">
        <v>1681</v>
      </c>
      <c r="AB2568" s="120">
        <f>AE2566</f>
        <v>7702.8523984875519</v>
      </c>
      <c r="AC2568" s="608" t="s">
        <v>2142</v>
      </c>
      <c r="AD2568" s="608">
        <f>(AB2568*100)/AB2575</f>
        <v>45.903199293481151</v>
      </c>
      <c r="AK2568" s="120" t="s">
        <v>2326</v>
      </c>
      <c r="AL2568" s="120">
        <f>$AK$26</f>
        <v>1490.4701889752762</v>
      </c>
    </row>
    <row r="2569" spans="3:61" s="29" customFormat="1" x14ac:dyDescent="0.25">
      <c r="C2569" s="892" t="s">
        <v>5</v>
      </c>
      <c r="D2569" s="892"/>
      <c r="E2569" s="892"/>
      <c r="F2569" s="893" t="s">
        <v>238</v>
      </c>
      <c r="G2569" s="893"/>
      <c r="H2569" s="893"/>
      <c r="I2569" s="893"/>
      <c r="J2569" s="893"/>
      <c r="Q2569" s="120" t="s">
        <v>2326</v>
      </c>
      <c r="R2569" s="120">
        <f>$AK$26</f>
        <v>1490.4701889752762</v>
      </c>
      <c r="AA2569" s="120" t="s">
        <v>2326</v>
      </c>
      <c r="AB2569" s="120">
        <f>$AK$26</f>
        <v>1490.4701889752762</v>
      </c>
      <c r="AK2569" s="120" t="s">
        <v>2325</v>
      </c>
      <c r="AL2569" s="120">
        <f>$AK$27</f>
        <v>75.599999999999994</v>
      </c>
      <c r="AU2569" s="120" t="s">
        <v>1681</v>
      </c>
      <c r="AV2569" s="120">
        <f>AY2567</f>
        <v>3994.76</v>
      </c>
      <c r="AW2569" s="608" t="s">
        <v>2142</v>
      </c>
      <c r="AX2569" s="608">
        <f>(AV2569*100)/AV2576</f>
        <v>38.510911156392787</v>
      </c>
      <c r="BE2569" s="120" t="s">
        <v>1681</v>
      </c>
      <c r="BF2569" s="120">
        <f>BI2567</f>
        <v>3038.53</v>
      </c>
      <c r="BG2569" s="608" t="s">
        <v>2142</v>
      </c>
      <c r="BH2569" s="608">
        <f>(BF2569*100)/BF2576</f>
        <v>34.84275142808319</v>
      </c>
    </row>
    <row r="2570" spans="3:61" s="29" customFormat="1" x14ac:dyDescent="0.25">
      <c r="C2570" s="892"/>
      <c r="D2570" s="892"/>
      <c r="E2570" s="892"/>
      <c r="F2570" s="893"/>
      <c r="G2570" s="893"/>
      <c r="H2570" s="893"/>
      <c r="I2570" s="893"/>
      <c r="J2570" s="893"/>
      <c r="Q2570" s="120" t="s">
        <v>2325</v>
      </c>
      <c r="R2570" s="120">
        <f>$AK$27</f>
        <v>75.599999999999994</v>
      </c>
      <c r="AA2570" s="120" t="s">
        <v>2325</v>
      </c>
      <c r="AB2570" s="120">
        <f>$AK$27</f>
        <v>75.599999999999994</v>
      </c>
      <c r="AK2570" s="120" t="s">
        <v>1684</v>
      </c>
      <c r="AL2570" s="120">
        <f>$AK$29</f>
        <v>442.09817078037929</v>
      </c>
      <c r="AU2570" s="120" t="s">
        <v>2326</v>
      </c>
      <c r="AV2570" s="120">
        <f>$AK$26</f>
        <v>1490.4701889752762</v>
      </c>
      <c r="BE2570" s="120" t="s">
        <v>1682</v>
      </c>
      <c r="BF2570" s="120">
        <f>$AK$26</f>
        <v>1490.4701889752762</v>
      </c>
    </row>
    <row r="2571" spans="3:61" s="29" customFormat="1" x14ac:dyDescent="0.25">
      <c r="C2571" s="892"/>
      <c r="D2571" s="892"/>
      <c r="E2571" s="892"/>
      <c r="F2571" s="893"/>
      <c r="G2571" s="893"/>
      <c r="H2571" s="893"/>
      <c r="I2571" s="893"/>
      <c r="J2571" s="893"/>
      <c r="Q2571" s="120" t="s">
        <v>1684</v>
      </c>
      <c r="R2571" s="120">
        <f>$AK$29</f>
        <v>442.09817078037929</v>
      </c>
      <c r="AA2571" s="120" t="s">
        <v>1684</v>
      </c>
      <c r="AB2571" s="120">
        <f>$AK$29</f>
        <v>442.09817078037929</v>
      </c>
      <c r="AK2571" s="120" t="s">
        <v>1685</v>
      </c>
      <c r="AL2571" s="120">
        <v>0.6</v>
      </c>
      <c r="AU2571" s="120" t="s">
        <v>2325</v>
      </c>
      <c r="AV2571" s="120">
        <f>$AK$27</f>
        <v>75.599999999999994</v>
      </c>
      <c r="BE2571" s="120" t="s">
        <v>1683</v>
      </c>
      <c r="BF2571" s="120">
        <f>$AK$27</f>
        <v>75.599999999999994</v>
      </c>
    </row>
    <row r="2572" spans="3:61" s="29" customFormat="1" x14ac:dyDescent="0.25">
      <c r="C2572" s="892" t="s">
        <v>6</v>
      </c>
      <c r="D2572" s="892"/>
      <c r="E2572" s="892"/>
      <c r="F2572" s="893" t="s">
        <v>9</v>
      </c>
      <c r="G2572" s="893"/>
      <c r="H2572" s="893"/>
      <c r="I2572" s="893"/>
      <c r="J2572" s="893"/>
      <c r="Q2572" s="120" t="s">
        <v>1685</v>
      </c>
      <c r="R2572" s="120">
        <v>0.6</v>
      </c>
      <c r="AA2572" s="120" t="s">
        <v>1685</v>
      </c>
      <c r="AB2572" s="120">
        <v>0.6</v>
      </c>
      <c r="AK2572" s="120" t="s">
        <v>1708</v>
      </c>
      <c r="AL2572" s="120">
        <f>(SUM(AL2567:AL2570)*AL2571)+SUM(AL2567:AL2570)</f>
        <v>4769.2933756090488</v>
      </c>
      <c r="AU2572" s="120" t="s">
        <v>1684</v>
      </c>
      <c r="AV2572" s="120">
        <f>$AK$29</f>
        <v>442.09817078037929</v>
      </c>
      <c r="BE2572" s="120" t="s">
        <v>1684</v>
      </c>
      <c r="BF2572" s="120">
        <f>$AK$29</f>
        <v>442.09817078037929</v>
      </c>
    </row>
    <row r="2573" spans="3:61" s="29" customFormat="1" x14ac:dyDescent="0.25">
      <c r="C2573" s="892"/>
      <c r="D2573" s="892"/>
      <c r="E2573" s="892"/>
      <c r="F2573" s="893"/>
      <c r="G2573" s="893"/>
      <c r="H2573" s="893"/>
      <c r="I2573" s="893"/>
      <c r="J2573" s="893"/>
      <c r="Q2573" s="120" t="s">
        <v>1708</v>
      </c>
      <c r="R2573" s="120">
        <f>(SUM(R2568:R2571)*R2572)+SUM(R2568:R2571)</f>
        <v>9377.9212131891327</v>
      </c>
      <c r="AA2573" s="120" t="s">
        <v>1708</v>
      </c>
      <c r="AB2573" s="120">
        <f>(SUM(AB2568:AB2571)*AB2572)+SUM(AB2568:AB2571)</f>
        <v>15537.63321318913</v>
      </c>
      <c r="AK2573" s="120" t="s">
        <v>2130</v>
      </c>
      <c r="AL2573" s="120">
        <f>AL2572*0.08</f>
        <v>381.54347004872392</v>
      </c>
      <c r="AU2573" s="120" t="s">
        <v>1685</v>
      </c>
      <c r="AV2573" s="120">
        <v>0.6</v>
      </c>
      <c r="BE2573" s="120" t="s">
        <v>1780</v>
      </c>
      <c r="BF2573" s="120">
        <v>0.6</v>
      </c>
    </row>
    <row r="2574" spans="3:61" s="29" customFormat="1" x14ac:dyDescent="0.25">
      <c r="C2574" s="892"/>
      <c r="D2574" s="892"/>
      <c r="E2574" s="892"/>
      <c r="F2574" s="893"/>
      <c r="G2574" s="893"/>
      <c r="H2574" s="893"/>
      <c r="I2574" s="893"/>
      <c r="J2574" s="893"/>
      <c r="Q2574" s="120" t="s">
        <v>2130</v>
      </c>
      <c r="R2574" s="120">
        <f>R2573*0.08</f>
        <v>750.23369705513062</v>
      </c>
      <c r="AA2574" s="120" t="s">
        <v>2130</v>
      </c>
      <c r="AB2574" s="120">
        <f>AB2573*0.08</f>
        <v>1243.0106570551304</v>
      </c>
      <c r="AK2574" s="120" t="s">
        <v>1686</v>
      </c>
      <c r="AL2574" s="120">
        <f>SUM(AL2572+AL2573)</f>
        <v>5150.8368456577728</v>
      </c>
      <c r="AU2574" s="120" t="s">
        <v>1708</v>
      </c>
      <c r="AV2574" s="120">
        <f>(SUM(AV2569:AV2572)*AV2573)+SUM(AV2569:AV2572)</f>
        <v>9604.6853756090495</v>
      </c>
      <c r="BE2574" s="120" t="s">
        <v>1708</v>
      </c>
      <c r="BF2574" s="120">
        <f>(SUM(BF2569:BF2572)*BF2573)+SUM(BF2569:BF2572)</f>
        <v>8074.7173756090506</v>
      </c>
    </row>
    <row r="2575" spans="3:61" s="29" customFormat="1" x14ac:dyDescent="0.25">
      <c r="C2575" s="892" t="s">
        <v>7</v>
      </c>
      <c r="D2575" s="892"/>
      <c r="E2575" s="892"/>
      <c r="F2575" s="893" t="s">
        <v>239</v>
      </c>
      <c r="G2575" s="893"/>
      <c r="H2575" s="893"/>
      <c r="I2575" s="893"/>
      <c r="J2575" s="893"/>
      <c r="Q2575" s="120" t="s">
        <v>1686</v>
      </c>
      <c r="R2575" s="120">
        <f>SUM(R2573+R2574)</f>
        <v>10128.154910244264</v>
      </c>
      <c r="AA2575" s="120" t="s">
        <v>1686</v>
      </c>
      <c r="AB2575" s="120">
        <f>SUM(AB2573+AB2574)</f>
        <v>16780.643870244261</v>
      </c>
      <c r="AU2575" s="120" t="s">
        <v>2130</v>
      </c>
      <c r="AV2575" s="120">
        <f>AV2574*0.08</f>
        <v>768.37483004872399</v>
      </c>
      <c r="BE2575" s="120" t="s">
        <v>2130</v>
      </c>
      <c r="BF2575" s="120">
        <f>BF2574*0.08</f>
        <v>645.97739004872403</v>
      </c>
    </row>
    <row r="2576" spans="3:61" s="29" customFormat="1" x14ac:dyDescent="0.25">
      <c r="C2576" s="892"/>
      <c r="D2576" s="892"/>
      <c r="E2576" s="892"/>
      <c r="F2576" s="893"/>
      <c r="G2576" s="893"/>
      <c r="H2576" s="893"/>
      <c r="I2576" s="893"/>
      <c r="J2576" s="893"/>
      <c r="AU2576" s="120" t="s">
        <v>1686</v>
      </c>
      <c r="AV2576" s="120">
        <f>SUM(AV2574+AV2575)</f>
        <v>10373.060205657774</v>
      </c>
      <c r="BE2576" s="120" t="s">
        <v>1686</v>
      </c>
      <c r="BF2576" s="120">
        <f>SUM(BF2574+BF2575)</f>
        <v>8720.694765657774</v>
      </c>
    </row>
    <row r="2577" spans="3:41" s="29" customFormat="1" x14ac:dyDescent="0.25">
      <c r="C2577" s="892"/>
      <c r="D2577" s="892"/>
      <c r="E2577" s="892"/>
      <c r="F2577" s="893"/>
      <c r="G2577" s="893"/>
      <c r="H2577" s="893"/>
      <c r="I2577" s="893"/>
      <c r="J2577" s="893"/>
    </row>
    <row r="2578" spans="3:41" s="29" customFormat="1" x14ac:dyDescent="0.25">
      <c r="C2578" s="106"/>
      <c r="D2578" s="106"/>
      <c r="E2578" s="106"/>
      <c r="F2578" s="107"/>
      <c r="G2578" s="107"/>
      <c r="H2578" s="107"/>
      <c r="I2578" s="107"/>
      <c r="J2578" s="107"/>
    </row>
    <row r="2579" spans="3:41" s="29" customFormat="1" x14ac:dyDescent="0.25">
      <c r="C2579" s="106"/>
      <c r="D2579" s="106"/>
      <c r="E2579" s="106"/>
      <c r="F2579" s="107"/>
      <c r="G2579" s="107"/>
      <c r="H2579" s="107"/>
      <c r="I2579" s="107"/>
      <c r="J2579" s="107"/>
    </row>
    <row r="2580" spans="3:41" s="29" customFormat="1" x14ac:dyDescent="0.25">
      <c r="C2580" s="890" t="s">
        <v>8</v>
      </c>
      <c r="D2580" s="890"/>
      <c r="E2580" s="890"/>
      <c r="F2580" s="890"/>
      <c r="G2580" s="890"/>
      <c r="H2580" s="890"/>
      <c r="I2580" s="890"/>
      <c r="J2580" s="890"/>
    </row>
    <row r="2581" spans="3:41" s="29" customFormat="1" x14ac:dyDescent="0.25">
      <c r="C2581" s="891" t="s">
        <v>0</v>
      </c>
      <c r="D2581" s="891"/>
      <c r="E2581" s="891"/>
      <c r="F2581" s="891" t="s">
        <v>1</v>
      </c>
      <c r="G2581" s="891"/>
      <c r="H2581" s="891"/>
      <c r="I2581" s="891"/>
      <c r="J2581" s="891"/>
      <c r="M2581" s="80" t="s">
        <v>336</v>
      </c>
      <c r="N2581" s="80" t="s">
        <v>174</v>
      </c>
      <c r="O2581" s="80" t="s">
        <v>248</v>
      </c>
      <c r="P2581" s="80" t="s">
        <v>176</v>
      </c>
      <c r="Q2581" s="80" t="s">
        <v>337</v>
      </c>
      <c r="R2581" s="299" t="s">
        <v>1641</v>
      </c>
      <c r="S2581" s="299" t="s">
        <v>1642</v>
      </c>
      <c r="T2581" s="299" t="s">
        <v>1643</v>
      </c>
      <c r="U2581" s="299" t="s">
        <v>1644</v>
      </c>
      <c r="W2581" s="484" t="s">
        <v>336</v>
      </c>
      <c r="X2581" s="484" t="s">
        <v>174</v>
      </c>
      <c r="Y2581" s="484" t="s">
        <v>248</v>
      </c>
      <c r="Z2581" s="484" t="s">
        <v>176</v>
      </c>
      <c r="AA2581" s="484" t="s">
        <v>337</v>
      </c>
      <c r="AB2581" s="484" t="s">
        <v>1641</v>
      </c>
      <c r="AC2581" s="484" t="s">
        <v>1642</v>
      </c>
      <c r="AD2581" s="484" t="s">
        <v>1643</v>
      </c>
      <c r="AE2581" s="484" t="s">
        <v>1644</v>
      </c>
      <c r="AG2581" s="1041" t="s">
        <v>1297</v>
      </c>
      <c r="AH2581" s="1042"/>
      <c r="AI2581" s="1042"/>
      <c r="AJ2581" s="1042"/>
      <c r="AK2581" s="1042"/>
      <c r="AL2581" s="1042"/>
      <c r="AM2581" s="1042"/>
      <c r="AN2581" s="1042"/>
      <c r="AO2581" s="1043"/>
    </row>
    <row r="2582" spans="3:41" s="29" customFormat="1" x14ac:dyDescent="0.25">
      <c r="C2582" s="892" t="s">
        <v>2</v>
      </c>
      <c r="D2582" s="892"/>
      <c r="E2582" s="892"/>
      <c r="F2582" s="893" t="s">
        <v>1293</v>
      </c>
      <c r="G2582" s="893"/>
      <c r="H2582" s="893"/>
      <c r="I2582" s="893"/>
      <c r="J2582" s="893"/>
      <c r="M2582" s="120" t="s">
        <v>344</v>
      </c>
      <c r="N2582" s="120">
        <f>E8</f>
        <v>2099.0723984875517</v>
      </c>
      <c r="O2582" s="120" t="str">
        <f>D8</f>
        <v>g</v>
      </c>
      <c r="P2582" s="120">
        <v>30</v>
      </c>
      <c r="Q2582" s="120">
        <f>N2582</f>
        <v>2099.0723984875517</v>
      </c>
      <c r="R2582" s="120">
        <v>0</v>
      </c>
      <c r="S2582" s="120">
        <f>P2582*R2582</f>
        <v>0</v>
      </c>
      <c r="T2582" s="120">
        <f>P2582-S2582</f>
        <v>30</v>
      </c>
      <c r="U2582" s="120">
        <f>Q2582+((S2582*Q2582)/P2582)</f>
        <v>2099.0723984875517</v>
      </c>
      <c r="W2582" s="120" t="s">
        <v>344</v>
      </c>
      <c r="X2582" s="154">
        <f>F8</f>
        <v>2073.8723984875514</v>
      </c>
      <c r="Y2582" s="120" t="str">
        <f>D8</f>
        <v>g</v>
      </c>
      <c r="Z2582" s="120">
        <v>30</v>
      </c>
      <c r="AA2582" s="120">
        <f>X2582</f>
        <v>2073.8723984875514</v>
      </c>
      <c r="AB2582" s="120">
        <v>0</v>
      </c>
      <c r="AC2582" s="120">
        <f>Z2582*AB2582</f>
        <v>0</v>
      </c>
      <c r="AD2582" s="120">
        <f>Z2582-AC2582</f>
        <v>30</v>
      </c>
      <c r="AE2582" s="120">
        <f>AA2582+((AC2582*AA2582)/Z2582)</f>
        <v>2073.8723984875514</v>
      </c>
      <c r="AG2582" s="80" t="s">
        <v>336</v>
      </c>
      <c r="AH2582" s="80" t="s">
        <v>174</v>
      </c>
      <c r="AI2582" s="80" t="s">
        <v>248</v>
      </c>
      <c r="AJ2582" s="80" t="s">
        <v>176</v>
      </c>
      <c r="AK2582" s="80" t="s">
        <v>337</v>
      </c>
      <c r="AL2582" s="299" t="s">
        <v>1641</v>
      </c>
      <c r="AM2582" s="299" t="s">
        <v>1642</v>
      </c>
      <c r="AN2582" s="299" t="s">
        <v>1643</v>
      </c>
      <c r="AO2582" s="299" t="s">
        <v>1644</v>
      </c>
    </row>
    <row r="2583" spans="3:41" s="29" customFormat="1" x14ac:dyDescent="0.25">
      <c r="C2583" s="892"/>
      <c r="D2583" s="892"/>
      <c r="E2583" s="892"/>
      <c r="F2583" s="893"/>
      <c r="G2583" s="893"/>
      <c r="H2583" s="893"/>
      <c r="I2583" s="893"/>
      <c r="J2583" s="893"/>
      <c r="M2583" s="120" t="s">
        <v>1297</v>
      </c>
      <c r="N2583" s="120">
        <f>AO2590</f>
        <v>541.80790000000002</v>
      </c>
      <c r="O2583" s="120" t="s">
        <v>1388</v>
      </c>
      <c r="P2583" s="120">
        <v>66</v>
      </c>
      <c r="Q2583" s="120">
        <f>N2583</f>
        <v>541.80790000000002</v>
      </c>
      <c r="R2583" s="120">
        <v>0</v>
      </c>
      <c r="S2583" s="120">
        <f t="shared" ref="S2583:S2588" si="882">P2583*R2583</f>
        <v>0</v>
      </c>
      <c r="T2583" s="120">
        <f t="shared" ref="T2583:T2588" si="883">P2583-S2583</f>
        <v>66</v>
      </c>
      <c r="U2583" s="120">
        <f t="shared" ref="U2583:U2588" si="884">Q2583+((S2583*Q2583)/P2583)</f>
        <v>541.80790000000002</v>
      </c>
      <c r="W2583" s="120" t="s">
        <v>1297</v>
      </c>
      <c r="X2583" s="120">
        <f>AO2590</f>
        <v>541.80790000000002</v>
      </c>
      <c r="Y2583" s="120" t="s">
        <v>1388</v>
      </c>
      <c r="Z2583" s="120">
        <v>66</v>
      </c>
      <c r="AA2583" s="120">
        <f>X2583</f>
        <v>541.80790000000002</v>
      </c>
      <c r="AB2583" s="120">
        <v>0</v>
      </c>
      <c r="AC2583" s="120">
        <f t="shared" ref="AC2583:AC2585" si="885">Z2583*AB2583</f>
        <v>0</v>
      </c>
      <c r="AD2583" s="120">
        <f t="shared" ref="AD2583:AD2585" si="886">Z2583-AC2583</f>
        <v>66</v>
      </c>
      <c r="AE2583" s="120">
        <f t="shared" ref="AE2583:AE2585" si="887">AA2583+((AC2583*AA2583)/Z2583)</f>
        <v>541.80790000000002</v>
      </c>
      <c r="AG2583" s="120" t="s">
        <v>340</v>
      </c>
      <c r="AH2583" s="120">
        <f>Y20</f>
        <v>0.64</v>
      </c>
      <c r="AI2583" s="120" t="str">
        <f>X20</f>
        <v>g</v>
      </c>
      <c r="AJ2583" s="120">
        <v>1</v>
      </c>
      <c r="AK2583" s="120">
        <f>AH2583*AJ2583</f>
        <v>0.64</v>
      </c>
      <c r="AL2583" s="120">
        <v>0</v>
      </c>
      <c r="AM2583" s="120">
        <f t="shared" ref="AM2583:AM2588" si="888">AJ2583*AL2583</f>
        <v>0</v>
      </c>
      <c r="AN2583" s="120">
        <f t="shared" ref="AN2583:AN2588" si="889">AJ2583-AM2583</f>
        <v>1</v>
      </c>
      <c r="AO2583" s="120">
        <f t="shared" ref="AO2583:AO2588" si="890">AK2583+((AM2583*AK2583)/AJ2583)</f>
        <v>0.64</v>
      </c>
    </row>
    <row r="2584" spans="3:41" s="29" customFormat="1" x14ac:dyDescent="0.25">
      <c r="C2584" s="892"/>
      <c r="D2584" s="892"/>
      <c r="E2584" s="892"/>
      <c r="F2584" s="893"/>
      <c r="G2584" s="893"/>
      <c r="H2584" s="893"/>
      <c r="I2584" s="893"/>
      <c r="J2584" s="893"/>
      <c r="M2584" s="120" t="s">
        <v>436</v>
      </c>
      <c r="N2584" s="120">
        <f>P31</f>
        <v>2.6</v>
      </c>
      <c r="O2584" s="120" t="str">
        <f>O31</f>
        <v>g</v>
      </c>
      <c r="P2584" s="120">
        <v>20</v>
      </c>
      <c r="Q2584" s="120">
        <f>N2584*P2584</f>
        <v>52</v>
      </c>
      <c r="R2584" s="120">
        <f>AJ19</f>
        <v>0.37</v>
      </c>
      <c r="S2584" s="120">
        <f t="shared" si="882"/>
        <v>7.4</v>
      </c>
      <c r="T2584" s="120">
        <f t="shared" si="883"/>
        <v>12.6</v>
      </c>
      <c r="U2584" s="120">
        <f t="shared" si="884"/>
        <v>71.240000000000009</v>
      </c>
      <c r="W2584" s="120" t="s">
        <v>436</v>
      </c>
      <c r="X2584" s="154">
        <f>P31</f>
        <v>2.6</v>
      </c>
      <c r="Y2584" s="120" t="str">
        <f>O31</f>
        <v>g</v>
      </c>
      <c r="Z2584" s="120">
        <v>20</v>
      </c>
      <c r="AA2584" s="120">
        <f>X2584*Z2584</f>
        <v>52</v>
      </c>
      <c r="AB2584" s="120">
        <f>AJ19</f>
        <v>0.37</v>
      </c>
      <c r="AC2584" s="120">
        <f t="shared" si="885"/>
        <v>7.4</v>
      </c>
      <c r="AD2584" s="120">
        <f t="shared" si="886"/>
        <v>12.6</v>
      </c>
      <c r="AE2584" s="120">
        <f t="shared" si="887"/>
        <v>71.240000000000009</v>
      </c>
      <c r="AG2584" s="120" t="s">
        <v>346</v>
      </c>
      <c r="AH2584" s="120">
        <f>P3</f>
        <v>7</v>
      </c>
      <c r="AI2584" s="120" t="str">
        <f>O3</f>
        <v>g</v>
      </c>
      <c r="AJ2584" s="120">
        <v>3</v>
      </c>
      <c r="AK2584" s="120">
        <f>AJ2</f>
        <v>0.23</v>
      </c>
      <c r="AL2584" s="120">
        <f>AJ2</f>
        <v>0.23</v>
      </c>
      <c r="AM2584" s="120">
        <f t="shared" si="888"/>
        <v>0.69000000000000006</v>
      </c>
      <c r="AN2584" s="120">
        <f t="shared" si="889"/>
        <v>2.31</v>
      </c>
      <c r="AO2584" s="120">
        <f t="shared" si="890"/>
        <v>0.28290000000000004</v>
      </c>
    </row>
    <row r="2585" spans="3:41" s="29" customFormat="1" x14ac:dyDescent="0.25">
      <c r="C2585" s="891" t="s">
        <v>0</v>
      </c>
      <c r="D2585" s="891"/>
      <c r="E2585" s="891"/>
      <c r="F2585" s="891" t="s">
        <v>1</v>
      </c>
      <c r="G2585" s="891"/>
      <c r="H2585" s="891"/>
      <c r="I2585" s="891"/>
      <c r="J2585" s="891"/>
      <c r="M2585" s="120" t="s">
        <v>490</v>
      </c>
      <c r="N2585" s="120">
        <f>P6</f>
        <v>7.8</v>
      </c>
      <c r="O2585" s="120" t="str">
        <f>O6</f>
        <v>g</v>
      </c>
      <c r="P2585" s="120">
        <v>10</v>
      </c>
      <c r="Q2585" s="120">
        <f>N2585*P2585</f>
        <v>78</v>
      </c>
      <c r="R2585" s="120">
        <f>AJ4</f>
        <v>0.55000000000000004</v>
      </c>
      <c r="S2585" s="120">
        <f t="shared" si="882"/>
        <v>5.5</v>
      </c>
      <c r="T2585" s="120">
        <f t="shared" si="883"/>
        <v>4.5</v>
      </c>
      <c r="U2585" s="120">
        <f t="shared" si="884"/>
        <v>120.9</v>
      </c>
      <c r="W2585" s="120" t="s">
        <v>490</v>
      </c>
      <c r="X2585" s="154">
        <f>P6</f>
        <v>7.8</v>
      </c>
      <c r="Y2585" s="120" t="str">
        <f>O6</f>
        <v>g</v>
      </c>
      <c r="Z2585" s="120">
        <v>10</v>
      </c>
      <c r="AA2585" s="120">
        <f>X2585*Z2585</f>
        <v>78</v>
      </c>
      <c r="AB2585" s="120">
        <f>AJ4</f>
        <v>0.55000000000000004</v>
      </c>
      <c r="AC2585" s="120">
        <f t="shared" si="885"/>
        <v>5.5</v>
      </c>
      <c r="AD2585" s="120">
        <f t="shared" si="886"/>
        <v>4.5</v>
      </c>
      <c r="AE2585" s="120">
        <f t="shared" si="887"/>
        <v>120.9</v>
      </c>
      <c r="AG2585" s="120" t="s">
        <v>540</v>
      </c>
      <c r="AH2585" s="120">
        <f>P18</f>
        <v>5</v>
      </c>
      <c r="AI2585" s="120" t="str">
        <f>O18</f>
        <v>g</v>
      </c>
      <c r="AJ2585" s="120">
        <v>10</v>
      </c>
      <c r="AK2585" s="120">
        <f>AH2585*AJ2585</f>
        <v>50</v>
      </c>
      <c r="AL2585" s="120">
        <f>AJ11</f>
        <v>0.23</v>
      </c>
      <c r="AM2585" s="120">
        <f t="shared" si="888"/>
        <v>2.3000000000000003</v>
      </c>
      <c r="AN2585" s="120">
        <f t="shared" si="889"/>
        <v>7.6999999999999993</v>
      </c>
      <c r="AO2585" s="120">
        <f t="shared" si="890"/>
        <v>61.5</v>
      </c>
    </row>
    <row r="2586" spans="3:41" s="29" customFormat="1" x14ac:dyDescent="0.25">
      <c r="C2586" s="892" t="s">
        <v>3</v>
      </c>
      <c r="D2586" s="892"/>
      <c r="E2586" s="892"/>
      <c r="F2586" s="894" t="s">
        <v>1294</v>
      </c>
      <c r="G2586" s="893"/>
      <c r="H2586" s="893"/>
      <c r="I2586" s="893"/>
      <c r="J2586" s="893"/>
      <c r="M2586" s="120" t="s">
        <v>1298</v>
      </c>
      <c r="N2586" s="154">
        <f>S8</f>
        <v>59</v>
      </c>
      <c r="O2586" s="120" t="str">
        <f>R8</f>
        <v>g</v>
      </c>
      <c r="P2586" s="120">
        <v>20</v>
      </c>
      <c r="Q2586" s="120">
        <f>N2586*P2586</f>
        <v>1180</v>
      </c>
      <c r="R2586" s="120">
        <f>AN4</f>
        <v>0.41</v>
      </c>
      <c r="S2586" s="120">
        <f t="shared" si="882"/>
        <v>8.1999999999999993</v>
      </c>
      <c r="T2586" s="120">
        <f t="shared" si="883"/>
        <v>11.8</v>
      </c>
      <c r="U2586" s="120">
        <f t="shared" si="884"/>
        <v>1663.8</v>
      </c>
      <c r="W2586" s="120" t="s">
        <v>340</v>
      </c>
      <c r="X2586" s="154">
        <f>Y20</f>
        <v>0.64</v>
      </c>
      <c r="Y2586" s="120" t="str">
        <f>X20</f>
        <v>g</v>
      </c>
      <c r="Z2586" s="120">
        <v>2</v>
      </c>
      <c r="AA2586" s="120">
        <f>X2586*Z2586</f>
        <v>1.28</v>
      </c>
      <c r="AB2586" s="120">
        <v>0</v>
      </c>
      <c r="AC2586" s="120">
        <f t="shared" ref="AC2586:AC2587" si="891">Z2586*AB2586</f>
        <v>0</v>
      </c>
      <c r="AD2586" s="120">
        <f t="shared" ref="AD2586:AD2587" si="892">Z2586-AC2586</f>
        <v>2</v>
      </c>
      <c r="AE2586" s="120">
        <f t="shared" ref="AE2586:AE2587" si="893">AA2586+((AC2586*AA2586)/Z2586)</f>
        <v>1.28</v>
      </c>
      <c r="AG2586" s="120" t="s">
        <v>348</v>
      </c>
      <c r="AH2586" s="120">
        <f>V2</f>
        <v>13.11</v>
      </c>
      <c r="AI2586" s="120" t="str">
        <f>U2</f>
        <v>g</v>
      </c>
      <c r="AJ2586" s="120">
        <v>10</v>
      </c>
      <c r="AK2586" s="120">
        <f>AH2586*AJ2586</f>
        <v>131.1</v>
      </c>
      <c r="AL2586" s="120">
        <v>0</v>
      </c>
      <c r="AM2586" s="120">
        <f t="shared" si="888"/>
        <v>0</v>
      </c>
      <c r="AN2586" s="120">
        <f t="shared" si="889"/>
        <v>10</v>
      </c>
      <c r="AO2586" s="120">
        <f t="shared" si="890"/>
        <v>131.1</v>
      </c>
    </row>
    <row r="2587" spans="3:41" s="29" customFormat="1" x14ac:dyDescent="0.25">
      <c r="C2587" s="892"/>
      <c r="D2587" s="892"/>
      <c r="E2587" s="892"/>
      <c r="F2587" s="893"/>
      <c r="G2587" s="893"/>
      <c r="H2587" s="893"/>
      <c r="I2587" s="893"/>
      <c r="J2587" s="893"/>
      <c r="M2587" s="120" t="s">
        <v>340</v>
      </c>
      <c r="N2587" s="154">
        <f>Y20</f>
        <v>0.64</v>
      </c>
      <c r="O2587" s="120" t="str">
        <f>X20</f>
        <v>g</v>
      </c>
      <c r="P2587" s="120">
        <v>2</v>
      </c>
      <c r="Q2587" s="120">
        <f>N2587*P2587</f>
        <v>1.28</v>
      </c>
      <c r="R2587" s="120">
        <v>0</v>
      </c>
      <c r="S2587" s="120">
        <f t="shared" si="882"/>
        <v>0</v>
      </c>
      <c r="T2587" s="120">
        <f t="shared" si="883"/>
        <v>2</v>
      </c>
      <c r="U2587" s="120">
        <f t="shared" si="884"/>
        <v>1.28</v>
      </c>
      <c r="W2587" s="120" t="s">
        <v>433</v>
      </c>
      <c r="X2587" s="154">
        <f>Y18</f>
        <v>223.57</v>
      </c>
      <c r="Y2587" s="120" t="str">
        <f>X18</f>
        <v>g</v>
      </c>
      <c r="Z2587" s="120">
        <v>2</v>
      </c>
      <c r="AA2587" s="120">
        <f>X2587*Z2587</f>
        <v>447.14</v>
      </c>
      <c r="AB2587" s="120">
        <v>0</v>
      </c>
      <c r="AC2587" s="120">
        <f t="shared" si="891"/>
        <v>0</v>
      </c>
      <c r="AD2587" s="120">
        <f t="shared" si="892"/>
        <v>2</v>
      </c>
      <c r="AE2587" s="120">
        <f t="shared" si="893"/>
        <v>447.14</v>
      </c>
      <c r="AG2587" s="120" t="s">
        <v>430</v>
      </c>
      <c r="AH2587" s="154">
        <f>P10</f>
        <v>0.7</v>
      </c>
      <c r="AI2587" s="120" t="str">
        <f>O10</f>
        <v>g</v>
      </c>
      <c r="AJ2587" s="120">
        <v>5</v>
      </c>
      <c r="AK2587" s="120">
        <f>AH2587*AJ2587</f>
        <v>3.5</v>
      </c>
      <c r="AL2587" s="120">
        <f>AJ7</f>
        <v>0.15</v>
      </c>
      <c r="AM2587" s="120">
        <f t="shared" si="888"/>
        <v>0.75</v>
      </c>
      <c r="AN2587" s="120">
        <f t="shared" si="889"/>
        <v>4.25</v>
      </c>
      <c r="AO2587" s="120">
        <f t="shared" si="890"/>
        <v>4.0250000000000004</v>
      </c>
    </row>
    <row r="2588" spans="3:41" s="29" customFormat="1" x14ac:dyDescent="0.25">
      <c r="C2588" s="892"/>
      <c r="D2588" s="892"/>
      <c r="E2588" s="892"/>
      <c r="F2588" s="893"/>
      <c r="G2588" s="893"/>
      <c r="H2588" s="893"/>
      <c r="I2588" s="893"/>
      <c r="J2588" s="893"/>
      <c r="M2588" s="120" t="s">
        <v>433</v>
      </c>
      <c r="N2588" s="120">
        <f>Y18</f>
        <v>223.57</v>
      </c>
      <c r="O2588" s="120" t="str">
        <f>X18</f>
        <v>g</v>
      </c>
      <c r="P2588" s="120">
        <v>2</v>
      </c>
      <c r="Q2588" s="120">
        <f>N2588*P2588</f>
        <v>447.14</v>
      </c>
      <c r="R2588" s="120">
        <v>0</v>
      </c>
      <c r="S2588" s="120">
        <f t="shared" si="882"/>
        <v>0</v>
      </c>
      <c r="T2588" s="120">
        <f t="shared" si="883"/>
        <v>2</v>
      </c>
      <c r="U2588" s="120">
        <f t="shared" si="884"/>
        <v>447.14</v>
      </c>
      <c r="W2588" s="120"/>
      <c r="X2588" s="120"/>
      <c r="Y2588" s="120"/>
      <c r="Z2588" s="120"/>
      <c r="AA2588" s="120"/>
      <c r="AB2588" s="120"/>
      <c r="AC2588" s="120"/>
      <c r="AD2588" s="120"/>
      <c r="AE2588" s="120"/>
      <c r="AG2588" s="120" t="s">
        <v>434</v>
      </c>
      <c r="AH2588" s="154">
        <f>AE3</f>
        <v>49.18</v>
      </c>
      <c r="AI2588" s="120" t="str">
        <f>AD3</f>
        <v>mL</v>
      </c>
      <c r="AJ2588" s="120">
        <v>7</v>
      </c>
      <c r="AK2588" s="120">
        <f>AH2588*AJ2588</f>
        <v>344.26</v>
      </c>
      <c r="AL2588" s="120">
        <v>0</v>
      </c>
      <c r="AM2588" s="120">
        <f t="shared" si="888"/>
        <v>0</v>
      </c>
      <c r="AN2588" s="120">
        <f t="shared" si="889"/>
        <v>7</v>
      </c>
      <c r="AO2588" s="120">
        <f t="shared" si="890"/>
        <v>344.26</v>
      </c>
    </row>
    <row r="2589" spans="3:41" s="29" customFormat="1" x14ac:dyDescent="0.25">
      <c r="C2589" s="892" t="s">
        <v>4</v>
      </c>
      <c r="D2589" s="892"/>
      <c r="E2589" s="892"/>
      <c r="F2589" s="893" t="s">
        <v>15</v>
      </c>
      <c r="G2589" s="893"/>
      <c r="H2589" s="893"/>
      <c r="I2589" s="893"/>
      <c r="J2589" s="893"/>
      <c r="M2589" s="120"/>
      <c r="N2589" s="120"/>
      <c r="O2589" s="120"/>
      <c r="P2589" s="120"/>
      <c r="Q2589" s="120"/>
      <c r="R2589" s="120"/>
      <c r="S2589" s="120"/>
      <c r="T2589" s="120"/>
      <c r="U2589" s="120"/>
      <c r="W2589" s="120"/>
      <c r="X2589" s="120"/>
      <c r="Y2589" s="120"/>
      <c r="Z2589" s="120"/>
      <c r="AA2589" s="120"/>
      <c r="AB2589" s="120"/>
      <c r="AC2589" s="120"/>
      <c r="AD2589" s="120"/>
      <c r="AE2589" s="120"/>
      <c r="AG2589" s="120"/>
      <c r="AH2589" s="120"/>
      <c r="AI2589" s="120"/>
      <c r="AJ2589" s="120"/>
      <c r="AK2589" s="120"/>
      <c r="AL2589" s="120"/>
      <c r="AM2589" s="120"/>
      <c r="AN2589" s="120"/>
      <c r="AO2589" s="120"/>
    </row>
    <row r="2590" spans="3:41" s="29" customFormat="1" x14ac:dyDescent="0.25">
      <c r="C2590" s="892"/>
      <c r="D2590" s="892"/>
      <c r="E2590" s="892"/>
      <c r="F2590" s="893"/>
      <c r="G2590" s="893"/>
      <c r="H2590" s="893"/>
      <c r="I2590" s="893"/>
      <c r="J2590" s="893"/>
      <c r="M2590" s="120" t="s">
        <v>337</v>
      </c>
      <c r="N2590" s="120">
        <f>SUM(N2582:N2589)</f>
        <v>2934.4902984875521</v>
      </c>
      <c r="O2590" s="120"/>
      <c r="P2590" s="120">
        <f>SUM(P2582:P2589)</f>
        <v>150</v>
      </c>
      <c r="Q2590" s="120">
        <f>SUM(Q2582:Q2589)</f>
        <v>4399.300298487552</v>
      </c>
      <c r="R2590" s="120"/>
      <c r="S2590" s="120"/>
      <c r="T2590" s="120"/>
      <c r="U2590" s="120">
        <f>SUM(U2582:U2589)</f>
        <v>4945.2402984875516</v>
      </c>
      <c r="W2590" s="120" t="s">
        <v>337</v>
      </c>
      <c r="X2590" s="120">
        <f>SUM(X2582:X2589)</f>
        <v>2850.2902984875514</v>
      </c>
      <c r="Y2590" s="120"/>
      <c r="Z2590" s="120">
        <f>SUM(Z2582:Z2589)</f>
        <v>130</v>
      </c>
      <c r="AA2590" s="120">
        <f>SUM(AA2582:AA2589)</f>
        <v>3194.1002984875513</v>
      </c>
      <c r="AB2590" s="120"/>
      <c r="AC2590" s="120"/>
      <c r="AD2590" s="120"/>
      <c r="AE2590" s="120">
        <f>SUM(AE2582:AE2589)</f>
        <v>3256.2402984875512</v>
      </c>
      <c r="AG2590" s="120" t="s">
        <v>337</v>
      </c>
      <c r="AH2590" s="120">
        <f>SUM(AH2583:AH2589)</f>
        <v>75.63</v>
      </c>
      <c r="AI2590" s="120"/>
      <c r="AJ2590" s="120">
        <f>SUM(AJ2583:AJ2589)</f>
        <v>36</v>
      </c>
      <c r="AK2590" s="120">
        <f>SUM(AK2583:AK2589)</f>
        <v>529.73</v>
      </c>
      <c r="AL2590" s="120"/>
      <c r="AM2590" s="120"/>
      <c r="AN2590" s="120"/>
      <c r="AO2590" s="120">
        <f>SUM(AO2583:AO2589)</f>
        <v>541.80790000000002</v>
      </c>
    </row>
    <row r="2591" spans="3:41" s="29" customFormat="1" x14ac:dyDescent="0.25">
      <c r="C2591" s="892"/>
      <c r="D2591" s="892"/>
      <c r="E2591" s="892"/>
      <c r="F2591" s="893"/>
      <c r="G2591" s="893"/>
      <c r="H2591" s="893"/>
      <c r="I2591" s="893"/>
      <c r="J2591" s="893"/>
      <c r="AG2591" s="29" t="s">
        <v>1299</v>
      </c>
    </row>
    <row r="2592" spans="3:41" s="29" customFormat="1" x14ac:dyDescent="0.25">
      <c r="C2592" s="892" t="s">
        <v>5</v>
      </c>
      <c r="D2592" s="892"/>
      <c r="E2592" s="892"/>
      <c r="F2592" s="893" t="s">
        <v>1295</v>
      </c>
      <c r="G2592" s="893"/>
      <c r="H2592" s="893"/>
      <c r="I2592" s="893"/>
      <c r="J2592" s="893"/>
      <c r="Q2592" s="120" t="s">
        <v>1681</v>
      </c>
      <c r="R2592" s="120">
        <f>U2590</f>
        <v>4945.2402984875516</v>
      </c>
      <c r="S2592" s="608" t="s">
        <v>2142</v>
      </c>
      <c r="T2592" s="608">
        <f>(R2592*100)/R2599</f>
        <v>41.157208170799535</v>
      </c>
      <c r="AA2592" s="120" t="s">
        <v>1681</v>
      </c>
      <c r="AB2592" s="120">
        <f>AE2590</f>
        <v>3256.2402984875512</v>
      </c>
      <c r="AC2592" s="608" t="s">
        <v>2142</v>
      </c>
      <c r="AD2592" s="608">
        <f>(AB2592*100)/AB2599</f>
        <v>35.795061577017542</v>
      </c>
      <c r="AK2592" s="120" t="s">
        <v>1681</v>
      </c>
      <c r="AL2592" s="120">
        <f>AO2590</f>
        <v>541.80790000000002</v>
      </c>
      <c r="AM2592" s="608" t="s">
        <v>2142</v>
      </c>
      <c r="AN2592" s="608">
        <f>(AL2592*100)/AL2599</f>
        <v>12.296045393613612</v>
      </c>
    </row>
    <row r="2593" spans="3:38" s="29" customFormat="1" x14ac:dyDescent="0.25">
      <c r="C2593" s="892"/>
      <c r="D2593" s="892"/>
      <c r="E2593" s="892"/>
      <c r="F2593" s="893"/>
      <c r="G2593" s="893"/>
      <c r="H2593" s="893"/>
      <c r="I2593" s="893"/>
      <c r="J2593" s="893"/>
      <c r="Q2593" s="120" t="s">
        <v>2326</v>
      </c>
      <c r="R2593" s="120">
        <f>$AK$26</f>
        <v>1490.4701889752762</v>
      </c>
      <c r="AA2593" s="120" t="s">
        <v>2326</v>
      </c>
      <c r="AB2593" s="120">
        <f>$AK$26</f>
        <v>1490.4701889752762</v>
      </c>
      <c r="AK2593" s="120" t="s">
        <v>2326</v>
      </c>
      <c r="AL2593" s="120">
        <f>$AK$26</f>
        <v>1490.4701889752762</v>
      </c>
    </row>
    <row r="2594" spans="3:38" s="29" customFormat="1" x14ac:dyDescent="0.25">
      <c r="C2594" s="892"/>
      <c r="D2594" s="892"/>
      <c r="E2594" s="892"/>
      <c r="F2594" s="893"/>
      <c r="G2594" s="893"/>
      <c r="H2594" s="893"/>
      <c r="I2594" s="893"/>
      <c r="J2594" s="893"/>
      <c r="Q2594" s="120" t="s">
        <v>2325</v>
      </c>
      <c r="R2594" s="120">
        <f>$AK$27</f>
        <v>75.599999999999994</v>
      </c>
      <c r="AA2594" s="120" t="s">
        <v>2325</v>
      </c>
      <c r="AB2594" s="120">
        <f>$AK$27</f>
        <v>75.599999999999994</v>
      </c>
      <c r="AK2594" s="120" t="s">
        <v>2325</v>
      </c>
      <c r="AL2594" s="120">
        <f>$AK$27</f>
        <v>75.599999999999994</v>
      </c>
    </row>
    <row r="2595" spans="3:38" s="29" customFormat="1" x14ac:dyDescent="0.25">
      <c r="C2595" s="892" t="s">
        <v>6</v>
      </c>
      <c r="D2595" s="892"/>
      <c r="E2595" s="892"/>
      <c r="F2595" s="893" t="s">
        <v>9</v>
      </c>
      <c r="G2595" s="893"/>
      <c r="H2595" s="893"/>
      <c r="I2595" s="893"/>
      <c r="J2595" s="893"/>
      <c r="Q2595" s="120" t="s">
        <v>1684</v>
      </c>
      <c r="R2595" s="120">
        <f>$AK$29</f>
        <v>442.09817078037929</v>
      </c>
      <c r="AA2595" s="120" t="s">
        <v>1684</v>
      </c>
      <c r="AB2595" s="120">
        <f>$AK$29</f>
        <v>442.09817078037929</v>
      </c>
      <c r="AK2595" s="120" t="s">
        <v>1684</v>
      </c>
      <c r="AL2595" s="120">
        <f>$AK$29</f>
        <v>442.09817078037929</v>
      </c>
    </row>
    <row r="2596" spans="3:38" s="29" customFormat="1" x14ac:dyDescent="0.25">
      <c r="C2596" s="892"/>
      <c r="D2596" s="892"/>
      <c r="E2596" s="892"/>
      <c r="F2596" s="893"/>
      <c r="G2596" s="893"/>
      <c r="H2596" s="893"/>
      <c r="I2596" s="893"/>
      <c r="J2596" s="893"/>
      <c r="Q2596" s="120" t="s">
        <v>1685</v>
      </c>
      <c r="R2596" s="120">
        <v>0.6</v>
      </c>
      <c r="AA2596" s="120" t="s">
        <v>1685</v>
      </c>
      <c r="AB2596" s="120">
        <v>0.6</v>
      </c>
      <c r="AK2596" s="120" t="s">
        <v>1685</v>
      </c>
      <c r="AL2596" s="120">
        <v>0.6</v>
      </c>
    </row>
    <row r="2597" spans="3:38" s="29" customFormat="1" x14ac:dyDescent="0.25">
      <c r="C2597" s="892"/>
      <c r="D2597" s="892"/>
      <c r="E2597" s="892"/>
      <c r="F2597" s="893"/>
      <c r="G2597" s="893"/>
      <c r="H2597" s="893"/>
      <c r="I2597" s="893"/>
      <c r="J2597" s="893"/>
      <c r="Q2597" s="120" t="s">
        <v>1708</v>
      </c>
      <c r="R2597" s="120">
        <f>(SUM(R2592:R2595)*R2596)+SUM(R2592:R2595)</f>
        <v>11125.45385318913</v>
      </c>
      <c r="AA2597" s="120" t="s">
        <v>1708</v>
      </c>
      <c r="AB2597" s="120">
        <f>(SUM(AB2592:AB2595)*AB2596)+SUM(AB2592:AB2595)</f>
        <v>8423.0538531891325</v>
      </c>
      <c r="AK2597" s="120" t="s">
        <v>1708</v>
      </c>
      <c r="AL2597" s="120">
        <f>(SUM(AL2592:AL2595)*AL2596)+SUM(AL2592:AL2595)</f>
        <v>4079.9620156090486</v>
      </c>
    </row>
    <row r="2598" spans="3:38" s="29" customFormat="1" x14ac:dyDescent="0.25">
      <c r="C2598" s="892" t="s">
        <v>7</v>
      </c>
      <c r="D2598" s="892"/>
      <c r="E2598" s="892"/>
      <c r="F2598" s="893" t="s">
        <v>1296</v>
      </c>
      <c r="G2598" s="893"/>
      <c r="H2598" s="893"/>
      <c r="I2598" s="893"/>
      <c r="J2598" s="893"/>
      <c r="Q2598" s="120" t="s">
        <v>2130</v>
      </c>
      <c r="R2598" s="120">
        <f>R2597*0.08</f>
        <v>890.03630825513039</v>
      </c>
      <c r="AA2598" s="120" t="s">
        <v>2130</v>
      </c>
      <c r="AB2598" s="120">
        <f>AB2597*0.08</f>
        <v>673.84430825513061</v>
      </c>
      <c r="AK2598" s="120" t="s">
        <v>2130</v>
      </c>
      <c r="AL2598" s="120">
        <f>AL2597*0.08</f>
        <v>326.39696124872393</v>
      </c>
    </row>
    <row r="2599" spans="3:38" s="29" customFormat="1" x14ac:dyDescent="0.25">
      <c r="C2599" s="892"/>
      <c r="D2599" s="892"/>
      <c r="E2599" s="892"/>
      <c r="F2599" s="893"/>
      <c r="G2599" s="893"/>
      <c r="H2599" s="893"/>
      <c r="I2599" s="893"/>
      <c r="J2599" s="893"/>
      <c r="Q2599" s="120" t="s">
        <v>1686</v>
      </c>
      <c r="R2599" s="120">
        <f>SUM(R2597+R2598)</f>
        <v>12015.490161444261</v>
      </c>
      <c r="AA2599" s="120" t="s">
        <v>1686</v>
      </c>
      <c r="AB2599" s="120">
        <f>SUM(AB2597+AB2598)</f>
        <v>9096.8981614442637</v>
      </c>
      <c r="AK2599" s="120" t="s">
        <v>1686</v>
      </c>
      <c r="AL2599" s="120">
        <f>SUM(AL2597+AL2598)</f>
        <v>4406.3589768577722</v>
      </c>
    </row>
    <row r="2600" spans="3:38" s="29" customFormat="1" x14ac:dyDescent="0.25">
      <c r="C2600" s="892"/>
      <c r="D2600" s="892"/>
      <c r="E2600" s="892"/>
      <c r="F2600" s="893"/>
      <c r="G2600" s="893"/>
      <c r="H2600" s="893"/>
      <c r="I2600" s="893"/>
      <c r="J2600" s="893"/>
    </row>
    <row r="2601" spans="3:38" s="29" customFormat="1" x14ac:dyDescent="0.25"/>
    <row r="2602" spans="3:38" s="29" customFormat="1" x14ac:dyDescent="0.25"/>
    <row r="2603" spans="3:38" s="29" customFormat="1" x14ac:dyDescent="0.25">
      <c r="C2603" s="890" t="s">
        <v>8</v>
      </c>
      <c r="D2603" s="890"/>
      <c r="E2603" s="890"/>
      <c r="F2603" s="890"/>
      <c r="G2603" s="890"/>
      <c r="H2603" s="890"/>
      <c r="I2603" s="890"/>
      <c r="J2603" s="890"/>
    </row>
    <row r="2604" spans="3:38" s="29" customFormat="1" x14ac:dyDescent="0.25">
      <c r="C2604" s="891" t="s">
        <v>0</v>
      </c>
      <c r="D2604" s="891"/>
      <c r="E2604" s="891"/>
      <c r="F2604" s="891" t="s">
        <v>1</v>
      </c>
      <c r="G2604" s="891"/>
      <c r="H2604" s="891"/>
      <c r="I2604" s="891"/>
      <c r="J2604" s="891"/>
    </row>
    <row r="2605" spans="3:38" s="29" customFormat="1" x14ac:dyDescent="0.25">
      <c r="C2605" s="892" t="s">
        <v>2</v>
      </c>
      <c r="D2605" s="892"/>
      <c r="E2605" s="892"/>
      <c r="F2605" s="893" t="s">
        <v>1332</v>
      </c>
      <c r="G2605" s="893"/>
      <c r="H2605" s="893"/>
      <c r="I2605" s="893"/>
      <c r="J2605" s="893"/>
      <c r="M2605" s="80" t="s">
        <v>336</v>
      </c>
      <c r="N2605" s="80" t="s">
        <v>174</v>
      </c>
      <c r="O2605" s="80" t="s">
        <v>248</v>
      </c>
      <c r="P2605" s="80" t="s">
        <v>176</v>
      </c>
      <c r="Q2605" s="80" t="s">
        <v>337</v>
      </c>
      <c r="R2605" s="299" t="s">
        <v>1641</v>
      </c>
      <c r="S2605" s="299" t="s">
        <v>1642</v>
      </c>
      <c r="T2605" s="299" t="s">
        <v>1643</v>
      </c>
      <c r="U2605" s="299" t="s">
        <v>1644</v>
      </c>
      <c r="W2605" s="484" t="s">
        <v>336</v>
      </c>
      <c r="X2605" s="484" t="s">
        <v>174</v>
      </c>
      <c r="Y2605" s="484" t="s">
        <v>248</v>
      </c>
      <c r="Z2605" s="484" t="s">
        <v>176</v>
      </c>
      <c r="AA2605" s="484" t="s">
        <v>337</v>
      </c>
      <c r="AB2605" s="484" t="s">
        <v>1641</v>
      </c>
      <c r="AC2605" s="484" t="s">
        <v>1642</v>
      </c>
      <c r="AD2605" s="484" t="s">
        <v>1643</v>
      </c>
      <c r="AE2605" s="484" t="s">
        <v>1644</v>
      </c>
    </row>
    <row r="2606" spans="3:38" s="29" customFormat="1" x14ac:dyDescent="0.25">
      <c r="C2606" s="892"/>
      <c r="D2606" s="892"/>
      <c r="E2606" s="892"/>
      <c r="F2606" s="893"/>
      <c r="G2606" s="893"/>
      <c r="H2606" s="893"/>
      <c r="I2606" s="893"/>
      <c r="J2606" s="893"/>
      <c r="M2606" s="120" t="s">
        <v>344</v>
      </c>
      <c r="N2606" s="120">
        <f>E15</f>
        <v>2099.0723984875517</v>
      </c>
      <c r="O2606" s="120" t="str">
        <f>D15</f>
        <v>g</v>
      </c>
      <c r="P2606" s="120">
        <v>30</v>
      </c>
      <c r="Q2606" s="120">
        <f>N2606</f>
        <v>2099.0723984875517</v>
      </c>
      <c r="R2606" s="120">
        <v>0</v>
      </c>
      <c r="S2606" s="120">
        <f>P2606*R2606</f>
        <v>0</v>
      </c>
      <c r="T2606" s="120">
        <f>P2606-S2606</f>
        <v>30</v>
      </c>
      <c r="U2606" s="120">
        <f>Q2606+((S2606*Q2606)/P2606)</f>
        <v>2099.0723984875517</v>
      </c>
      <c r="W2606" s="120" t="s">
        <v>344</v>
      </c>
      <c r="X2606" s="154">
        <f>F15</f>
        <v>2073.8723984875514</v>
      </c>
      <c r="Y2606" s="120" t="str">
        <f>D15</f>
        <v>g</v>
      </c>
      <c r="Z2606" s="120">
        <v>30</v>
      </c>
      <c r="AA2606" s="120">
        <f>X2606</f>
        <v>2073.8723984875514</v>
      </c>
      <c r="AB2606" s="120">
        <v>0</v>
      </c>
      <c r="AC2606" s="120">
        <f t="shared" ref="AC2606:AC2613" si="894">Z2606*AB2606</f>
        <v>0</v>
      </c>
      <c r="AD2606" s="120">
        <f t="shared" ref="AD2606:AD2613" si="895">Z2606-AC2606</f>
        <v>30</v>
      </c>
      <c r="AE2606" s="120">
        <f t="shared" ref="AE2606:AE2613" si="896">AA2606+((AC2606*AA2606)/Z2606)</f>
        <v>2073.8723984875514</v>
      </c>
    </row>
    <row r="2607" spans="3:38" s="29" customFormat="1" x14ac:dyDescent="0.25">
      <c r="C2607" s="892"/>
      <c r="D2607" s="892"/>
      <c r="E2607" s="892"/>
      <c r="F2607" s="893"/>
      <c r="G2607" s="893"/>
      <c r="H2607" s="893"/>
      <c r="I2607" s="893"/>
      <c r="J2607" s="893"/>
      <c r="M2607" s="120" t="s">
        <v>485</v>
      </c>
      <c r="N2607" s="120">
        <f>V12</f>
        <v>25.98</v>
      </c>
      <c r="O2607" s="120" t="str">
        <f>U12</f>
        <v>g</v>
      </c>
      <c r="P2607" s="120">
        <v>20</v>
      </c>
      <c r="Q2607" s="120">
        <f t="shared" ref="Q2607" si="897">N2607*P2607</f>
        <v>519.6</v>
      </c>
      <c r="R2607" s="120">
        <v>0</v>
      </c>
      <c r="S2607" s="120">
        <f t="shared" ref="S2607" si="898">P2607*R2607</f>
        <v>0</v>
      </c>
      <c r="T2607" s="120">
        <f t="shared" ref="T2607" si="899">P2607-S2607</f>
        <v>20</v>
      </c>
      <c r="U2607" s="120">
        <f t="shared" ref="U2607" si="900">Q2607+((S2607*Q2607)/P2607)</f>
        <v>519.6</v>
      </c>
      <c r="W2607" s="120" t="s">
        <v>1337</v>
      </c>
      <c r="X2607" s="154">
        <f>V16</f>
        <v>54.41</v>
      </c>
      <c r="Y2607" s="120" t="str">
        <f>U16</f>
        <v>g</v>
      </c>
      <c r="Z2607" s="120">
        <v>25</v>
      </c>
      <c r="AA2607" s="120">
        <f t="shared" ref="AA2607:AA2613" si="901">X2607*Z2607</f>
        <v>1360.25</v>
      </c>
      <c r="AB2607" s="120">
        <v>0</v>
      </c>
      <c r="AC2607" s="120">
        <f t="shared" si="894"/>
        <v>0</v>
      </c>
      <c r="AD2607" s="120">
        <f t="shared" si="895"/>
        <v>25</v>
      </c>
      <c r="AE2607" s="120">
        <f t="shared" si="896"/>
        <v>1360.25</v>
      </c>
    </row>
    <row r="2608" spans="3:38" s="29" customFormat="1" x14ac:dyDescent="0.25">
      <c r="C2608" s="891" t="s">
        <v>0</v>
      </c>
      <c r="D2608" s="891"/>
      <c r="E2608" s="891"/>
      <c r="F2608" s="891" t="s">
        <v>1</v>
      </c>
      <c r="G2608" s="891"/>
      <c r="H2608" s="891"/>
      <c r="I2608" s="891"/>
      <c r="J2608" s="891"/>
      <c r="M2608" s="120" t="s">
        <v>458</v>
      </c>
      <c r="N2608" s="120">
        <f>S10</f>
        <v>32.46</v>
      </c>
      <c r="O2608" s="120" t="str">
        <f>R10</f>
        <v>g</v>
      </c>
      <c r="P2608" s="120">
        <v>30</v>
      </c>
      <c r="Q2608" s="120">
        <f>N2608*P2608</f>
        <v>973.80000000000007</v>
      </c>
      <c r="R2608" s="120">
        <v>0</v>
      </c>
      <c r="S2608" s="120">
        <f>P2608*R2608</f>
        <v>0</v>
      </c>
      <c r="T2608" s="120">
        <f>P2608-S2608</f>
        <v>30</v>
      </c>
      <c r="U2608" s="120">
        <f>Q2608+((S2608*Q2608)/P2608)</f>
        <v>973.80000000000007</v>
      </c>
      <c r="W2608" s="120" t="s">
        <v>899</v>
      </c>
      <c r="X2608" s="154">
        <f>M14</f>
        <v>0.75</v>
      </c>
      <c r="Y2608" s="120" t="str">
        <f>L14</f>
        <v>g</v>
      </c>
      <c r="Z2608" s="120">
        <v>15</v>
      </c>
      <c r="AA2608" s="120">
        <f t="shared" si="901"/>
        <v>11.25</v>
      </c>
      <c r="AB2608" s="120">
        <f>AL2</f>
        <v>0.38</v>
      </c>
      <c r="AC2608" s="120">
        <f t="shared" si="894"/>
        <v>5.7</v>
      </c>
      <c r="AD2608" s="120">
        <f t="shared" si="895"/>
        <v>9.3000000000000007</v>
      </c>
      <c r="AE2608" s="120">
        <f t="shared" si="896"/>
        <v>15.525</v>
      </c>
    </row>
    <row r="2609" spans="3:31" s="29" customFormat="1" x14ac:dyDescent="0.25">
      <c r="C2609" s="892" t="s">
        <v>3</v>
      </c>
      <c r="D2609" s="892"/>
      <c r="E2609" s="892"/>
      <c r="F2609" s="894" t="s">
        <v>1333</v>
      </c>
      <c r="G2609" s="893"/>
      <c r="H2609" s="893"/>
      <c r="I2609" s="893"/>
      <c r="J2609" s="893"/>
      <c r="M2609" s="120" t="s">
        <v>899</v>
      </c>
      <c r="N2609" s="154">
        <f>M14</f>
        <v>0.75</v>
      </c>
      <c r="O2609" s="120" t="str">
        <f>L14</f>
        <v>g</v>
      </c>
      <c r="P2609" s="120">
        <v>10</v>
      </c>
      <c r="Q2609" s="120">
        <f>N2609*P2609</f>
        <v>7.5</v>
      </c>
      <c r="R2609" s="120">
        <f>AL2</f>
        <v>0.38</v>
      </c>
      <c r="S2609" s="120">
        <f>P2609*R2609</f>
        <v>3.8</v>
      </c>
      <c r="T2609" s="120">
        <f>P2609-S2609</f>
        <v>6.2</v>
      </c>
      <c r="U2609" s="120">
        <f>Q2609+((S2609*Q2609)/P2609)</f>
        <v>10.35</v>
      </c>
      <c r="W2609" s="120" t="s">
        <v>672</v>
      </c>
      <c r="X2609" s="154">
        <f>P8</f>
        <v>3.3330000000000002</v>
      </c>
      <c r="Y2609" s="120" t="str">
        <f>O8</f>
        <v>g</v>
      </c>
      <c r="Z2609" s="120">
        <v>10</v>
      </c>
      <c r="AA2609" s="120">
        <f t="shared" si="901"/>
        <v>33.33</v>
      </c>
      <c r="AB2609" s="120">
        <f>AJ6</f>
        <v>0.5</v>
      </c>
      <c r="AC2609" s="120">
        <f t="shared" si="894"/>
        <v>5</v>
      </c>
      <c r="AD2609" s="120">
        <f t="shared" si="895"/>
        <v>5</v>
      </c>
      <c r="AE2609" s="120">
        <f t="shared" si="896"/>
        <v>49.994999999999997</v>
      </c>
    </row>
    <row r="2610" spans="3:31" s="29" customFormat="1" x14ac:dyDescent="0.25">
      <c r="C2610" s="892"/>
      <c r="D2610" s="892"/>
      <c r="E2610" s="892"/>
      <c r="F2610" s="893"/>
      <c r="G2610" s="893"/>
      <c r="H2610" s="893"/>
      <c r="I2610" s="893"/>
      <c r="J2610" s="893"/>
      <c r="M2610" s="120" t="s">
        <v>349</v>
      </c>
      <c r="N2610" s="120">
        <f>S15</f>
        <v>41</v>
      </c>
      <c r="O2610" s="120" t="str">
        <f>R15</f>
        <v>g</v>
      </c>
      <c r="P2610" s="120">
        <v>20</v>
      </c>
      <c r="Q2610" s="120">
        <f>N2610*P2610</f>
        <v>820</v>
      </c>
      <c r="R2610" s="120">
        <f>AN3</f>
        <v>0.47</v>
      </c>
      <c r="S2610" s="120">
        <f>P2610*R2610</f>
        <v>9.3999999999999986</v>
      </c>
      <c r="T2610" s="120">
        <f>P2610-S2610</f>
        <v>10.600000000000001</v>
      </c>
      <c r="U2610" s="120">
        <f>Q2610+((S2610*Q2610)/P2610)</f>
        <v>1205.4000000000001</v>
      </c>
      <c r="W2610" s="120" t="s">
        <v>436</v>
      </c>
      <c r="X2610" s="154">
        <f>P31</f>
        <v>2.6</v>
      </c>
      <c r="Y2610" s="120" t="str">
        <f>O31</f>
        <v>g</v>
      </c>
      <c r="Z2610" s="120">
        <v>10</v>
      </c>
      <c r="AA2610" s="120">
        <f t="shared" si="901"/>
        <v>26</v>
      </c>
      <c r="AB2610" s="120">
        <f>AJ19</f>
        <v>0.37</v>
      </c>
      <c r="AC2610" s="120">
        <f t="shared" si="894"/>
        <v>3.7</v>
      </c>
      <c r="AD2610" s="120">
        <f t="shared" si="895"/>
        <v>6.3</v>
      </c>
      <c r="AE2610" s="120">
        <f t="shared" si="896"/>
        <v>35.620000000000005</v>
      </c>
    </row>
    <row r="2611" spans="3:31" s="29" customFormat="1" x14ac:dyDescent="0.25">
      <c r="C2611" s="892"/>
      <c r="D2611" s="892"/>
      <c r="E2611" s="892"/>
      <c r="F2611" s="893"/>
      <c r="G2611" s="893"/>
      <c r="H2611" s="893"/>
      <c r="I2611" s="893"/>
      <c r="J2611" s="893"/>
      <c r="M2611" s="120" t="s">
        <v>454</v>
      </c>
      <c r="N2611" s="120">
        <f>P14</f>
        <v>18.86</v>
      </c>
      <c r="O2611" s="120" t="str">
        <f>O14</f>
        <v>g</v>
      </c>
      <c r="P2611" s="120">
        <v>10</v>
      </c>
      <c r="Q2611" s="120">
        <f>N2611*P2611</f>
        <v>188.6</v>
      </c>
      <c r="R2611" s="120">
        <v>0</v>
      </c>
      <c r="S2611" s="120">
        <f>P2611*R2611</f>
        <v>0</v>
      </c>
      <c r="T2611" s="120">
        <f>P2611-S2611</f>
        <v>10</v>
      </c>
      <c r="U2611" s="120">
        <f>Q2611+((S2611*Q2611)/P2611)</f>
        <v>188.6</v>
      </c>
      <c r="W2611" s="120" t="s">
        <v>537</v>
      </c>
      <c r="X2611" s="154">
        <f>P2</f>
        <v>30.06</v>
      </c>
      <c r="Y2611" s="120" t="str">
        <f>O2</f>
        <v>g</v>
      </c>
      <c r="Z2611" s="120">
        <v>5</v>
      </c>
      <c r="AA2611" s="120">
        <f t="shared" si="901"/>
        <v>150.29999999999998</v>
      </c>
      <c r="AB2611" s="120">
        <v>0</v>
      </c>
      <c r="AC2611" s="120">
        <f t="shared" si="894"/>
        <v>0</v>
      </c>
      <c r="AD2611" s="120">
        <f t="shared" si="895"/>
        <v>5</v>
      </c>
      <c r="AE2611" s="120">
        <f t="shared" si="896"/>
        <v>150.29999999999998</v>
      </c>
    </row>
    <row r="2612" spans="3:31" s="29" customFormat="1" x14ac:dyDescent="0.25">
      <c r="C2612" s="892" t="s">
        <v>4</v>
      </c>
      <c r="D2612" s="892"/>
      <c r="E2612" s="892"/>
      <c r="F2612" s="893" t="s">
        <v>15</v>
      </c>
      <c r="G2612" s="893"/>
      <c r="H2612" s="893"/>
      <c r="I2612" s="893"/>
      <c r="J2612" s="893"/>
      <c r="M2612" s="120"/>
      <c r="N2612" s="120"/>
      <c r="O2612" s="120"/>
      <c r="P2612" s="120"/>
      <c r="Q2612" s="120"/>
      <c r="R2612" s="120"/>
      <c r="S2612" s="120"/>
      <c r="T2612" s="120"/>
      <c r="U2612" s="120"/>
      <c r="W2612" s="120" t="s">
        <v>505</v>
      </c>
      <c r="X2612" s="154">
        <f>P24</f>
        <v>3.5</v>
      </c>
      <c r="Y2612" s="120" t="str">
        <f>O24</f>
        <v>g</v>
      </c>
      <c r="Z2612" s="120">
        <v>18</v>
      </c>
      <c r="AA2612" s="120">
        <f t="shared" si="901"/>
        <v>63</v>
      </c>
      <c r="AB2612" s="120">
        <f>AT15</f>
        <v>0</v>
      </c>
      <c r="AC2612" s="120">
        <f t="shared" si="894"/>
        <v>0</v>
      </c>
      <c r="AD2612" s="120">
        <f t="shared" si="895"/>
        <v>18</v>
      </c>
      <c r="AE2612" s="120">
        <f t="shared" si="896"/>
        <v>63</v>
      </c>
    </row>
    <row r="2613" spans="3:31" s="29" customFormat="1" x14ac:dyDescent="0.25">
      <c r="C2613" s="892"/>
      <c r="D2613" s="892"/>
      <c r="E2613" s="892"/>
      <c r="F2613" s="893"/>
      <c r="G2613" s="893"/>
      <c r="H2613" s="893"/>
      <c r="I2613" s="893"/>
      <c r="J2613" s="893"/>
      <c r="M2613" s="120"/>
      <c r="N2613" s="120"/>
      <c r="O2613" s="120"/>
      <c r="P2613" s="120"/>
      <c r="Q2613" s="120"/>
      <c r="R2613" s="120"/>
      <c r="S2613" s="120"/>
      <c r="T2613" s="120"/>
      <c r="U2613" s="120"/>
      <c r="W2613" s="120" t="s">
        <v>454</v>
      </c>
      <c r="X2613" s="154">
        <f>P14</f>
        <v>18.86</v>
      </c>
      <c r="Y2613" s="120" t="str">
        <f>O14</f>
        <v>g</v>
      </c>
      <c r="Z2613" s="120">
        <v>18</v>
      </c>
      <c r="AA2613" s="120">
        <f t="shared" si="901"/>
        <v>339.48</v>
      </c>
      <c r="AB2613" s="120">
        <v>0</v>
      </c>
      <c r="AC2613" s="120">
        <f t="shared" si="894"/>
        <v>0</v>
      </c>
      <c r="AD2613" s="120">
        <f t="shared" si="895"/>
        <v>18</v>
      </c>
      <c r="AE2613" s="120">
        <f t="shared" si="896"/>
        <v>339.48</v>
      </c>
    </row>
    <row r="2614" spans="3:31" s="29" customFormat="1" x14ac:dyDescent="0.25">
      <c r="C2614" s="892"/>
      <c r="D2614" s="892"/>
      <c r="E2614" s="892"/>
      <c r="F2614" s="893"/>
      <c r="G2614" s="893"/>
      <c r="H2614" s="893"/>
      <c r="I2614" s="893"/>
      <c r="J2614" s="893"/>
      <c r="M2614" s="120"/>
      <c r="N2614" s="120"/>
      <c r="O2614" s="120"/>
      <c r="P2614" s="120"/>
      <c r="Q2614" s="120"/>
      <c r="R2614" s="120"/>
      <c r="S2614" s="120"/>
      <c r="T2614" s="120"/>
      <c r="U2614" s="120"/>
      <c r="W2614" s="120"/>
      <c r="X2614" s="120"/>
      <c r="Y2614" s="120"/>
      <c r="Z2614" s="120"/>
      <c r="AA2614" s="120"/>
      <c r="AB2614" s="120"/>
      <c r="AC2614" s="120"/>
      <c r="AD2614" s="120"/>
      <c r="AE2614" s="120"/>
    </row>
    <row r="2615" spans="3:31" s="29" customFormat="1" x14ac:dyDescent="0.25">
      <c r="C2615" s="892" t="s">
        <v>5</v>
      </c>
      <c r="D2615" s="892"/>
      <c r="E2615" s="892"/>
      <c r="F2615" s="893" t="s">
        <v>1334</v>
      </c>
      <c r="G2615" s="893"/>
      <c r="H2615" s="893"/>
      <c r="I2615" s="893"/>
      <c r="J2615" s="893"/>
      <c r="M2615" s="120" t="s">
        <v>337</v>
      </c>
      <c r="N2615" s="120">
        <f>SUM(N2606:N2614)</f>
        <v>2218.1223984875519</v>
      </c>
      <c r="O2615" s="120"/>
      <c r="P2615" s="120">
        <f>SUM(P2606:P2614)</f>
        <v>120</v>
      </c>
      <c r="Q2615" s="120">
        <f>SUM(Q2606:Q2614)</f>
        <v>4608.5723984875522</v>
      </c>
      <c r="R2615" s="120"/>
      <c r="S2615" s="120"/>
      <c r="T2615" s="120"/>
      <c r="U2615" s="120">
        <f>SUM(U2606:U2614)</f>
        <v>4996.8223984875522</v>
      </c>
      <c r="W2615" s="120" t="s">
        <v>337</v>
      </c>
      <c r="X2615" s="120">
        <f>SUM(X2606:X2613)</f>
        <v>2187.3853984875514</v>
      </c>
      <c r="Y2615" s="120"/>
      <c r="Z2615" s="120">
        <f>SUM(Z2606:Z2613)</f>
        <v>131</v>
      </c>
      <c r="AA2615" s="120">
        <f>SUM(AA2606:AA2613)</f>
        <v>4057.4823984875516</v>
      </c>
      <c r="AB2615" s="120"/>
      <c r="AC2615" s="120"/>
      <c r="AD2615" s="120"/>
      <c r="AE2615" s="120">
        <f>SUM(AE2606:AE2613)</f>
        <v>4088.0423984875515</v>
      </c>
    </row>
    <row r="2616" spans="3:31" s="29" customFormat="1" x14ac:dyDescent="0.25">
      <c r="C2616" s="892"/>
      <c r="D2616" s="892"/>
      <c r="E2616" s="892"/>
      <c r="F2616" s="893"/>
      <c r="G2616" s="893"/>
      <c r="H2616" s="893"/>
      <c r="I2616" s="893"/>
      <c r="J2616" s="893"/>
    </row>
    <row r="2617" spans="3:31" s="29" customFormat="1" x14ac:dyDescent="0.25">
      <c r="C2617" s="892"/>
      <c r="D2617" s="892"/>
      <c r="E2617" s="892"/>
      <c r="F2617" s="893"/>
      <c r="G2617" s="893"/>
      <c r="H2617" s="893"/>
      <c r="I2617" s="893"/>
      <c r="J2617" s="893"/>
    </row>
    <row r="2618" spans="3:31" s="29" customFormat="1" x14ac:dyDescent="0.25">
      <c r="C2618" s="892" t="s">
        <v>6</v>
      </c>
      <c r="D2618" s="892"/>
      <c r="E2618" s="892"/>
      <c r="F2618" s="893" t="s">
        <v>9</v>
      </c>
      <c r="G2618" s="893"/>
      <c r="H2618" s="893"/>
      <c r="I2618" s="893"/>
      <c r="J2618" s="893"/>
    </row>
    <row r="2619" spans="3:31" s="29" customFormat="1" x14ac:dyDescent="0.25">
      <c r="C2619" s="892"/>
      <c r="D2619" s="892"/>
      <c r="E2619" s="892"/>
      <c r="F2619" s="893"/>
      <c r="G2619" s="893"/>
      <c r="H2619" s="893"/>
      <c r="I2619" s="893"/>
      <c r="J2619" s="893"/>
      <c r="Q2619" s="120" t="s">
        <v>1681</v>
      </c>
      <c r="R2619" s="120">
        <f>SUM(U2606:U2609)</f>
        <v>3602.8223984875517</v>
      </c>
      <c r="T2619" s="120" t="s">
        <v>1681</v>
      </c>
      <c r="U2619" s="120">
        <f>U2606+U2607+U2610+U2611</f>
        <v>4012.6723984875516</v>
      </c>
      <c r="AA2619" s="120" t="s">
        <v>1681</v>
      </c>
      <c r="AB2619" s="120">
        <f>AE2606+AE2607+AE2609+AE2610+AE2613</f>
        <v>3859.2173984875512</v>
      </c>
      <c r="AD2619" s="120" t="s">
        <v>1681</v>
      </c>
      <c r="AE2619" s="120">
        <f>AE2606+AE2607+AE2608+AE2611+AE2612</f>
        <v>3662.9473984875517</v>
      </c>
    </row>
    <row r="2620" spans="3:31" s="29" customFormat="1" x14ac:dyDescent="0.25">
      <c r="C2620" s="892"/>
      <c r="D2620" s="892"/>
      <c r="E2620" s="892"/>
      <c r="F2620" s="893"/>
      <c r="G2620" s="893"/>
      <c r="H2620" s="893"/>
      <c r="I2620" s="893"/>
      <c r="J2620" s="893"/>
      <c r="Q2620" s="120" t="s">
        <v>2326</v>
      </c>
      <c r="R2620" s="120">
        <f>$AK$26</f>
        <v>1490.4701889752762</v>
      </c>
      <c r="T2620" s="120" t="s">
        <v>2326</v>
      </c>
      <c r="U2620" s="120">
        <f>$AK$26</f>
        <v>1490.4701889752762</v>
      </c>
      <c r="AA2620" s="120" t="s">
        <v>2326</v>
      </c>
      <c r="AB2620" s="120">
        <f>$AK$26</f>
        <v>1490.4701889752762</v>
      </c>
      <c r="AD2620" s="120" t="s">
        <v>2326</v>
      </c>
      <c r="AE2620" s="120">
        <f>$AK$26</f>
        <v>1490.4701889752762</v>
      </c>
    </row>
    <row r="2621" spans="3:31" s="29" customFormat="1" x14ac:dyDescent="0.25">
      <c r="C2621" s="892" t="s">
        <v>7</v>
      </c>
      <c r="D2621" s="892"/>
      <c r="E2621" s="892"/>
      <c r="F2621" s="894" t="s">
        <v>1336</v>
      </c>
      <c r="G2621" s="893"/>
      <c r="H2621" s="893"/>
      <c r="I2621" s="893"/>
      <c r="J2621" s="893"/>
      <c r="Q2621" s="120" t="s">
        <v>2325</v>
      </c>
      <c r="R2621" s="120">
        <f>$AK$27</f>
        <v>75.599999999999994</v>
      </c>
      <c r="T2621" s="120" t="s">
        <v>2325</v>
      </c>
      <c r="U2621" s="120">
        <f>$AK$27</f>
        <v>75.599999999999994</v>
      </c>
      <c r="AA2621" s="120" t="s">
        <v>2325</v>
      </c>
      <c r="AB2621" s="120">
        <f>$AK$27</f>
        <v>75.599999999999994</v>
      </c>
      <c r="AD2621" s="120" t="s">
        <v>2325</v>
      </c>
      <c r="AE2621" s="120">
        <f>$AK$27</f>
        <v>75.599999999999994</v>
      </c>
    </row>
    <row r="2622" spans="3:31" s="29" customFormat="1" x14ac:dyDescent="0.25">
      <c r="C2622" s="892"/>
      <c r="D2622" s="892"/>
      <c r="E2622" s="892"/>
      <c r="F2622" s="893"/>
      <c r="G2622" s="893"/>
      <c r="H2622" s="893"/>
      <c r="I2622" s="893"/>
      <c r="J2622" s="893"/>
      <c r="Q2622" s="120" t="s">
        <v>1684</v>
      </c>
      <c r="R2622" s="120">
        <f>$AK$29</f>
        <v>442.09817078037929</v>
      </c>
      <c r="T2622" s="120" t="s">
        <v>1684</v>
      </c>
      <c r="U2622" s="120">
        <f>$AK$29</f>
        <v>442.09817078037929</v>
      </c>
      <c r="AA2622" s="120" t="s">
        <v>1684</v>
      </c>
      <c r="AB2622" s="120">
        <f>$AK$29</f>
        <v>442.09817078037929</v>
      </c>
      <c r="AD2622" s="120" t="s">
        <v>1684</v>
      </c>
      <c r="AE2622" s="120">
        <f>$AK$29</f>
        <v>442.09817078037929</v>
      </c>
    </row>
    <row r="2623" spans="3:31" s="29" customFormat="1" x14ac:dyDescent="0.25">
      <c r="C2623" s="892"/>
      <c r="D2623" s="892"/>
      <c r="E2623" s="892"/>
      <c r="F2623" s="893"/>
      <c r="G2623" s="893"/>
      <c r="H2623" s="893"/>
      <c r="I2623" s="893"/>
      <c r="J2623" s="893"/>
      <c r="Q2623" s="120" t="s">
        <v>1685</v>
      </c>
      <c r="R2623" s="120">
        <v>0.6</v>
      </c>
      <c r="T2623" s="120" t="s">
        <v>1685</v>
      </c>
      <c r="U2623" s="120">
        <v>0.6</v>
      </c>
      <c r="AA2623" s="120" t="s">
        <v>1685</v>
      </c>
      <c r="AB2623" s="120">
        <v>0.6</v>
      </c>
      <c r="AD2623" s="120" t="s">
        <v>1685</v>
      </c>
      <c r="AE2623" s="120">
        <v>0.6</v>
      </c>
    </row>
    <row r="2624" spans="3:31" s="29" customFormat="1" x14ac:dyDescent="0.25">
      <c r="Q2624" s="120" t="s">
        <v>1708</v>
      </c>
      <c r="R2624" s="120">
        <f>((SUM(R2619:R2622)*R2623)+SUM(R2619:R2622))</f>
        <v>8977.5852131891334</v>
      </c>
      <c r="T2624" s="120" t="s">
        <v>1708</v>
      </c>
      <c r="U2624" s="120">
        <f>((SUM(U2619:U2622)*U2623)+SUM(U2619:U2622))</f>
        <v>9633.3452131891318</v>
      </c>
      <c r="AA2624" s="120" t="s">
        <v>1708</v>
      </c>
      <c r="AB2624" s="120">
        <f>((SUM(AB2619:AB2622)*AB2623)+SUM(AB2619:AB2622))</f>
        <v>9387.8172131891315</v>
      </c>
      <c r="AD2624" s="120" t="s">
        <v>1708</v>
      </c>
      <c r="AE2624" s="120">
        <f>((SUM(AE2619:AE2622)*AE2623)+SUM(AE2619:AE2622))</f>
        <v>9073.7852131891323</v>
      </c>
    </row>
    <row r="2625" spans="4:31" s="29" customFormat="1" x14ac:dyDescent="0.25">
      <c r="Q2625" s="120" t="s">
        <v>2130</v>
      </c>
      <c r="R2625" s="120">
        <f>R2624*0.08</f>
        <v>718.20681705513073</v>
      </c>
      <c r="T2625" s="120" t="s">
        <v>2130</v>
      </c>
      <c r="U2625" s="120">
        <f>U2624*0.08</f>
        <v>770.66761705513056</v>
      </c>
      <c r="AA2625" s="120" t="s">
        <v>2130</v>
      </c>
      <c r="AB2625" s="120">
        <f>AB2624*0.08</f>
        <v>751.02537705513055</v>
      </c>
      <c r="AD2625" s="120" t="s">
        <v>2130</v>
      </c>
      <c r="AE2625" s="120">
        <f>AE2624*0.08</f>
        <v>725.90281705513064</v>
      </c>
    </row>
    <row r="2626" spans="4:31" s="29" customFormat="1" x14ac:dyDescent="0.25">
      <c r="Q2626" s="120" t="s">
        <v>1686</v>
      </c>
      <c r="R2626" s="120">
        <f>R2624+R2625</f>
        <v>9695.7920302442635</v>
      </c>
      <c r="T2626" s="120" t="s">
        <v>1686</v>
      </c>
      <c r="U2626" s="120">
        <f>U2624+U2625</f>
        <v>10404.012830244263</v>
      </c>
      <c r="AA2626" s="120" t="s">
        <v>1686</v>
      </c>
      <c r="AB2626" s="120">
        <f>AB2624+AB2625</f>
        <v>10138.842590244261</v>
      </c>
      <c r="AD2626" s="120" t="s">
        <v>1686</v>
      </c>
      <c r="AE2626" s="120">
        <f>AE2624+AE2625</f>
        <v>9799.6880302442623</v>
      </c>
    </row>
    <row r="2627" spans="4:31" s="29" customFormat="1" x14ac:dyDescent="0.25"/>
    <row r="2628" spans="4:31" s="29" customFormat="1" x14ac:dyDescent="0.25">
      <c r="Q2628" s="608" t="s">
        <v>2142</v>
      </c>
      <c r="R2628" s="608">
        <f>(R2619*100)/R2626</f>
        <v>37.158618782758552</v>
      </c>
      <c r="T2628" s="608" t="s">
        <v>2142</v>
      </c>
      <c r="U2628" s="608">
        <f>(U2619*100)/U2626</f>
        <v>38.568506824816588</v>
      </c>
      <c r="AA2628" s="608" t="s">
        <v>2142</v>
      </c>
      <c r="AB2628" s="608">
        <f>(AB2619*100)/AB2626</f>
        <v>38.063687882884629</v>
      </c>
      <c r="AD2628" s="608" t="s">
        <v>2142</v>
      </c>
      <c r="AE2628" s="608">
        <f>(AE2619*100)/AE2626</f>
        <v>37.378204154895435</v>
      </c>
    </row>
    <row r="2629" spans="4:31" s="29" customFormat="1" x14ac:dyDescent="0.25"/>
    <row r="2630" spans="4:31" s="29" customFormat="1" x14ac:dyDescent="0.25"/>
    <row r="2631" spans="4:31" s="29" customFormat="1" x14ac:dyDescent="0.25"/>
    <row r="2632" spans="4:31" s="29" customFormat="1" x14ac:dyDescent="0.25">
      <c r="D2632" s="953" t="s">
        <v>8</v>
      </c>
      <c r="E2632" s="953"/>
      <c r="F2632" s="953"/>
      <c r="G2632" s="953"/>
      <c r="H2632" s="953"/>
      <c r="I2632" s="953"/>
      <c r="J2632" s="953"/>
      <c r="K2632" s="953"/>
    </row>
    <row r="2633" spans="4:31" s="29" customFormat="1" x14ac:dyDescent="0.25">
      <c r="D2633" s="954" t="s">
        <v>0</v>
      </c>
      <c r="E2633" s="954"/>
      <c r="F2633" s="954"/>
      <c r="G2633" s="954" t="s">
        <v>1</v>
      </c>
      <c r="H2633" s="954"/>
      <c r="I2633" s="954"/>
      <c r="J2633" s="954"/>
      <c r="K2633" s="954"/>
    </row>
    <row r="2634" spans="4:31" s="29" customFormat="1" x14ac:dyDescent="0.25">
      <c r="D2634" s="955" t="s">
        <v>2</v>
      </c>
      <c r="E2634" s="955"/>
      <c r="F2634" s="955"/>
      <c r="G2634" s="956" t="s">
        <v>824</v>
      </c>
      <c r="H2634" s="956"/>
      <c r="I2634" s="956"/>
      <c r="J2634" s="956"/>
      <c r="K2634" s="956"/>
      <c r="M2634" s="10" t="s">
        <v>336</v>
      </c>
      <c r="N2634" s="10" t="s">
        <v>174</v>
      </c>
      <c r="O2634" s="10" t="s">
        <v>248</v>
      </c>
      <c r="P2634" s="10" t="s">
        <v>176</v>
      </c>
      <c r="Q2634" s="10" t="s">
        <v>337</v>
      </c>
      <c r="R2634" s="10" t="s">
        <v>1641</v>
      </c>
      <c r="S2634" s="10" t="s">
        <v>1642</v>
      </c>
      <c r="T2634" s="10" t="s">
        <v>1643</v>
      </c>
      <c r="U2634" s="10" t="s">
        <v>1644</v>
      </c>
      <c r="W2634" s="10" t="s">
        <v>336</v>
      </c>
      <c r="X2634" s="10" t="s">
        <v>174</v>
      </c>
      <c r="Y2634" s="10" t="s">
        <v>248</v>
      </c>
      <c r="Z2634" s="10" t="s">
        <v>176</v>
      </c>
      <c r="AA2634" s="10" t="s">
        <v>337</v>
      </c>
      <c r="AB2634" s="10" t="s">
        <v>1641</v>
      </c>
      <c r="AC2634" s="10" t="s">
        <v>1642</v>
      </c>
      <c r="AD2634" s="10" t="s">
        <v>1643</v>
      </c>
      <c r="AE2634" s="10" t="s">
        <v>1644</v>
      </c>
    </row>
    <row r="2635" spans="4:31" s="29" customFormat="1" x14ac:dyDescent="0.25">
      <c r="D2635" s="955"/>
      <c r="E2635" s="955"/>
      <c r="F2635" s="955"/>
      <c r="G2635" s="956"/>
      <c r="H2635" s="956"/>
      <c r="I2635" s="956"/>
      <c r="J2635" s="956"/>
      <c r="K2635" s="956"/>
      <c r="M2635" s="11" t="s">
        <v>899</v>
      </c>
      <c r="N2635" s="11">
        <f>M14</f>
        <v>0.75</v>
      </c>
      <c r="O2635" s="11" t="str">
        <f>L14</f>
        <v>g</v>
      </c>
      <c r="P2635" s="11">
        <v>20</v>
      </c>
      <c r="Q2635" s="11">
        <f>N2635*P2635</f>
        <v>15</v>
      </c>
      <c r="R2635" s="11">
        <f>AL2</f>
        <v>0.38</v>
      </c>
      <c r="S2635" s="11">
        <f>P2635*R2635</f>
        <v>7.6</v>
      </c>
      <c r="T2635" s="11">
        <f>P2635-S2635</f>
        <v>12.4</v>
      </c>
      <c r="U2635" s="11">
        <f>Q2635+((S2635*Q2635)/P2635)</f>
        <v>20.7</v>
      </c>
      <c r="W2635" s="11" t="s">
        <v>899</v>
      </c>
      <c r="X2635" s="307">
        <f>M14</f>
        <v>0.75</v>
      </c>
      <c r="Y2635" s="11" t="str">
        <f>L14</f>
        <v>g</v>
      </c>
      <c r="Z2635" s="11">
        <v>20</v>
      </c>
      <c r="AA2635" s="11">
        <f>X2635*Z2635</f>
        <v>15</v>
      </c>
      <c r="AB2635" s="11">
        <f>AL2</f>
        <v>0.38</v>
      </c>
      <c r="AC2635" s="11">
        <f>Z2635*AB2635</f>
        <v>7.6</v>
      </c>
      <c r="AD2635" s="11">
        <f>Z2635-AC2635</f>
        <v>12.4</v>
      </c>
      <c r="AE2635" s="11">
        <f>AA2635+((AC2635*AA2635)/Z2635)</f>
        <v>20.7</v>
      </c>
    </row>
    <row r="2636" spans="4:31" s="29" customFormat="1" x14ac:dyDescent="0.25">
      <c r="D2636" s="955"/>
      <c r="E2636" s="955"/>
      <c r="F2636" s="955"/>
      <c r="G2636" s="956"/>
      <c r="H2636" s="956"/>
      <c r="I2636" s="956"/>
      <c r="J2636" s="956"/>
      <c r="K2636" s="956"/>
      <c r="M2636" s="11" t="s">
        <v>731</v>
      </c>
      <c r="N2636" s="11">
        <f>M2</f>
        <v>1.833</v>
      </c>
      <c r="O2636" s="11" t="str">
        <f>L2</f>
        <v>g</v>
      </c>
      <c r="P2636" s="11">
        <v>20</v>
      </c>
      <c r="Q2636" s="11">
        <f t="shared" ref="Q2636:Q2638" si="902">N2636*P2636</f>
        <v>36.659999999999997</v>
      </c>
      <c r="R2636" s="11">
        <f>AL3</f>
        <v>0.35</v>
      </c>
      <c r="S2636" s="11">
        <f t="shared" ref="S2636:S2640" si="903">P2636*R2636</f>
        <v>7</v>
      </c>
      <c r="T2636" s="11">
        <f t="shared" ref="T2636:T2640" si="904">P2636-S2636</f>
        <v>13</v>
      </c>
      <c r="U2636" s="11">
        <f t="shared" ref="U2636:U2640" si="905">Q2636+((S2636*Q2636)/P2636)</f>
        <v>49.491</v>
      </c>
      <c r="W2636" s="11" t="s">
        <v>731</v>
      </c>
      <c r="X2636" s="307">
        <f>M2</f>
        <v>1.833</v>
      </c>
      <c r="Y2636" s="11" t="str">
        <f>L2</f>
        <v>g</v>
      </c>
      <c r="Z2636" s="11">
        <v>20</v>
      </c>
      <c r="AA2636" s="11">
        <f t="shared" ref="AA2636:AA2638" si="906">X2636*Z2636</f>
        <v>36.659999999999997</v>
      </c>
      <c r="AB2636" s="11">
        <f>AL3</f>
        <v>0.35</v>
      </c>
      <c r="AC2636" s="11">
        <f t="shared" ref="AC2636:AC2639" si="907">Z2636*AB2636</f>
        <v>7</v>
      </c>
      <c r="AD2636" s="11">
        <f t="shared" ref="AD2636:AD2639" si="908">Z2636-AC2636</f>
        <v>13</v>
      </c>
      <c r="AE2636" s="11">
        <f t="shared" ref="AE2636:AE2639" si="909">AA2636+((AC2636*AA2636)/Z2636)</f>
        <v>49.491</v>
      </c>
    </row>
    <row r="2637" spans="4:31" s="29" customFormat="1" x14ac:dyDescent="0.25">
      <c r="D2637" s="954" t="s">
        <v>0</v>
      </c>
      <c r="E2637" s="954"/>
      <c r="F2637" s="954"/>
      <c r="G2637" s="954" t="s">
        <v>1</v>
      </c>
      <c r="H2637" s="954"/>
      <c r="I2637" s="954"/>
      <c r="J2637" s="954"/>
      <c r="K2637" s="954"/>
      <c r="M2637" s="11" t="s">
        <v>733</v>
      </c>
      <c r="N2637" s="11">
        <f>M13</f>
        <v>2.5</v>
      </c>
      <c r="O2637" s="11" t="str">
        <f>L13</f>
        <v>g</v>
      </c>
      <c r="P2637" s="11">
        <v>20</v>
      </c>
      <c r="Q2637" s="11">
        <f t="shared" si="902"/>
        <v>50</v>
      </c>
      <c r="R2637" s="11">
        <f>AL14</f>
        <v>0.32</v>
      </c>
      <c r="S2637" s="11">
        <f t="shared" si="903"/>
        <v>6.4</v>
      </c>
      <c r="T2637" s="11">
        <f t="shared" si="904"/>
        <v>13.6</v>
      </c>
      <c r="U2637" s="11">
        <f t="shared" si="905"/>
        <v>66</v>
      </c>
      <c r="W2637" s="11" t="s">
        <v>733</v>
      </c>
      <c r="X2637" s="307">
        <f>M13</f>
        <v>2.5</v>
      </c>
      <c r="Y2637" s="11" t="str">
        <f>L13</f>
        <v>g</v>
      </c>
      <c r="Z2637" s="11">
        <v>20</v>
      </c>
      <c r="AA2637" s="11">
        <f t="shared" si="906"/>
        <v>50</v>
      </c>
      <c r="AB2637" s="11">
        <f>AL14</f>
        <v>0.32</v>
      </c>
      <c r="AC2637" s="11">
        <f t="shared" si="907"/>
        <v>6.4</v>
      </c>
      <c r="AD2637" s="11">
        <f t="shared" si="908"/>
        <v>13.6</v>
      </c>
      <c r="AE2637" s="11">
        <f t="shared" si="909"/>
        <v>66</v>
      </c>
    </row>
    <row r="2638" spans="4:31" s="29" customFormat="1" x14ac:dyDescent="0.25">
      <c r="D2638" s="955" t="s">
        <v>3</v>
      </c>
      <c r="E2638" s="955"/>
      <c r="F2638" s="955"/>
      <c r="G2638" s="957" t="s">
        <v>823</v>
      </c>
      <c r="H2638" s="956"/>
      <c r="I2638" s="956"/>
      <c r="J2638" s="956"/>
      <c r="K2638" s="956"/>
      <c r="M2638" s="11" t="s">
        <v>443</v>
      </c>
      <c r="N2638" s="11">
        <f>Y7</f>
        <v>3.6</v>
      </c>
      <c r="O2638" s="11" t="str">
        <f>X7</f>
        <v>g</v>
      </c>
      <c r="P2638" s="11">
        <v>4</v>
      </c>
      <c r="Q2638" s="11">
        <f t="shared" si="902"/>
        <v>14.4</v>
      </c>
      <c r="R2638" s="11">
        <v>0</v>
      </c>
      <c r="S2638" s="11">
        <f t="shared" si="903"/>
        <v>0</v>
      </c>
      <c r="T2638" s="11">
        <f t="shared" si="904"/>
        <v>4</v>
      </c>
      <c r="U2638" s="11">
        <f t="shared" si="905"/>
        <v>14.4</v>
      </c>
      <c r="W2638" s="11" t="s">
        <v>1882</v>
      </c>
      <c r="X2638" s="307">
        <f>AE34</f>
        <v>235</v>
      </c>
      <c r="Y2638" s="11" t="str">
        <f>AD34</f>
        <v>g</v>
      </c>
      <c r="Z2638" s="11">
        <v>4</v>
      </c>
      <c r="AA2638" s="11">
        <f t="shared" si="906"/>
        <v>940</v>
      </c>
      <c r="AB2638" s="11">
        <v>0</v>
      </c>
      <c r="AC2638" s="11">
        <f t="shared" si="907"/>
        <v>0</v>
      </c>
      <c r="AD2638" s="11">
        <f t="shared" si="908"/>
        <v>4</v>
      </c>
      <c r="AE2638" s="11">
        <f t="shared" si="909"/>
        <v>940</v>
      </c>
    </row>
    <row r="2639" spans="4:31" s="29" customFormat="1" x14ac:dyDescent="0.25">
      <c r="D2639" s="955"/>
      <c r="E2639" s="955"/>
      <c r="F2639" s="955"/>
      <c r="G2639" s="956"/>
      <c r="H2639" s="956"/>
      <c r="I2639" s="956"/>
      <c r="J2639" s="956"/>
      <c r="K2639" s="956"/>
      <c r="M2639" s="11" t="s">
        <v>354</v>
      </c>
      <c r="N2639" s="11">
        <f>V4</f>
        <v>3.08</v>
      </c>
      <c r="O2639" s="11" t="str">
        <f>U4</f>
        <v>mL</v>
      </c>
      <c r="P2639" s="11">
        <v>150</v>
      </c>
      <c r="Q2639" s="11">
        <f>N2639*P2639</f>
        <v>462</v>
      </c>
      <c r="R2639" s="11">
        <v>0</v>
      </c>
      <c r="S2639" s="11">
        <f t="shared" si="903"/>
        <v>0</v>
      </c>
      <c r="T2639" s="11">
        <f t="shared" si="904"/>
        <v>150</v>
      </c>
      <c r="U2639" s="11">
        <f t="shared" si="905"/>
        <v>462</v>
      </c>
      <c r="W2639" s="11" t="s">
        <v>1481</v>
      </c>
      <c r="X2639" s="307">
        <f>V5</f>
        <v>8.99</v>
      </c>
      <c r="Y2639" s="11" t="str">
        <f>U5</f>
        <v>mL</v>
      </c>
      <c r="Z2639" s="11">
        <v>150</v>
      </c>
      <c r="AA2639" s="11">
        <f>X2639*Z2639</f>
        <v>1348.5</v>
      </c>
      <c r="AB2639" s="11">
        <v>0</v>
      </c>
      <c r="AC2639" s="11">
        <f t="shared" si="907"/>
        <v>0</v>
      </c>
      <c r="AD2639" s="11">
        <f t="shared" si="908"/>
        <v>150</v>
      </c>
      <c r="AE2639" s="11">
        <f t="shared" si="909"/>
        <v>1348.5</v>
      </c>
    </row>
    <row r="2640" spans="4:31" s="29" customFormat="1" x14ac:dyDescent="0.25">
      <c r="D2640" s="955"/>
      <c r="E2640" s="955"/>
      <c r="F2640" s="955"/>
      <c r="G2640" s="956"/>
      <c r="H2640" s="956"/>
      <c r="I2640" s="956"/>
      <c r="J2640" s="956"/>
      <c r="K2640" s="956"/>
      <c r="M2640" s="11" t="s">
        <v>348</v>
      </c>
      <c r="N2640" s="307">
        <f>V2</f>
        <v>13.11</v>
      </c>
      <c r="O2640" s="11" t="str">
        <f>U2</f>
        <v>g</v>
      </c>
      <c r="P2640" s="11">
        <v>30</v>
      </c>
      <c r="Q2640" s="11">
        <f>N2640*P2640</f>
        <v>393.29999999999995</v>
      </c>
      <c r="R2640" s="11">
        <v>0</v>
      </c>
      <c r="S2640" s="11">
        <f t="shared" si="903"/>
        <v>0</v>
      </c>
      <c r="T2640" s="11">
        <f t="shared" si="904"/>
        <v>30</v>
      </c>
      <c r="U2640" s="11">
        <f t="shared" si="905"/>
        <v>393.29999999999995</v>
      </c>
      <c r="W2640" s="11"/>
      <c r="X2640" s="11"/>
      <c r="Y2640" s="11"/>
      <c r="Z2640" s="11"/>
      <c r="AA2640" s="11"/>
      <c r="AB2640" s="11"/>
      <c r="AC2640" s="11"/>
      <c r="AD2640" s="11"/>
      <c r="AE2640" s="11"/>
    </row>
    <row r="2641" spans="4:31" s="29" customFormat="1" x14ac:dyDescent="0.25">
      <c r="D2641" s="955" t="s">
        <v>4</v>
      </c>
      <c r="E2641" s="955"/>
      <c r="F2641" s="955"/>
      <c r="G2641" s="956" t="s">
        <v>825</v>
      </c>
      <c r="H2641" s="956"/>
      <c r="I2641" s="956"/>
      <c r="J2641" s="956"/>
      <c r="K2641" s="956"/>
      <c r="M2641" s="11"/>
      <c r="N2641" s="11"/>
      <c r="O2641" s="11"/>
      <c r="P2641" s="11"/>
      <c r="Q2641" s="11"/>
      <c r="R2641" s="11"/>
      <c r="S2641" s="11"/>
      <c r="T2641" s="11"/>
      <c r="U2641" s="11"/>
      <c r="W2641" s="11"/>
      <c r="X2641" s="11"/>
      <c r="Y2641" s="11"/>
      <c r="Z2641" s="11"/>
      <c r="AA2641" s="11"/>
      <c r="AB2641" s="11"/>
      <c r="AC2641" s="11"/>
      <c r="AD2641" s="11"/>
      <c r="AE2641" s="11"/>
    </row>
    <row r="2642" spans="4:31" s="29" customFormat="1" x14ac:dyDescent="0.25">
      <c r="D2642" s="955"/>
      <c r="E2642" s="955"/>
      <c r="F2642" s="955"/>
      <c r="G2642" s="956"/>
      <c r="H2642" s="956"/>
      <c r="I2642" s="956"/>
      <c r="J2642" s="956"/>
      <c r="K2642" s="956"/>
      <c r="M2642" s="11"/>
      <c r="N2642" s="11"/>
      <c r="O2642" s="11"/>
      <c r="P2642" s="11"/>
      <c r="Q2642" s="11"/>
      <c r="R2642" s="11"/>
      <c r="S2642" s="11"/>
      <c r="T2642" s="11"/>
      <c r="U2642" s="11"/>
      <c r="W2642" s="11"/>
      <c r="X2642" s="11"/>
      <c r="Y2642" s="11"/>
      <c r="Z2642" s="11"/>
      <c r="AA2642" s="11"/>
      <c r="AB2642" s="11"/>
      <c r="AC2642" s="11"/>
      <c r="AD2642" s="11"/>
      <c r="AE2642" s="11"/>
    </row>
    <row r="2643" spans="4:31" s="29" customFormat="1" x14ac:dyDescent="0.25">
      <c r="D2643" s="955"/>
      <c r="E2643" s="955"/>
      <c r="F2643" s="955"/>
      <c r="G2643" s="956"/>
      <c r="H2643" s="956"/>
      <c r="I2643" s="956"/>
      <c r="J2643" s="956"/>
      <c r="K2643" s="956"/>
      <c r="M2643" s="11" t="s">
        <v>337</v>
      </c>
      <c r="N2643" s="11">
        <f>SUM(N2635:N2642)</f>
        <v>24.872999999999998</v>
      </c>
      <c r="O2643" s="11"/>
      <c r="P2643" s="11">
        <f>SUM(P2635:P2642)</f>
        <v>244</v>
      </c>
      <c r="Q2643" s="11">
        <f>SUM(Q2635:Q2642)</f>
        <v>971.3599999999999</v>
      </c>
      <c r="R2643" s="11"/>
      <c r="S2643" s="11"/>
      <c r="T2643" s="11"/>
      <c r="U2643" s="11">
        <f>SUM(U2635:U2642)</f>
        <v>1005.891</v>
      </c>
      <c r="W2643" s="11" t="s">
        <v>337</v>
      </c>
      <c r="X2643" s="11">
        <f>SUM(X2635:X2642)</f>
        <v>249.07300000000001</v>
      </c>
      <c r="Y2643" s="11"/>
      <c r="Z2643" s="11">
        <f>SUM(Z2635:Z2642)</f>
        <v>214</v>
      </c>
      <c r="AA2643" s="11">
        <f>SUM(AA2635:AA2642)</f>
        <v>2390.16</v>
      </c>
      <c r="AB2643" s="11"/>
      <c r="AC2643" s="11"/>
      <c r="AD2643" s="11"/>
      <c r="AE2643" s="11">
        <f>SUM(AE2635:AE2642)</f>
        <v>2424.6909999999998</v>
      </c>
    </row>
    <row r="2644" spans="4:31" s="29" customFormat="1" x14ac:dyDescent="0.25">
      <c r="D2644" s="955" t="s">
        <v>5</v>
      </c>
      <c r="E2644" s="955"/>
      <c r="F2644" s="955"/>
      <c r="G2644" s="956" t="s">
        <v>826</v>
      </c>
      <c r="H2644" s="956"/>
      <c r="I2644" s="956"/>
      <c r="J2644" s="956"/>
      <c r="K2644" s="956"/>
    </row>
    <row r="2645" spans="4:31" s="29" customFormat="1" x14ac:dyDescent="0.25">
      <c r="D2645" s="955"/>
      <c r="E2645" s="955"/>
      <c r="F2645" s="955"/>
      <c r="G2645" s="956"/>
      <c r="H2645" s="956"/>
      <c r="I2645" s="956"/>
      <c r="J2645" s="956"/>
      <c r="K2645" s="956"/>
      <c r="Q2645" s="11" t="s">
        <v>1681</v>
      </c>
      <c r="R2645" s="11">
        <f>U2643</f>
        <v>1005.891</v>
      </c>
      <c r="S2645" s="608" t="s">
        <v>2142</v>
      </c>
      <c r="T2645" s="608">
        <f>(R2645*100)/R2652</f>
        <v>42.992719329951527</v>
      </c>
      <c r="AA2645" s="11" t="s">
        <v>1681</v>
      </c>
      <c r="AB2645" s="11">
        <f>AE2643</f>
        <v>2424.6909999999998</v>
      </c>
      <c r="AC2645" s="608" t="s">
        <v>2142</v>
      </c>
      <c r="AD2645" s="608">
        <f>(AB2645*100)/AB2652</f>
        <v>50.605444044887989</v>
      </c>
    </row>
    <row r="2646" spans="4:31" s="29" customFormat="1" x14ac:dyDescent="0.25">
      <c r="D2646" s="955"/>
      <c r="E2646" s="955"/>
      <c r="F2646" s="955"/>
      <c r="G2646" s="956"/>
      <c r="H2646" s="956"/>
      <c r="I2646" s="956"/>
      <c r="J2646" s="956"/>
      <c r="K2646" s="956"/>
      <c r="Q2646" s="11" t="s">
        <v>2326</v>
      </c>
      <c r="R2646" s="11">
        <f>$AM$26</f>
        <v>131.82146077125219</v>
      </c>
      <c r="AA2646" s="11" t="s">
        <v>2326</v>
      </c>
      <c r="AB2646" s="11">
        <f>$AM$26</f>
        <v>131.82146077125219</v>
      </c>
    </row>
    <row r="2647" spans="4:31" s="29" customFormat="1" x14ac:dyDescent="0.25">
      <c r="D2647" s="955" t="s">
        <v>6</v>
      </c>
      <c r="E2647" s="955"/>
      <c r="F2647" s="955"/>
      <c r="G2647" s="956" t="s">
        <v>9</v>
      </c>
      <c r="H2647" s="956"/>
      <c r="I2647" s="956"/>
      <c r="J2647" s="956"/>
      <c r="K2647" s="956"/>
      <c r="Q2647" s="11" t="s">
        <v>2325</v>
      </c>
      <c r="R2647" s="11">
        <f>$AM$27</f>
        <v>75.599999999999994</v>
      </c>
      <c r="AA2647" s="11" t="s">
        <v>2325</v>
      </c>
      <c r="AB2647" s="11">
        <f>$AM$27</f>
        <v>75.599999999999994</v>
      </c>
    </row>
    <row r="2648" spans="4:31" s="29" customFormat="1" x14ac:dyDescent="0.25">
      <c r="D2648" s="955"/>
      <c r="E2648" s="955"/>
      <c r="F2648" s="955"/>
      <c r="G2648" s="956"/>
      <c r="H2648" s="956"/>
      <c r="I2648" s="956"/>
      <c r="J2648" s="956"/>
      <c r="K2648" s="956"/>
      <c r="Q2648" s="11" t="s">
        <v>1684</v>
      </c>
      <c r="R2648" s="11">
        <f>$AM$29</f>
        <v>140.66759979375703</v>
      </c>
      <c r="AA2648" s="11" t="s">
        <v>1684</v>
      </c>
      <c r="AB2648" s="11">
        <f>$AM$29</f>
        <v>140.66759979375703</v>
      </c>
    </row>
    <row r="2649" spans="4:31" s="29" customFormat="1" x14ac:dyDescent="0.25">
      <c r="D2649" s="955"/>
      <c r="E2649" s="955"/>
      <c r="F2649" s="955"/>
      <c r="G2649" s="956"/>
      <c r="H2649" s="956"/>
      <c r="I2649" s="956"/>
      <c r="J2649" s="956"/>
      <c r="K2649" s="956"/>
      <c r="Q2649" s="11" t="s">
        <v>1685</v>
      </c>
      <c r="R2649" s="11">
        <v>0.6</v>
      </c>
      <c r="AA2649" s="11" t="s">
        <v>1685</v>
      </c>
      <c r="AB2649" s="11">
        <v>0.6</v>
      </c>
    </row>
    <row r="2650" spans="4:31" s="29" customFormat="1" x14ac:dyDescent="0.25">
      <c r="D2650" s="955" t="s">
        <v>7</v>
      </c>
      <c r="E2650" s="955"/>
      <c r="F2650" s="955"/>
      <c r="G2650" s="956" t="s">
        <v>2145</v>
      </c>
      <c r="H2650" s="956"/>
      <c r="I2650" s="956"/>
      <c r="J2650" s="956"/>
      <c r="K2650" s="956"/>
      <c r="Q2650" s="11" t="s">
        <v>1708</v>
      </c>
      <c r="R2650" s="11">
        <f>(SUM(R2645:R2648)*R2649)+SUM(R2645:R2648)</f>
        <v>2166.3680969040147</v>
      </c>
      <c r="AA2650" s="11" t="s">
        <v>1708</v>
      </c>
      <c r="AB2650" s="11">
        <f>(SUM(AB2645:AB2648)*AB2649)+SUM(AB2645:AB2648)</f>
        <v>4436.4480969040142</v>
      </c>
    </row>
    <row r="2651" spans="4:31" s="29" customFormat="1" x14ac:dyDescent="0.25">
      <c r="D2651" s="955"/>
      <c r="E2651" s="955"/>
      <c r="F2651" s="955"/>
      <c r="G2651" s="956"/>
      <c r="H2651" s="956"/>
      <c r="I2651" s="956"/>
      <c r="J2651" s="956"/>
      <c r="K2651" s="956"/>
      <c r="Q2651" s="11" t="s">
        <v>2130</v>
      </c>
      <c r="R2651" s="11">
        <f>R2650*0.08</f>
        <v>173.30944775232118</v>
      </c>
      <c r="AA2651" s="11" t="s">
        <v>2130</v>
      </c>
      <c r="AB2651" s="11">
        <f>AB2650*0.08</f>
        <v>354.91584775232116</v>
      </c>
    </row>
    <row r="2652" spans="4:31" s="29" customFormat="1" x14ac:dyDescent="0.25">
      <c r="D2652" s="955"/>
      <c r="E2652" s="955"/>
      <c r="F2652" s="955"/>
      <c r="G2652" s="956"/>
      <c r="H2652" s="956"/>
      <c r="I2652" s="956"/>
      <c r="J2652" s="956"/>
      <c r="K2652" s="956"/>
      <c r="Q2652" s="11" t="s">
        <v>1686</v>
      </c>
      <c r="R2652" s="11">
        <f>SUM(R2650+R2651)</f>
        <v>2339.6775446563361</v>
      </c>
      <c r="AA2652" s="11" t="s">
        <v>1686</v>
      </c>
      <c r="AB2652" s="11">
        <f>SUM(AB2650+AB2651)</f>
        <v>4791.3639446563357</v>
      </c>
    </row>
    <row r="2653" spans="4:31" s="29" customFormat="1" x14ac:dyDescent="0.25">
      <c r="D2653" s="106"/>
      <c r="E2653" s="106"/>
      <c r="F2653" s="106"/>
      <c r="G2653" s="107"/>
      <c r="H2653" s="107"/>
      <c r="I2653" s="107"/>
      <c r="J2653" s="107"/>
      <c r="K2653" s="107"/>
    </row>
    <row r="2654" spans="4:31" s="29" customFormat="1" x14ac:dyDescent="0.25"/>
    <row r="2655" spans="4:31" s="29" customFormat="1" x14ac:dyDescent="0.25">
      <c r="D2655" s="953" t="s">
        <v>8</v>
      </c>
      <c r="E2655" s="953"/>
      <c r="F2655" s="953"/>
      <c r="G2655" s="953"/>
      <c r="H2655" s="953"/>
      <c r="I2655" s="953"/>
      <c r="J2655" s="953"/>
      <c r="K2655" s="953"/>
    </row>
    <row r="2656" spans="4:31" s="29" customFormat="1" x14ac:dyDescent="0.25">
      <c r="D2656" s="954" t="s">
        <v>0</v>
      </c>
      <c r="E2656" s="954"/>
      <c r="F2656" s="954"/>
      <c r="G2656" s="954" t="s">
        <v>1</v>
      </c>
      <c r="H2656" s="954"/>
      <c r="I2656" s="954"/>
      <c r="J2656" s="954"/>
      <c r="K2656" s="954"/>
    </row>
    <row r="2657" spans="4:31" s="29" customFormat="1" ht="15.75" customHeight="1" x14ac:dyDescent="0.25">
      <c r="D2657" s="955" t="s">
        <v>2</v>
      </c>
      <c r="E2657" s="955"/>
      <c r="F2657" s="955"/>
      <c r="G2657" s="956" t="s">
        <v>827</v>
      </c>
      <c r="H2657" s="956"/>
      <c r="I2657" s="956"/>
      <c r="J2657" s="956"/>
      <c r="K2657" s="956"/>
    </row>
    <row r="2658" spans="4:31" s="29" customFormat="1" x14ac:dyDescent="0.25">
      <c r="D2658" s="955"/>
      <c r="E2658" s="955"/>
      <c r="F2658" s="955"/>
      <c r="G2658" s="956"/>
      <c r="H2658" s="956"/>
      <c r="I2658" s="956"/>
      <c r="J2658" s="956"/>
      <c r="K2658" s="956"/>
      <c r="M2658" s="10" t="s">
        <v>336</v>
      </c>
      <c r="N2658" s="10" t="s">
        <v>174</v>
      </c>
      <c r="O2658" s="10" t="s">
        <v>248</v>
      </c>
      <c r="P2658" s="10" t="s">
        <v>176</v>
      </c>
      <c r="Q2658" s="10" t="s">
        <v>337</v>
      </c>
      <c r="R2658" s="10" t="s">
        <v>1641</v>
      </c>
      <c r="S2658" s="10" t="s">
        <v>1642</v>
      </c>
      <c r="T2658" s="10" t="s">
        <v>1643</v>
      </c>
      <c r="U2658" s="10" t="s">
        <v>1644</v>
      </c>
      <c r="W2658" s="10" t="s">
        <v>336</v>
      </c>
      <c r="X2658" s="10" t="s">
        <v>174</v>
      </c>
      <c r="Y2658" s="10" t="s">
        <v>248</v>
      </c>
      <c r="Z2658" s="10" t="s">
        <v>176</v>
      </c>
      <c r="AA2658" s="10" t="s">
        <v>337</v>
      </c>
      <c r="AB2658" s="10" t="s">
        <v>1641</v>
      </c>
      <c r="AC2658" s="10" t="s">
        <v>1642</v>
      </c>
      <c r="AD2658" s="10" t="s">
        <v>1643</v>
      </c>
      <c r="AE2658" s="10" t="s">
        <v>1644</v>
      </c>
    </row>
    <row r="2659" spans="4:31" s="29" customFormat="1" x14ac:dyDescent="0.25">
      <c r="D2659" s="955"/>
      <c r="E2659" s="955"/>
      <c r="F2659" s="955"/>
      <c r="G2659" s="956"/>
      <c r="H2659" s="956"/>
      <c r="I2659" s="956"/>
      <c r="J2659" s="956"/>
      <c r="K2659" s="956"/>
      <c r="M2659" s="11" t="s">
        <v>900</v>
      </c>
      <c r="N2659" s="11">
        <f>M15</f>
        <v>1.4</v>
      </c>
      <c r="O2659" s="11" t="str">
        <f>L15</f>
        <v>g</v>
      </c>
      <c r="P2659" s="11">
        <v>20</v>
      </c>
      <c r="Q2659" s="11">
        <f t="shared" ref="Q2659:Q2664" si="910">N2659*P2659</f>
        <v>28</v>
      </c>
      <c r="R2659" s="11">
        <f>AL16</f>
        <v>0.3</v>
      </c>
      <c r="S2659" s="11">
        <f>P2659*R2659</f>
        <v>6</v>
      </c>
      <c r="T2659" s="11">
        <f>P2659-S2659</f>
        <v>14</v>
      </c>
      <c r="U2659" s="11">
        <f>Q2659+((S2659*Q2659)/P2659)</f>
        <v>36.4</v>
      </c>
      <c r="W2659" s="11" t="s">
        <v>900</v>
      </c>
      <c r="X2659" s="307">
        <f>M15</f>
        <v>1.4</v>
      </c>
      <c r="Y2659" s="11" t="str">
        <f>L15</f>
        <v>g</v>
      </c>
      <c r="Z2659" s="11">
        <v>20</v>
      </c>
      <c r="AA2659" s="11">
        <f t="shared" ref="AA2659:AA2664" si="911">X2659*Z2659</f>
        <v>28</v>
      </c>
      <c r="AB2659" s="11">
        <f>AV16</f>
        <v>0</v>
      </c>
      <c r="AC2659" s="11">
        <f>Z2659*AB2659</f>
        <v>0</v>
      </c>
      <c r="AD2659" s="11">
        <f>Z2659-AC2659</f>
        <v>20</v>
      </c>
      <c r="AE2659" s="11">
        <f>AA2659+((AC2659*AA2659)/Z2659)</f>
        <v>28</v>
      </c>
    </row>
    <row r="2660" spans="4:31" s="29" customFormat="1" x14ac:dyDescent="0.25">
      <c r="D2660" s="954" t="s">
        <v>0</v>
      </c>
      <c r="E2660" s="954"/>
      <c r="F2660" s="954"/>
      <c r="G2660" s="954" t="s">
        <v>1</v>
      </c>
      <c r="H2660" s="954"/>
      <c r="I2660" s="954"/>
      <c r="J2660" s="954"/>
      <c r="K2660" s="954"/>
      <c r="M2660" s="11" t="s">
        <v>742</v>
      </c>
      <c r="N2660" s="11">
        <f>M3</f>
        <v>4</v>
      </c>
      <c r="O2660" s="11" t="str">
        <f>L3</f>
        <v>g</v>
      </c>
      <c r="P2660" s="11">
        <v>20</v>
      </c>
      <c r="Q2660" s="11">
        <f t="shared" si="910"/>
        <v>80</v>
      </c>
      <c r="R2660" s="11">
        <v>0</v>
      </c>
      <c r="S2660" s="11">
        <f t="shared" ref="S2660:S2664" si="912">P2660*R2660</f>
        <v>0</v>
      </c>
      <c r="T2660" s="11">
        <f t="shared" ref="T2660:T2664" si="913">P2660-S2660</f>
        <v>20</v>
      </c>
      <c r="U2660" s="11">
        <f t="shared" ref="U2660:U2664" si="914">Q2660+((S2660*Q2660)/P2660)</f>
        <v>80</v>
      </c>
      <c r="W2660" s="11" t="s">
        <v>742</v>
      </c>
      <c r="X2660" s="307">
        <f>M3</f>
        <v>4</v>
      </c>
      <c r="Y2660" s="11" t="str">
        <f>L3</f>
        <v>g</v>
      </c>
      <c r="Z2660" s="11">
        <v>20</v>
      </c>
      <c r="AA2660" s="11">
        <f t="shared" si="911"/>
        <v>80</v>
      </c>
      <c r="AB2660" s="11">
        <v>0</v>
      </c>
      <c r="AC2660" s="11">
        <f t="shared" ref="AC2660:AC2664" si="915">Z2660*AB2660</f>
        <v>0</v>
      </c>
      <c r="AD2660" s="11">
        <f t="shared" ref="AD2660:AD2664" si="916">Z2660-AC2660</f>
        <v>20</v>
      </c>
      <c r="AE2660" s="11">
        <f t="shared" ref="AE2660:AE2664" si="917">AA2660+((AC2660*AA2660)/Z2660)</f>
        <v>80</v>
      </c>
    </row>
    <row r="2661" spans="4:31" s="29" customFormat="1" x14ac:dyDescent="0.25">
      <c r="D2661" s="955" t="s">
        <v>3</v>
      </c>
      <c r="E2661" s="955"/>
      <c r="F2661" s="955"/>
      <c r="G2661" s="957" t="s">
        <v>828</v>
      </c>
      <c r="H2661" s="956"/>
      <c r="I2661" s="956"/>
      <c r="J2661" s="956"/>
      <c r="K2661" s="956"/>
      <c r="M2661" s="11" t="s">
        <v>901</v>
      </c>
      <c r="N2661" s="11">
        <f>M7</f>
        <v>1.1419999999999999</v>
      </c>
      <c r="O2661" s="11" t="str">
        <f>L7</f>
        <v>g</v>
      </c>
      <c r="P2661" s="11">
        <v>20</v>
      </c>
      <c r="Q2661" s="11">
        <f t="shared" si="910"/>
        <v>22.839999999999996</v>
      </c>
      <c r="R2661" s="11">
        <f>AL8</f>
        <v>0.36</v>
      </c>
      <c r="S2661" s="11">
        <f t="shared" si="912"/>
        <v>7.1999999999999993</v>
      </c>
      <c r="T2661" s="11">
        <f t="shared" si="913"/>
        <v>12.8</v>
      </c>
      <c r="U2661" s="11">
        <f t="shared" si="914"/>
        <v>31.062399999999993</v>
      </c>
      <c r="W2661" s="11" t="s">
        <v>901</v>
      </c>
      <c r="X2661" s="307">
        <f>M7</f>
        <v>1.1419999999999999</v>
      </c>
      <c r="Y2661" s="11" t="str">
        <f>L7</f>
        <v>g</v>
      </c>
      <c r="Z2661" s="11">
        <v>20</v>
      </c>
      <c r="AA2661" s="11">
        <f t="shared" si="911"/>
        <v>22.839999999999996</v>
      </c>
      <c r="AB2661" s="11">
        <f>AL8</f>
        <v>0.36</v>
      </c>
      <c r="AC2661" s="11">
        <f t="shared" si="915"/>
        <v>7.1999999999999993</v>
      </c>
      <c r="AD2661" s="11">
        <f t="shared" si="916"/>
        <v>12.8</v>
      </c>
      <c r="AE2661" s="11">
        <f>AA2661+((AC2661*AA2661)/Z2661)</f>
        <v>31.062399999999993</v>
      </c>
    </row>
    <row r="2662" spans="4:31" s="29" customFormat="1" x14ac:dyDescent="0.25">
      <c r="D2662" s="955"/>
      <c r="E2662" s="955"/>
      <c r="F2662" s="955"/>
      <c r="G2662" s="956"/>
      <c r="H2662" s="956"/>
      <c r="I2662" s="956"/>
      <c r="J2662" s="956"/>
      <c r="K2662" s="956"/>
      <c r="M2662" s="11" t="s">
        <v>902</v>
      </c>
      <c r="N2662" s="11">
        <f>Y23</f>
        <v>30</v>
      </c>
      <c r="O2662" s="11" t="str">
        <f>X23</f>
        <v>g</v>
      </c>
      <c r="P2662" s="11">
        <v>8</v>
      </c>
      <c r="Q2662" s="11">
        <f t="shared" si="910"/>
        <v>240</v>
      </c>
      <c r="R2662" s="11">
        <v>0</v>
      </c>
      <c r="S2662" s="11">
        <f t="shared" si="912"/>
        <v>0</v>
      </c>
      <c r="T2662" s="11">
        <f t="shared" si="913"/>
        <v>8</v>
      </c>
      <c r="U2662" s="11">
        <f t="shared" si="914"/>
        <v>240</v>
      </c>
      <c r="W2662" s="11" t="s">
        <v>902</v>
      </c>
      <c r="X2662" s="307">
        <f>Y23</f>
        <v>30</v>
      </c>
      <c r="Y2662" s="11" t="str">
        <f>X23</f>
        <v>g</v>
      </c>
      <c r="Z2662" s="11">
        <v>8</v>
      </c>
      <c r="AA2662" s="11">
        <f t="shared" si="911"/>
        <v>240</v>
      </c>
      <c r="AB2662" s="11">
        <v>0</v>
      </c>
      <c r="AC2662" s="11">
        <f t="shared" si="915"/>
        <v>0</v>
      </c>
      <c r="AD2662" s="11">
        <f t="shared" si="916"/>
        <v>8</v>
      </c>
      <c r="AE2662" s="11">
        <f t="shared" si="917"/>
        <v>240</v>
      </c>
    </row>
    <row r="2663" spans="4:31" s="29" customFormat="1" x14ac:dyDescent="0.25">
      <c r="D2663" s="955"/>
      <c r="E2663" s="955"/>
      <c r="F2663" s="955"/>
      <c r="G2663" s="956"/>
      <c r="H2663" s="956"/>
      <c r="I2663" s="956"/>
      <c r="J2663" s="956"/>
      <c r="K2663" s="956"/>
      <c r="M2663" s="11" t="s">
        <v>443</v>
      </c>
      <c r="N2663" s="11">
        <f>Y7</f>
        <v>3.6</v>
      </c>
      <c r="O2663" s="11" t="str">
        <f>X7</f>
        <v>g</v>
      </c>
      <c r="P2663" s="11">
        <v>4</v>
      </c>
      <c r="Q2663" s="11">
        <f t="shared" si="910"/>
        <v>14.4</v>
      </c>
      <c r="R2663" s="11">
        <v>0</v>
      </c>
      <c r="S2663" s="11">
        <f t="shared" si="912"/>
        <v>0</v>
      </c>
      <c r="T2663" s="11">
        <f t="shared" si="913"/>
        <v>4</v>
      </c>
      <c r="U2663" s="11">
        <f t="shared" si="914"/>
        <v>14.4</v>
      </c>
      <c r="W2663" s="11" t="s">
        <v>1882</v>
      </c>
      <c r="X2663" s="307">
        <f>AE34</f>
        <v>235</v>
      </c>
      <c r="Y2663" s="11" t="str">
        <f>AD34</f>
        <v>g</v>
      </c>
      <c r="Z2663" s="11">
        <v>4</v>
      </c>
      <c r="AA2663" s="11">
        <f t="shared" si="911"/>
        <v>940</v>
      </c>
      <c r="AB2663" s="11">
        <v>0</v>
      </c>
      <c r="AC2663" s="11">
        <f t="shared" si="915"/>
        <v>0</v>
      </c>
      <c r="AD2663" s="11">
        <f t="shared" si="916"/>
        <v>4</v>
      </c>
      <c r="AE2663" s="11">
        <f t="shared" si="917"/>
        <v>940</v>
      </c>
    </row>
    <row r="2664" spans="4:31" s="29" customFormat="1" x14ac:dyDescent="0.25">
      <c r="D2664" s="955" t="s">
        <v>4</v>
      </c>
      <c r="E2664" s="955"/>
      <c r="F2664" s="955"/>
      <c r="G2664" s="956" t="s">
        <v>825</v>
      </c>
      <c r="H2664" s="956"/>
      <c r="I2664" s="956"/>
      <c r="J2664" s="956"/>
      <c r="K2664" s="956"/>
      <c r="M2664" s="11" t="s">
        <v>354</v>
      </c>
      <c r="N2664" s="11">
        <f>V4</f>
        <v>3.08</v>
      </c>
      <c r="O2664" s="11" t="str">
        <f>U4</f>
        <v>mL</v>
      </c>
      <c r="P2664" s="11">
        <v>150</v>
      </c>
      <c r="Q2664" s="11">
        <f t="shared" si="910"/>
        <v>462</v>
      </c>
      <c r="R2664" s="11">
        <v>0</v>
      </c>
      <c r="S2664" s="11">
        <f t="shared" si="912"/>
        <v>0</v>
      </c>
      <c r="T2664" s="11">
        <f t="shared" si="913"/>
        <v>150</v>
      </c>
      <c r="U2664" s="11">
        <f t="shared" si="914"/>
        <v>462</v>
      </c>
      <c r="W2664" s="11" t="s">
        <v>759</v>
      </c>
      <c r="X2664" s="307">
        <f>V5</f>
        <v>8.99</v>
      </c>
      <c r="Y2664" s="11" t="str">
        <f>U5</f>
        <v>mL</v>
      </c>
      <c r="Z2664" s="11">
        <v>150</v>
      </c>
      <c r="AA2664" s="11">
        <f t="shared" si="911"/>
        <v>1348.5</v>
      </c>
      <c r="AB2664" s="11">
        <v>0</v>
      </c>
      <c r="AC2664" s="11">
        <f t="shared" si="915"/>
        <v>0</v>
      </c>
      <c r="AD2664" s="11">
        <f t="shared" si="916"/>
        <v>150</v>
      </c>
      <c r="AE2664" s="11">
        <f t="shared" si="917"/>
        <v>1348.5</v>
      </c>
    </row>
    <row r="2665" spans="4:31" s="29" customFormat="1" x14ac:dyDescent="0.25">
      <c r="D2665" s="955"/>
      <c r="E2665" s="955"/>
      <c r="F2665" s="955"/>
      <c r="G2665" s="956"/>
      <c r="H2665" s="956"/>
      <c r="I2665" s="956"/>
      <c r="J2665" s="956"/>
      <c r="K2665" s="956"/>
      <c r="M2665" s="11"/>
      <c r="N2665" s="11"/>
      <c r="O2665" s="11"/>
      <c r="P2665" s="11"/>
      <c r="Q2665" s="11"/>
      <c r="R2665" s="11"/>
      <c r="S2665" s="11"/>
      <c r="T2665" s="11"/>
      <c r="U2665" s="11"/>
      <c r="W2665" s="11"/>
      <c r="X2665" s="11"/>
      <c r="Y2665" s="11"/>
      <c r="Z2665" s="11"/>
      <c r="AA2665" s="11"/>
      <c r="AB2665" s="11"/>
      <c r="AC2665" s="11"/>
      <c r="AD2665" s="11"/>
      <c r="AE2665" s="11"/>
    </row>
    <row r="2666" spans="4:31" s="29" customFormat="1" x14ac:dyDescent="0.25">
      <c r="D2666" s="955"/>
      <c r="E2666" s="955"/>
      <c r="F2666" s="955"/>
      <c r="G2666" s="956"/>
      <c r="H2666" s="956"/>
      <c r="I2666" s="956"/>
      <c r="J2666" s="956"/>
      <c r="K2666" s="956"/>
      <c r="M2666" s="11"/>
      <c r="N2666" s="11"/>
      <c r="O2666" s="11"/>
      <c r="P2666" s="11"/>
      <c r="Q2666" s="11"/>
      <c r="R2666" s="11"/>
      <c r="S2666" s="11"/>
      <c r="T2666" s="11"/>
      <c r="U2666" s="11"/>
      <c r="W2666" s="11"/>
      <c r="X2666" s="11"/>
      <c r="Y2666" s="11"/>
      <c r="Z2666" s="11"/>
      <c r="AA2666" s="11"/>
      <c r="AB2666" s="11"/>
      <c r="AC2666" s="11"/>
      <c r="AD2666" s="11"/>
      <c r="AE2666" s="11"/>
    </row>
    <row r="2667" spans="4:31" s="29" customFormat="1" x14ac:dyDescent="0.25">
      <c r="D2667" s="955" t="s">
        <v>5</v>
      </c>
      <c r="E2667" s="955"/>
      <c r="F2667" s="955"/>
      <c r="G2667" s="956" t="s">
        <v>829</v>
      </c>
      <c r="H2667" s="956"/>
      <c r="I2667" s="956"/>
      <c r="J2667" s="956"/>
      <c r="K2667" s="956"/>
      <c r="M2667" s="11" t="s">
        <v>337</v>
      </c>
      <c r="N2667" s="11">
        <f>SUM(N2659:N2666)</f>
        <v>43.222000000000001</v>
      </c>
      <c r="O2667" s="11"/>
      <c r="P2667" s="11">
        <f>SUM(P2659:P2666)</f>
        <v>222</v>
      </c>
      <c r="Q2667" s="11">
        <f>SUM(Q2659:Q2666)</f>
        <v>847.24</v>
      </c>
      <c r="R2667" s="11"/>
      <c r="S2667" s="11"/>
      <c r="T2667" s="11"/>
      <c r="U2667" s="11">
        <f>SUM(U2659:U2666)</f>
        <v>863.86239999999998</v>
      </c>
      <c r="W2667" s="11" t="s">
        <v>337</v>
      </c>
      <c r="X2667" s="11">
        <f>SUM(X2659:X2666)</f>
        <v>280.53200000000004</v>
      </c>
      <c r="Y2667" s="11"/>
      <c r="Z2667" s="11">
        <f>SUM(Z2659:Z2666)</f>
        <v>222</v>
      </c>
      <c r="AA2667" s="11">
        <f>SUM(AA2659:AA2666)</f>
        <v>2659.34</v>
      </c>
      <c r="AB2667" s="11"/>
      <c r="AC2667" s="11"/>
      <c r="AD2667" s="11"/>
      <c r="AE2667" s="11">
        <f>SUM(AE2659:AE2666)</f>
        <v>2667.5623999999998</v>
      </c>
    </row>
    <row r="2668" spans="4:31" s="29" customFormat="1" x14ac:dyDescent="0.25">
      <c r="D2668" s="955"/>
      <c r="E2668" s="955"/>
      <c r="F2668" s="955"/>
      <c r="G2668" s="956"/>
      <c r="H2668" s="956"/>
      <c r="I2668" s="956"/>
      <c r="J2668" s="956"/>
      <c r="K2668" s="956"/>
    </row>
    <row r="2669" spans="4:31" s="29" customFormat="1" x14ac:dyDescent="0.25">
      <c r="D2669" s="955"/>
      <c r="E2669" s="955"/>
      <c r="F2669" s="955"/>
      <c r="G2669" s="956"/>
      <c r="H2669" s="956"/>
      <c r="I2669" s="956"/>
      <c r="J2669" s="956"/>
      <c r="K2669" s="956"/>
      <c r="Q2669" s="11" t="s">
        <v>1681</v>
      </c>
      <c r="R2669" s="11">
        <f>U2667</f>
        <v>863.86239999999998</v>
      </c>
      <c r="S2669" s="608" t="s">
        <v>2142</v>
      </c>
      <c r="T2669" s="608">
        <f>(R2669*100)/R2676</f>
        <v>41.249207302189191</v>
      </c>
      <c r="AA2669" s="11" t="s">
        <v>1681</v>
      </c>
      <c r="AB2669" s="11">
        <f>AE2667</f>
        <v>2667.5623999999998</v>
      </c>
      <c r="AC2669" s="608" t="s">
        <v>2142</v>
      </c>
      <c r="AD2669" s="608">
        <f>(AB2669*100)/AB2676</f>
        <v>51.19053912322844</v>
      </c>
    </row>
    <row r="2670" spans="4:31" s="29" customFormat="1" x14ac:dyDescent="0.25">
      <c r="D2670" s="955" t="s">
        <v>6</v>
      </c>
      <c r="E2670" s="955"/>
      <c r="F2670" s="955"/>
      <c r="G2670" s="956" t="s">
        <v>9</v>
      </c>
      <c r="H2670" s="956"/>
      <c r="I2670" s="956"/>
      <c r="J2670" s="956"/>
      <c r="K2670" s="956"/>
      <c r="Q2670" s="11" t="s">
        <v>2326</v>
      </c>
      <c r="R2670" s="11">
        <f>$AM$26</f>
        <v>131.82146077125219</v>
      </c>
      <c r="AA2670" s="11" t="s">
        <v>2326</v>
      </c>
      <c r="AB2670" s="11">
        <f>$AM$26</f>
        <v>131.82146077125219</v>
      </c>
    </row>
    <row r="2671" spans="4:31" s="29" customFormat="1" x14ac:dyDescent="0.25">
      <c r="D2671" s="955"/>
      <c r="E2671" s="955"/>
      <c r="F2671" s="955"/>
      <c r="G2671" s="956"/>
      <c r="H2671" s="956"/>
      <c r="I2671" s="956"/>
      <c r="J2671" s="956"/>
      <c r="K2671" s="956"/>
      <c r="Q2671" s="11" t="s">
        <v>2325</v>
      </c>
      <c r="R2671" s="11">
        <f>$AM$27</f>
        <v>75.599999999999994</v>
      </c>
      <c r="AA2671" s="11" t="s">
        <v>2325</v>
      </c>
      <c r="AB2671" s="11">
        <f>$AM$27</f>
        <v>75.599999999999994</v>
      </c>
    </row>
    <row r="2672" spans="4:31" s="29" customFormat="1" x14ac:dyDescent="0.25">
      <c r="D2672" s="955"/>
      <c r="E2672" s="955"/>
      <c r="F2672" s="955"/>
      <c r="G2672" s="956"/>
      <c r="H2672" s="956"/>
      <c r="I2672" s="956"/>
      <c r="J2672" s="956"/>
      <c r="K2672" s="956"/>
      <c r="Q2672" s="11" t="s">
        <v>1684</v>
      </c>
      <c r="R2672" s="11">
        <f>$AM$29</f>
        <v>140.66759979375703</v>
      </c>
      <c r="AA2672" s="11" t="s">
        <v>1684</v>
      </c>
      <c r="AB2672" s="11">
        <f>$AM$29</f>
        <v>140.66759979375703</v>
      </c>
    </row>
    <row r="2673" spans="4:31" s="29" customFormat="1" x14ac:dyDescent="0.25">
      <c r="D2673" s="955" t="s">
        <v>7</v>
      </c>
      <c r="E2673" s="955"/>
      <c r="F2673" s="955"/>
      <c r="G2673" s="956" t="s">
        <v>830</v>
      </c>
      <c r="H2673" s="956"/>
      <c r="I2673" s="956"/>
      <c r="J2673" s="956"/>
      <c r="K2673" s="956"/>
      <c r="Q2673" s="11" t="s">
        <v>1685</v>
      </c>
      <c r="R2673" s="11">
        <v>0.6</v>
      </c>
      <c r="AA2673" s="11" t="s">
        <v>1685</v>
      </c>
      <c r="AB2673" s="11">
        <v>0.6</v>
      </c>
    </row>
    <row r="2674" spans="4:31" s="29" customFormat="1" x14ac:dyDescent="0.25">
      <c r="D2674" s="955"/>
      <c r="E2674" s="955"/>
      <c r="F2674" s="955"/>
      <c r="G2674" s="956"/>
      <c r="H2674" s="956"/>
      <c r="I2674" s="956"/>
      <c r="J2674" s="956"/>
      <c r="K2674" s="956"/>
      <c r="Q2674" s="11" t="s">
        <v>1708</v>
      </c>
      <c r="R2674" s="11">
        <f>(SUM(R2669:R2672)*R2673)+SUM(R2669:R2672)</f>
        <v>1939.1223369040149</v>
      </c>
      <c r="AA2674" s="11" t="s">
        <v>1708</v>
      </c>
      <c r="AB2674" s="11">
        <f>(SUM(AB2669:AB2672)*AB2673)+SUM(AB2669:AB2672)</f>
        <v>4825.0423369040136</v>
      </c>
    </row>
    <row r="2675" spans="4:31" s="29" customFormat="1" x14ac:dyDescent="0.25">
      <c r="D2675" s="955"/>
      <c r="E2675" s="955"/>
      <c r="F2675" s="955"/>
      <c r="G2675" s="956"/>
      <c r="H2675" s="956"/>
      <c r="I2675" s="956"/>
      <c r="J2675" s="956"/>
      <c r="K2675" s="956"/>
      <c r="Q2675" s="11" t="s">
        <v>2130</v>
      </c>
      <c r="R2675" s="11">
        <f>R2674*0.08</f>
        <v>155.12978695232118</v>
      </c>
      <c r="AA2675" s="11" t="s">
        <v>2130</v>
      </c>
      <c r="AB2675" s="11">
        <f>AB2674*0.08</f>
        <v>386.00338695232108</v>
      </c>
    </row>
    <row r="2676" spans="4:31" s="29" customFormat="1" x14ac:dyDescent="0.25">
      <c r="Q2676" s="11" t="s">
        <v>1686</v>
      </c>
      <c r="R2676" s="11">
        <f>SUM(R2674+R2675)</f>
        <v>2094.2521238563359</v>
      </c>
      <c r="AA2676" s="11" t="s">
        <v>1686</v>
      </c>
      <c r="AB2676" s="11">
        <f>SUM(AB2674+AB2675)</f>
        <v>5211.0457238563349</v>
      </c>
    </row>
    <row r="2677" spans="4:31" s="29" customFormat="1" x14ac:dyDescent="0.25"/>
    <row r="2678" spans="4:31" s="29" customFormat="1" x14ac:dyDescent="0.25">
      <c r="D2678" s="953" t="s">
        <v>8</v>
      </c>
      <c r="E2678" s="953"/>
      <c r="F2678" s="953"/>
      <c r="G2678" s="953"/>
      <c r="H2678" s="953"/>
      <c r="I2678" s="953"/>
      <c r="J2678" s="953"/>
      <c r="K2678" s="953"/>
    </row>
    <row r="2679" spans="4:31" s="29" customFormat="1" x14ac:dyDescent="0.25">
      <c r="D2679" s="954" t="s">
        <v>0</v>
      </c>
      <c r="E2679" s="954"/>
      <c r="F2679" s="954"/>
      <c r="G2679" s="954" t="s">
        <v>1</v>
      </c>
      <c r="H2679" s="954"/>
      <c r="I2679" s="954"/>
      <c r="J2679" s="954"/>
      <c r="K2679" s="954"/>
    </row>
    <row r="2680" spans="4:31" s="29" customFormat="1" x14ac:dyDescent="0.25">
      <c r="D2680" s="955" t="s">
        <v>2</v>
      </c>
      <c r="E2680" s="955"/>
      <c r="F2680" s="955"/>
      <c r="G2680" s="956" t="s">
        <v>832</v>
      </c>
      <c r="H2680" s="956"/>
      <c r="I2680" s="956"/>
      <c r="J2680" s="956"/>
      <c r="K2680" s="956"/>
      <c r="M2680" s="10" t="s">
        <v>336</v>
      </c>
      <c r="N2680" s="10" t="s">
        <v>174</v>
      </c>
      <c r="O2680" s="10" t="s">
        <v>248</v>
      </c>
      <c r="P2680" s="10" t="s">
        <v>176</v>
      </c>
      <c r="Q2680" s="10" t="s">
        <v>337</v>
      </c>
      <c r="R2680" s="10" t="s">
        <v>1641</v>
      </c>
      <c r="S2680" s="10" t="s">
        <v>1642</v>
      </c>
      <c r="T2680" s="10" t="s">
        <v>1643</v>
      </c>
      <c r="U2680" s="10" t="s">
        <v>1644</v>
      </c>
      <c r="W2680" s="10" t="s">
        <v>336</v>
      </c>
      <c r="X2680" s="10" t="s">
        <v>174</v>
      </c>
      <c r="Y2680" s="10" t="s">
        <v>248</v>
      </c>
      <c r="Z2680" s="10" t="s">
        <v>176</v>
      </c>
      <c r="AA2680" s="10" t="s">
        <v>337</v>
      </c>
      <c r="AB2680" s="10" t="s">
        <v>1641</v>
      </c>
      <c r="AC2680" s="10" t="s">
        <v>1642</v>
      </c>
      <c r="AD2680" s="10" t="s">
        <v>1643</v>
      </c>
      <c r="AE2680" s="10" t="s">
        <v>1644</v>
      </c>
    </row>
    <row r="2681" spans="4:31" s="29" customFormat="1" x14ac:dyDescent="0.25">
      <c r="D2681" s="955"/>
      <c r="E2681" s="955"/>
      <c r="F2681" s="955"/>
      <c r="G2681" s="956"/>
      <c r="H2681" s="956"/>
      <c r="I2681" s="956"/>
      <c r="J2681" s="956"/>
      <c r="K2681" s="956"/>
      <c r="M2681" s="11" t="s">
        <v>903</v>
      </c>
      <c r="N2681" s="11">
        <f>M16</f>
        <v>36.479999999999997</v>
      </c>
      <c r="O2681" s="11" t="str">
        <f>L16</f>
        <v>g</v>
      </c>
      <c r="P2681" s="11">
        <v>10</v>
      </c>
      <c r="Q2681" s="11">
        <f>N2681*P2681</f>
        <v>364.79999999999995</v>
      </c>
      <c r="R2681" s="11">
        <v>0</v>
      </c>
      <c r="S2681" s="11">
        <f>P2681*R2681</f>
        <v>0</v>
      </c>
      <c r="T2681" s="11">
        <f>P2681-S2681</f>
        <v>10</v>
      </c>
      <c r="U2681" s="11">
        <f>Q2681+((S2681*Q2681)/P2681)</f>
        <v>364.79999999999995</v>
      </c>
      <c r="W2681" s="11" t="s">
        <v>903</v>
      </c>
      <c r="X2681" s="307">
        <f>M16</f>
        <v>36.479999999999997</v>
      </c>
      <c r="Y2681" s="11" t="str">
        <f>L16</f>
        <v>g</v>
      </c>
      <c r="Z2681" s="11">
        <v>10</v>
      </c>
      <c r="AA2681" s="11">
        <f>X2681*Z2681</f>
        <v>364.79999999999995</v>
      </c>
      <c r="AB2681" s="11">
        <v>0</v>
      </c>
      <c r="AC2681" s="11">
        <f>Z2681*AB2681</f>
        <v>0</v>
      </c>
      <c r="AD2681" s="11">
        <f>Z2681-AC2681</f>
        <v>10</v>
      </c>
      <c r="AE2681" s="11">
        <f>AA2681+((AC2681*AA2681)/Z2681)</f>
        <v>364.79999999999995</v>
      </c>
    </row>
    <row r="2682" spans="4:31" s="29" customFormat="1" x14ac:dyDescent="0.25">
      <c r="D2682" s="955"/>
      <c r="E2682" s="955"/>
      <c r="F2682" s="955"/>
      <c r="G2682" s="956"/>
      <c r="H2682" s="956"/>
      <c r="I2682" s="956"/>
      <c r="J2682" s="956"/>
      <c r="K2682" s="956"/>
      <c r="M2682" s="11" t="s">
        <v>904</v>
      </c>
      <c r="N2682" s="11">
        <f>M17</f>
        <v>3.5</v>
      </c>
      <c r="O2682" s="11" t="str">
        <f>L17</f>
        <v>g</v>
      </c>
      <c r="P2682" s="11">
        <v>20</v>
      </c>
      <c r="Q2682" s="11">
        <f t="shared" ref="Q2682:Q2684" si="918">N2682*P2682</f>
        <v>70</v>
      </c>
      <c r="R2682" s="11">
        <v>0</v>
      </c>
      <c r="S2682" s="11">
        <f t="shared" ref="S2682:S2685" si="919">P2682*R2682</f>
        <v>0</v>
      </c>
      <c r="T2682" s="11">
        <f t="shared" ref="T2682:T2685" si="920">P2682-S2682</f>
        <v>20</v>
      </c>
      <c r="U2682" s="11">
        <f t="shared" ref="U2682:U2685" si="921">Q2682+((S2682*Q2682)/P2682)</f>
        <v>70</v>
      </c>
      <c r="W2682" s="11" t="s">
        <v>904</v>
      </c>
      <c r="X2682" s="307">
        <f>M17</f>
        <v>3.5</v>
      </c>
      <c r="Y2682" s="11" t="str">
        <f>L17</f>
        <v>g</v>
      </c>
      <c r="Z2682" s="11">
        <v>20</v>
      </c>
      <c r="AA2682" s="11">
        <f t="shared" ref="AA2682:AA2684" si="922">X2682*Z2682</f>
        <v>70</v>
      </c>
      <c r="AB2682" s="11">
        <v>0</v>
      </c>
      <c r="AC2682" s="11">
        <f t="shared" ref="AC2682:AC2685" si="923">Z2682*AB2682</f>
        <v>0</v>
      </c>
      <c r="AD2682" s="11">
        <f t="shared" ref="AD2682:AD2685" si="924">Z2682-AC2682</f>
        <v>20</v>
      </c>
      <c r="AE2682" s="11">
        <f t="shared" ref="AE2682:AE2685" si="925">AA2682+((AC2682*AA2682)/Z2682)</f>
        <v>70</v>
      </c>
    </row>
    <row r="2683" spans="4:31" s="29" customFormat="1" x14ac:dyDescent="0.25">
      <c r="D2683" s="954" t="s">
        <v>0</v>
      </c>
      <c r="E2683" s="954"/>
      <c r="F2683" s="954"/>
      <c r="G2683" s="954" t="s">
        <v>1</v>
      </c>
      <c r="H2683" s="954"/>
      <c r="I2683" s="954"/>
      <c r="J2683" s="954"/>
      <c r="K2683" s="954"/>
      <c r="M2683" s="11" t="s">
        <v>905</v>
      </c>
      <c r="N2683" s="11">
        <f>M2</f>
        <v>1.833</v>
      </c>
      <c r="O2683" s="11" t="str">
        <f>L2</f>
        <v>g</v>
      </c>
      <c r="P2683" s="11">
        <v>30</v>
      </c>
      <c r="Q2683" s="11">
        <f t="shared" si="918"/>
        <v>54.99</v>
      </c>
      <c r="R2683" s="11">
        <f>AL3</f>
        <v>0.35</v>
      </c>
      <c r="S2683" s="11">
        <f t="shared" si="919"/>
        <v>10.5</v>
      </c>
      <c r="T2683" s="11">
        <f t="shared" si="920"/>
        <v>19.5</v>
      </c>
      <c r="U2683" s="11">
        <f t="shared" si="921"/>
        <v>74.236500000000007</v>
      </c>
      <c r="W2683" s="11" t="s">
        <v>905</v>
      </c>
      <c r="X2683" s="307">
        <f>M2</f>
        <v>1.833</v>
      </c>
      <c r="Y2683" s="11" t="str">
        <f>L2</f>
        <v>g</v>
      </c>
      <c r="Z2683" s="11">
        <v>30</v>
      </c>
      <c r="AA2683" s="11">
        <f t="shared" si="922"/>
        <v>54.99</v>
      </c>
      <c r="AB2683" s="11">
        <f>AL3</f>
        <v>0.35</v>
      </c>
      <c r="AC2683" s="11">
        <f t="shared" si="923"/>
        <v>10.5</v>
      </c>
      <c r="AD2683" s="11">
        <f t="shared" si="924"/>
        <v>19.5</v>
      </c>
      <c r="AE2683" s="11">
        <f t="shared" si="925"/>
        <v>74.236500000000007</v>
      </c>
    </row>
    <row r="2684" spans="4:31" s="29" customFormat="1" x14ac:dyDescent="0.25">
      <c r="D2684" s="955" t="s">
        <v>3</v>
      </c>
      <c r="E2684" s="955"/>
      <c r="F2684" s="955"/>
      <c r="G2684" s="957" t="s">
        <v>831</v>
      </c>
      <c r="H2684" s="956"/>
      <c r="I2684" s="956"/>
      <c r="J2684" s="956"/>
      <c r="K2684" s="956"/>
      <c r="M2684" s="11" t="s">
        <v>443</v>
      </c>
      <c r="N2684" s="11">
        <f>Y7</f>
        <v>3.6</v>
      </c>
      <c r="O2684" s="11" t="str">
        <f>X7</f>
        <v>g</v>
      </c>
      <c r="P2684" s="11">
        <v>4</v>
      </c>
      <c r="Q2684" s="11">
        <f t="shared" si="918"/>
        <v>14.4</v>
      </c>
      <c r="R2684" s="11">
        <v>0</v>
      </c>
      <c r="S2684" s="11">
        <f t="shared" si="919"/>
        <v>0</v>
      </c>
      <c r="T2684" s="11">
        <f t="shared" si="920"/>
        <v>4</v>
      </c>
      <c r="U2684" s="11">
        <f t="shared" si="921"/>
        <v>14.4</v>
      </c>
      <c r="W2684" s="11" t="s">
        <v>1882</v>
      </c>
      <c r="X2684" s="307">
        <f>AE34</f>
        <v>235</v>
      </c>
      <c r="Y2684" s="11" t="str">
        <f>AD34</f>
        <v>g</v>
      </c>
      <c r="Z2684" s="11">
        <v>4</v>
      </c>
      <c r="AA2684" s="11">
        <f t="shared" si="922"/>
        <v>940</v>
      </c>
      <c r="AB2684" s="11">
        <v>0</v>
      </c>
      <c r="AC2684" s="11">
        <f t="shared" si="923"/>
        <v>0</v>
      </c>
      <c r="AD2684" s="11">
        <f t="shared" si="924"/>
        <v>4</v>
      </c>
      <c r="AE2684" s="11">
        <f t="shared" si="925"/>
        <v>940</v>
      </c>
    </row>
    <row r="2685" spans="4:31" s="29" customFormat="1" x14ac:dyDescent="0.25">
      <c r="D2685" s="955"/>
      <c r="E2685" s="955"/>
      <c r="F2685" s="955"/>
      <c r="G2685" s="956"/>
      <c r="H2685" s="956"/>
      <c r="I2685" s="956"/>
      <c r="J2685" s="956"/>
      <c r="K2685" s="956"/>
      <c r="M2685" s="11" t="s">
        <v>354</v>
      </c>
      <c r="N2685" s="11">
        <f>V4</f>
        <v>3.08</v>
      </c>
      <c r="O2685" s="11" t="str">
        <f>U4</f>
        <v>mL</v>
      </c>
      <c r="P2685" s="11">
        <v>150</v>
      </c>
      <c r="Q2685" s="11">
        <f>N2685*P2685</f>
        <v>462</v>
      </c>
      <c r="R2685" s="11">
        <v>0</v>
      </c>
      <c r="S2685" s="11">
        <f t="shared" si="919"/>
        <v>0</v>
      </c>
      <c r="T2685" s="11">
        <f t="shared" si="920"/>
        <v>150</v>
      </c>
      <c r="U2685" s="11">
        <f t="shared" si="921"/>
        <v>462</v>
      </c>
      <c r="W2685" s="11" t="s">
        <v>759</v>
      </c>
      <c r="X2685" s="307">
        <f>V5</f>
        <v>8.99</v>
      </c>
      <c r="Y2685" s="11" t="str">
        <f>U5</f>
        <v>mL</v>
      </c>
      <c r="Z2685" s="11">
        <v>150</v>
      </c>
      <c r="AA2685" s="11">
        <f>X2685*Z2685</f>
        <v>1348.5</v>
      </c>
      <c r="AB2685" s="11">
        <v>0</v>
      </c>
      <c r="AC2685" s="11">
        <f t="shared" si="923"/>
        <v>0</v>
      </c>
      <c r="AD2685" s="11">
        <f t="shared" si="924"/>
        <v>150</v>
      </c>
      <c r="AE2685" s="11">
        <f t="shared" si="925"/>
        <v>1348.5</v>
      </c>
    </row>
    <row r="2686" spans="4:31" s="29" customFormat="1" x14ac:dyDescent="0.25">
      <c r="D2686" s="955"/>
      <c r="E2686" s="955"/>
      <c r="F2686" s="955"/>
      <c r="G2686" s="956"/>
      <c r="H2686" s="956"/>
      <c r="I2686" s="956"/>
      <c r="J2686" s="956"/>
      <c r="K2686" s="956"/>
      <c r="M2686" s="11"/>
      <c r="N2686" s="11"/>
      <c r="O2686" s="11"/>
      <c r="P2686" s="11"/>
      <c r="Q2686" s="11"/>
      <c r="R2686" s="11"/>
      <c r="S2686" s="11"/>
      <c r="T2686" s="11"/>
      <c r="U2686" s="11"/>
      <c r="W2686" s="11"/>
      <c r="X2686" s="11"/>
      <c r="Y2686" s="11"/>
      <c r="Z2686" s="11"/>
      <c r="AA2686" s="11"/>
      <c r="AB2686" s="11"/>
      <c r="AC2686" s="11"/>
      <c r="AD2686" s="11"/>
      <c r="AE2686" s="11"/>
    </row>
    <row r="2687" spans="4:31" s="29" customFormat="1" x14ac:dyDescent="0.25">
      <c r="D2687" s="955" t="s">
        <v>4</v>
      </c>
      <c r="E2687" s="955"/>
      <c r="F2687" s="955"/>
      <c r="G2687" s="956" t="s">
        <v>825</v>
      </c>
      <c r="H2687" s="956"/>
      <c r="I2687" s="956"/>
      <c r="J2687" s="956"/>
      <c r="K2687" s="956"/>
      <c r="M2687" s="11"/>
      <c r="N2687" s="11"/>
      <c r="O2687" s="11"/>
      <c r="P2687" s="11"/>
      <c r="Q2687" s="11"/>
      <c r="R2687" s="11"/>
      <c r="S2687" s="11"/>
      <c r="T2687" s="11"/>
      <c r="U2687" s="11"/>
      <c r="W2687" s="11"/>
      <c r="X2687" s="11"/>
      <c r="Y2687" s="11"/>
      <c r="Z2687" s="11"/>
      <c r="AA2687" s="11"/>
      <c r="AB2687" s="11"/>
      <c r="AC2687" s="11"/>
      <c r="AD2687" s="11"/>
      <c r="AE2687" s="11"/>
    </row>
    <row r="2688" spans="4:31" s="29" customFormat="1" x14ac:dyDescent="0.25">
      <c r="D2688" s="955"/>
      <c r="E2688" s="955"/>
      <c r="F2688" s="955"/>
      <c r="G2688" s="956"/>
      <c r="H2688" s="956"/>
      <c r="I2688" s="956"/>
      <c r="J2688" s="956"/>
      <c r="K2688" s="956"/>
      <c r="M2688" s="11"/>
      <c r="N2688" s="11"/>
      <c r="O2688" s="11"/>
      <c r="P2688" s="11"/>
      <c r="Q2688" s="11"/>
      <c r="R2688" s="11"/>
      <c r="S2688" s="11"/>
      <c r="T2688" s="11"/>
      <c r="U2688" s="11"/>
      <c r="W2688" s="11"/>
      <c r="X2688" s="11"/>
      <c r="Y2688" s="11"/>
      <c r="Z2688" s="11"/>
      <c r="AA2688" s="11"/>
      <c r="AB2688" s="11"/>
      <c r="AC2688" s="11"/>
      <c r="AD2688" s="11"/>
      <c r="AE2688" s="11"/>
    </row>
    <row r="2689" spans="4:31" s="29" customFormat="1" x14ac:dyDescent="0.25">
      <c r="D2689" s="955"/>
      <c r="E2689" s="955"/>
      <c r="F2689" s="955"/>
      <c r="G2689" s="956"/>
      <c r="H2689" s="956"/>
      <c r="I2689" s="956"/>
      <c r="J2689" s="956"/>
      <c r="K2689" s="956"/>
      <c r="M2689" s="11" t="s">
        <v>337</v>
      </c>
      <c r="N2689" s="11">
        <f>SUM(N2681:N2688)</f>
        <v>48.492999999999995</v>
      </c>
      <c r="O2689" s="11"/>
      <c r="P2689" s="11">
        <f>SUM(P2681:P2688)</f>
        <v>214</v>
      </c>
      <c r="Q2689" s="11">
        <f>SUM(Q2681:Q2688)</f>
        <v>966.18999999999994</v>
      </c>
      <c r="R2689" s="11"/>
      <c r="S2689" s="11"/>
      <c r="T2689" s="11"/>
      <c r="U2689" s="11">
        <f>SUM(U2681:U2688)</f>
        <v>985.43649999999991</v>
      </c>
      <c r="W2689" s="11" t="s">
        <v>337</v>
      </c>
      <c r="X2689" s="11">
        <f>SUM(X2681:X2688)</f>
        <v>285.803</v>
      </c>
      <c r="Y2689" s="11"/>
      <c r="Z2689" s="11">
        <f>SUM(Z2681:Z2688)</f>
        <v>214</v>
      </c>
      <c r="AA2689" s="11">
        <f>SUM(AA2681:AA2688)</f>
        <v>2778.29</v>
      </c>
      <c r="AB2689" s="11"/>
      <c r="AC2689" s="11"/>
      <c r="AD2689" s="11"/>
      <c r="AE2689" s="11">
        <f>SUM(AE2681:AE2688)</f>
        <v>2797.5365000000002</v>
      </c>
    </row>
    <row r="2690" spans="4:31" s="29" customFormat="1" x14ac:dyDescent="0.25">
      <c r="D2690" s="955" t="s">
        <v>5</v>
      </c>
      <c r="E2690" s="955"/>
      <c r="F2690" s="955"/>
      <c r="G2690" s="956" t="s">
        <v>833</v>
      </c>
      <c r="H2690" s="956"/>
      <c r="I2690" s="956"/>
      <c r="J2690" s="956"/>
      <c r="K2690" s="956"/>
    </row>
    <row r="2691" spans="4:31" s="29" customFormat="1" x14ac:dyDescent="0.25">
      <c r="D2691" s="955"/>
      <c r="E2691" s="955"/>
      <c r="F2691" s="955"/>
      <c r="G2691" s="956"/>
      <c r="H2691" s="956"/>
      <c r="I2691" s="956"/>
      <c r="J2691" s="956"/>
      <c r="K2691" s="956"/>
      <c r="Q2691" s="11" t="s">
        <v>1681</v>
      </c>
      <c r="R2691" s="11">
        <f>U2689</f>
        <v>985.43649999999991</v>
      </c>
      <c r="S2691" s="608" t="s">
        <v>2142</v>
      </c>
      <c r="T2691" s="608">
        <f>(R2691*100)/R2698</f>
        <v>42.764516045211124</v>
      </c>
      <c r="AA2691" s="11" t="s">
        <v>1681</v>
      </c>
      <c r="AB2691" s="11">
        <f>AE2689</f>
        <v>2797.5365000000002</v>
      </c>
      <c r="AC2691" s="608" t="s">
        <v>2142</v>
      </c>
      <c r="AD2691" s="608">
        <f>(AB2691*100)/AB2698</f>
        <v>51.466543065141735</v>
      </c>
    </row>
    <row r="2692" spans="4:31" s="29" customFormat="1" x14ac:dyDescent="0.25">
      <c r="D2692" s="955"/>
      <c r="E2692" s="955"/>
      <c r="F2692" s="955"/>
      <c r="G2692" s="956"/>
      <c r="H2692" s="956"/>
      <c r="I2692" s="956"/>
      <c r="J2692" s="956"/>
      <c r="K2692" s="956"/>
      <c r="Q2692" s="11" t="s">
        <v>2326</v>
      </c>
      <c r="R2692" s="11">
        <f>$AM$26</f>
        <v>131.82146077125219</v>
      </c>
      <c r="AA2692" s="11" t="s">
        <v>2326</v>
      </c>
      <c r="AB2692" s="11">
        <f>$AM$26</f>
        <v>131.82146077125219</v>
      </c>
    </row>
    <row r="2693" spans="4:31" s="29" customFormat="1" x14ac:dyDescent="0.25">
      <c r="D2693" s="955" t="s">
        <v>6</v>
      </c>
      <c r="E2693" s="955"/>
      <c r="F2693" s="955"/>
      <c r="G2693" s="956" t="s">
        <v>9</v>
      </c>
      <c r="H2693" s="956"/>
      <c r="I2693" s="956"/>
      <c r="J2693" s="956"/>
      <c r="K2693" s="956"/>
      <c r="Q2693" s="11" t="s">
        <v>2325</v>
      </c>
      <c r="R2693" s="11">
        <f>$AM$27</f>
        <v>75.599999999999994</v>
      </c>
      <c r="AA2693" s="11" t="s">
        <v>2325</v>
      </c>
      <c r="AB2693" s="11">
        <f>$AM$27</f>
        <v>75.599999999999994</v>
      </c>
    </row>
    <row r="2694" spans="4:31" s="29" customFormat="1" x14ac:dyDescent="0.25">
      <c r="D2694" s="955"/>
      <c r="E2694" s="955"/>
      <c r="F2694" s="955"/>
      <c r="G2694" s="956"/>
      <c r="H2694" s="956"/>
      <c r="I2694" s="956"/>
      <c r="J2694" s="956"/>
      <c r="K2694" s="956"/>
      <c r="Q2694" s="11" t="s">
        <v>1684</v>
      </c>
      <c r="R2694" s="11">
        <f>$AM$29</f>
        <v>140.66759979375703</v>
      </c>
      <c r="AA2694" s="11" t="s">
        <v>1684</v>
      </c>
      <c r="AB2694" s="11">
        <f>$AM$29</f>
        <v>140.66759979375703</v>
      </c>
    </row>
    <row r="2695" spans="4:31" s="29" customFormat="1" x14ac:dyDescent="0.25">
      <c r="D2695" s="955"/>
      <c r="E2695" s="955"/>
      <c r="F2695" s="955"/>
      <c r="G2695" s="956"/>
      <c r="H2695" s="956"/>
      <c r="I2695" s="956"/>
      <c r="J2695" s="956"/>
      <c r="K2695" s="956"/>
      <c r="Q2695" s="11" t="s">
        <v>1685</v>
      </c>
      <c r="R2695" s="11">
        <v>0.6</v>
      </c>
      <c r="AA2695" s="11" t="s">
        <v>1685</v>
      </c>
      <c r="AB2695" s="11">
        <v>0.6</v>
      </c>
    </row>
    <row r="2696" spans="4:31" s="29" customFormat="1" x14ac:dyDescent="0.25">
      <c r="D2696" s="955" t="s">
        <v>7</v>
      </c>
      <c r="E2696" s="955"/>
      <c r="F2696" s="955"/>
      <c r="G2696" s="956" t="s">
        <v>834</v>
      </c>
      <c r="H2696" s="956"/>
      <c r="I2696" s="956"/>
      <c r="J2696" s="956"/>
      <c r="K2696" s="956"/>
      <c r="Q2696" s="11" t="s">
        <v>1708</v>
      </c>
      <c r="R2696" s="11">
        <f>(SUM(R2691:R2694)*R2695)+SUM(R2691:R2694)</f>
        <v>2133.6408969040144</v>
      </c>
      <c r="AA2696" s="11" t="s">
        <v>1708</v>
      </c>
      <c r="AB2696" s="11">
        <f>(SUM(AB2691:AB2694)*AB2695)+SUM(AB2691:AB2694)</f>
        <v>5033.0008969040146</v>
      </c>
    </row>
    <row r="2697" spans="4:31" s="29" customFormat="1" x14ac:dyDescent="0.25">
      <c r="D2697" s="955"/>
      <c r="E2697" s="955"/>
      <c r="F2697" s="955"/>
      <c r="G2697" s="956"/>
      <c r="H2697" s="956"/>
      <c r="I2697" s="956"/>
      <c r="J2697" s="956"/>
      <c r="K2697" s="956"/>
      <c r="Q2697" s="11" t="s">
        <v>2130</v>
      </c>
      <c r="R2697" s="11">
        <f>R2696*0.08</f>
        <v>170.69127175232117</v>
      </c>
      <c r="AA2697" s="11" t="s">
        <v>2130</v>
      </c>
      <c r="AB2697" s="11">
        <f>AB2696*0.08</f>
        <v>402.64007175232115</v>
      </c>
    </row>
    <row r="2698" spans="4:31" s="29" customFormat="1" x14ac:dyDescent="0.25">
      <c r="D2698" s="955"/>
      <c r="E2698" s="955"/>
      <c r="F2698" s="955"/>
      <c r="G2698" s="956"/>
      <c r="H2698" s="956"/>
      <c r="I2698" s="956"/>
      <c r="J2698" s="956"/>
      <c r="K2698" s="956"/>
      <c r="Q2698" s="11" t="s">
        <v>1686</v>
      </c>
      <c r="R2698" s="11">
        <f>SUM(R2696+R2697)</f>
        <v>2304.3321686563354</v>
      </c>
      <c r="AA2698" s="11" t="s">
        <v>1686</v>
      </c>
      <c r="AB2698" s="11">
        <f>SUM(AB2696+AB2697)</f>
        <v>5435.6409686563356</v>
      </c>
    </row>
    <row r="2699" spans="4:31" s="29" customFormat="1" x14ac:dyDescent="0.25"/>
    <row r="2700" spans="4:31" s="29" customFormat="1" x14ac:dyDescent="0.25"/>
    <row r="2701" spans="4:31" s="29" customFormat="1" x14ac:dyDescent="0.25">
      <c r="D2701" s="953" t="s">
        <v>8</v>
      </c>
      <c r="E2701" s="953"/>
      <c r="F2701" s="953"/>
      <c r="G2701" s="953"/>
      <c r="H2701" s="953"/>
      <c r="I2701" s="953"/>
      <c r="J2701" s="953"/>
      <c r="K2701" s="953"/>
    </row>
    <row r="2702" spans="4:31" s="29" customFormat="1" x14ac:dyDescent="0.25">
      <c r="D2702" s="954" t="s">
        <v>0</v>
      </c>
      <c r="E2702" s="954"/>
      <c r="F2702" s="954"/>
      <c r="G2702" s="954" t="s">
        <v>1</v>
      </c>
      <c r="H2702" s="954"/>
      <c r="I2702" s="954"/>
      <c r="J2702" s="954"/>
      <c r="K2702" s="954"/>
    </row>
    <row r="2703" spans="4:31" s="29" customFormat="1" x14ac:dyDescent="0.25">
      <c r="D2703" s="955" t="s">
        <v>2</v>
      </c>
      <c r="E2703" s="955"/>
      <c r="F2703" s="955"/>
      <c r="G2703" s="956" t="s">
        <v>836</v>
      </c>
      <c r="H2703" s="956"/>
      <c r="I2703" s="956"/>
      <c r="J2703" s="956"/>
      <c r="K2703" s="956"/>
    </row>
    <row r="2704" spans="4:31" s="29" customFormat="1" x14ac:dyDescent="0.25">
      <c r="D2704" s="955"/>
      <c r="E2704" s="955"/>
      <c r="F2704" s="955"/>
      <c r="G2704" s="956"/>
      <c r="H2704" s="956"/>
      <c r="I2704" s="956"/>
      <c r="J2704" s="956"/>
      <c r="K2704" s="956"/>
      <c r="M2704" s="10" t="s">
        <v>336</v>
      </c>
      <c r="N2704" s="10" t="s">
        <v>174</v>
      </c>
      <c r="O2704" s="10" t="s">
        <v>248</v>
      </c>
      <c r="P2704" s="10" t="s">
        <v>176</v>
      </c>
      <c r="Q2704" s="10" t="s">
        <v>337</v>
      </c>
      <c r="R2704" s="10" t="s">
        <v>1641</v>
      </c>
      <c r="S2704" s="10" t="s">
        <v>1642</v>
      </c>
      <c r="T2704" s="10" t="s">
        <v>1643</v>
      </c>
      <c r="U2704" s="10" t="s">
        <v>1644</v>
      </c>
      <c r="W2704" s="10" t="s">
        <v>336</v>
      </c>
      <c r="X2704" s="10" t="s">
        <v>174</v>
      </c>
      <c r="Y2704" s="10" t="s">
        <v>248</v>
      </c>
      <c r="Z2704" s="10" t="s">
        <v>176</v>
      </c>
      <c r="AA2704" s="10" t="s">
        <v>337</v>
      </c>
      <c r="AB2704" s="10" t="s">
        <v>1641</v>
      </c>
      <c r="AC2704" s="10" t="s">
        <v>1642</v>
      </c>
      <c r="AD2704" s="10" t="s">
        <v>1643</v>
      </c>
      <c r="AE2704" s="10" t="s">
        <v>1644</v>
      </c>
    </row>
    <row r="2705" spans="4:31" s="29" customFormat="1" x14ac:dyDescent="0.25">
      <c r="D2705" s="955"/>
      <c r="E2705" s="955"/>
      <c r="F2705" s="955"/>
      <c r="G2705" s="956"/>
      <c r="H2705" s="956"/>
      <c r="I2705" s="956"/>
      <c r="J2705" s="956"/>
      <c r="K2705" s="956"/>
      <c r="M2705" s="11" t="s">
        <v>734</v>
      </c>
      <c r="N2705" s="11">
        <f>M9</f>
        <v>4</v>
      </c>
      <c r="O2705" s="11" t="str">
        <f>L9</f>
        <v>g</v>
      </c>
      <c r="P2705" s="11">
        <v>40</v>
      </c>
      <c r="Q2705" s="11">
        <f t="shared" ref="Q2705:Q2710" si="926">N2705*P2705</f>
        <v>160</v>
      </c>
      <c r="R2705" s="11">
        <f>AL10</f>
        <v>0.14000000000000001</v>
      </c>
      <c r="S2705" s="11">
        <f>P2705*R2705</f>
        <v>5.6000000000000005</v>
      </c>
      <c r="T2705" s="11">
        <f>P2705-S2705</f>
        <v>34.4</v>
      </c>
      <c r="U2705" s="11">
        <f>Q2705+((S2705*Q2705)/P2705)</f>
        <v>182.4</v>
      </c>
      <c r="W2705" s="11" t="s">
        <v>734</v>
      </c>
      <c r="X2705" s="307">
        <f>M9</f>
        <v>4</v>
      </c>
      <c r="Y2705" s="11" t="str">
        <f>L9</f>
        <v>g</v>
      </c>
      <c r="Z2705" s="11">
        <v>40</v>
      </c>
      <c r="AA2705" s="11">
        <f t="shared" ref="AA2705:AA2710" si="927">X2705*Z2705</f>
        <v>160</v>
      </c>
      <c r="AB2705" s="11">
        <f>AL10</f>
        <v>0.14000000000000001</v>
      </c>
      <c r="AC2705" s="11">
        <f>Z2705*AB2705</f>
        <v>5.6000000000000005</v>
      </c>
      <c r="AD2705" s="11">
        <f>Z2705-AC2705</f>
        <v>34.4</v>
      </c>
      <c r="AE2705" s="11">
        <f>AA2705+((AC2705*AA2705)/Z2705)</f>
        <v>182.4</v>
      </c>
    </row>
    <row r="2706" spans="4:31" s="29" customFormat="1" x14ac:dyDescent="0.25">
      <c r="D2706" s="954" t="s">
        <v>0</v>
      </c>
      <c r="E2706" s="954"/>
      <c r="F2706" s="954"/>
      <c r="G2706" s="954" t="s">
        <v>1</v>
      </c>
      <c r="H2706" s="954"/>
      <c r="I2706" s="954"/>
      <c r="J2706" s="954"/>
      <c r="K2706" s="954"/>
      <c r="M2706" s="11" t="s">
        <v>742</v>
      </c>
      <c r="N2706" s="11">
        <f>M3</f>
        <v>4</v>
      </c>
      <c r="O2706" s="11" t="str">
        <f>L3</f>
        <v>g</v>
      </c>
      <c r="P2706" s="11">
        <v>20</v>
      </c>
      <c r="Q2706" s="11">
        <f t="shared" si="926"/>
        <v>80</v>
      </c>
      <c r="R2706" s="11">
        <v>0</v>
      </c>
      <c r="S2706" s="11">
        <f t="shared" ref="S2706:S2710" si="928">P2706*R2706</f>
        <v>0</v>
      </c>
      <c r="T2706" s="11">
        <f t="shared" ref="T2706:T2710" si="929">P2706-S2706</f>
        <v>20</v>
      </c>
      <c r="U2706" s="11">
        <f t="shared" ref="U2706:U2710" si="930">Q2706+((S2706*Q2706)/P2706)</f>
        <v>80</v>
      </c>
      <c r="W2706" s="11" t="s">
        <v>742</v>
      </c>
      <c r="X2706" s="307">
        <f>M3</f>
        <v>4</v>
      </c>
      <c r="Y2706" s="11" t="str">
        <f>L3</f>
        <v>g</v>
      </c>
      <c r="Z2706" s="11">
        <v>20</v>
      </c>
      <c r="AA2706" s="11">
        <f t="shared" si="927"/>
        <v>80</v>
      </c>
      <c r="AB2706" s="11">
        <v>0</v>
      </c>
      <c r="AC2706" s="11">
        <f t="shared" ref="AC2706:AC2710" si="931">Z2706*AB2706</f>
        <v>0</v>
      </c>
      <c r="AD2706" s="11">
        <f t="shared" ref="AD2706:AD2710" si="932">Z2706-AC2706</f>
        <v>20</v>
      </c>
      <c r="AE2706" s="11">
        <f t="shared" ref="AE2706:AE2710" si="933">AA2706+((AC2706*AA2706)/Z2706)</f>
        <v>80</v>
      </c>
    </row>
    <row r="2707" spans="4:31" s="29" customFormat="1" x14ac:dyDescent="0.25">
      <c r="D2707" s="955" t="s">
        <v>3</v>
      </c>
      <c r="E2707" s="955"/>
      <c r="F2707" s="955"/>
      <c r="G2707" s="957" t="s">
        <v>835</v>
      </c>
      <c r="H2707" s="956"/>
      <c r="I2707" s="956"/>
      <c r="J2707" s="956"/>
      <c r="K2707" s="956"/>
      <c r="M2707" s="11" t="s">
        <v>737</v>
      </c>
      <c r="N2707" s="307">
        <f>AB2</f>
        <v>98.4</v>
      </c>
      <c r="O2707" s="11" t="str">
        <f>AA2</f>
        <v>g</v>
      </c>
      <c r="P2707" s="11">
        <v>8</v>
      </c>
      <c r="Q2707" s="11">
        <f t="shared" si="926"/>
        <v>787.2</v>
      </c>
      <c r="R2707" s="11">
        <v>0</v>
      </c>
      <c r="S2707" s="11">
        <f t="shared" si="928"/>
        <v>0</v>
      </c>
      <c r="T2707" s="11">
        <f t="shared" si="929"/>
        <v>8</v>
      </c>
      <c r="U2707" s="11">
        <f t="shared" si="930"/>
        <v>787.2</v>
      </c>
      <c r="W2707" s="11" t="s">
        <v>737</v>
      </c>
      <c r="X2707" s="307">
        <f>AB2</f>
        <v>98.4</v>
      </c>
      <c r="Y2707" s="11" t="str">
        <f>AA2</f>
        <v>g</v>
      </c>
      <c r="Z2707" s="11">
        <v>8</v>
      </c>
      <c r="AA2707" s="11">
        <f t="shared" si="927"/>
        <v>787.2</v>
      </c>
      <c r="AB2707" s="11">
        <v>0</v>
      </c>
      <c r="AC2707" s="11">
        <f t="shared" si="931"/>
        <v>0</v>
      </c>
      <c r="AD2707" s="11">
        <f t="shared" si="932"/>
        <v>8</v>
      </c>
      <c r="AE2707" s="11">
        <f t="shared" si="933"/>
        <v>787.2</v>
      </c>
    </row>
    <row r="2708" spans="4:31" s="29" customFormat="1" x14ac:dyDescent="0.25">
      <c r="D2708" s="955"/>
      <c r="E2708" s="955"/>
      <c r="F2708" s="955"/>
      <c r="G2708" s="956"/>
      <c r="H2708" s="956"/>
      <c r="I2708" s="956"/>
      <c r="J2708" s="956"/>
      <c r="K2708" s="956"/>
      <c r="M2708" s="11" t="s">
        <v>718</v>
      </c>
      <c r="N2708" s="307">
        <f>Y9</f>
        <v>179.67</v>
      </c>
      <c r="O2708" s="11" t="str">
        <f>X9</f>
        <v>g</v>
      </c>
      <c r="P2708" s="11">
        <v>5</v>
      </c>
      <c r="Q2708" s="11">
        <f t="shared" si="926"/>
        <v>898.34999999999991</v>
      </c>
      <c r="R2708" s="11">
        <v>0</v>
      </c>
      <c r="S2708" s="11">
        <f t="shared" si="928"/>
        <v>0</v>
      </c>
      <c r="T2708" s="11">
        <f t="shared" si="929"/>
        <v>5</v>
      </c>
      <c r="U2708" s="11">
        <f t="shared" si="930"/>
        <v>898.34999999999991</v>
      </c>
      <c r="W2708" s="11" t="s">
        <v>718</v>
      </c>
      <c r="X2708" s="307">
        <f>Y9</f>
        <v>179.67</v>
      </c>
      <c r="Y2708" s="11" t="str">
        <f>X9</f>
        <v>g</v>
      </c>
      <c r="Z2708" s="11">
        <v>5</v>
      </c>
      <c r="AA2708" s="11">
        <f t="shared" si="927"/>
        <v>898.34999999999991</v>
      </c>
      <c r="AB2708" s="11">
        <v>0</v>
      </c>
      <c r="AC2708" s="11">
        <f t="shared" si="931"/>
        <v>0</v>
      </c>
      <c r="AD2708" s="11">
        <f t="shared" si="932"/>
        <v>5</v>
      </c>
      <c r="AE2708" s="11">
        <f t="shared" si="933"/>
        <v>898.34999999999991</v>
      </c>
    </row>
    <row r="2709" spans="4:31" s="29" customFormat="1" x14ac:dyDescent="0.25">
      <c r="D2709" s="955"/>
      <c r="E2709" s="955"/>
      <c r="F2709" s="955"/>
      <c r="G2709" s="956"/>
      <c r="H2709" s="956"/>
      <c r="I2709" s="956"/>
      <c r="J2709" s="956"/>
      <c r="K2709" s="956"/>
      <c r="M2709" s="11" t="s">
        <v>443</v>
      </c>
      <c r="N2709" s="307">
        <f>Y7</f>
        <v>3.6</v>
      </c>
      <c r="O2709" s="11" t="str">
        <f>X7</f>
        <v>g</v>
      </c>
      <c r="P2709" s="11">
        <v>4</v>
      </c>
      <c r="Q2709" s="11">
        <f t="shared" si="926"/>
        <v>14.4</v>
      </c>
      <c r="R2709" s="11">
        <v>0</v>
      </c>
      <c r="S2709" s="11">
        <f t="shared" si="928"/>
        <v>0</v>
      </c>
      <c r="T2709" s="11">
        <f t="shared" si="929"/>
        <v>4</v>
      </c>
      <c r="U2709" s="11">
        <f t="shared" si="930"/>
        <v>14.4</v>
      </c>
      <c r="W2709" s="11" t="s">
        <v>1882</v>
      </c>
      <c r="X2709" s="307">
        <f>AE34</f>
        <v>235</v>
      </c>
      <c r="Y2709" s="11" t="str">
        <f>AD34</f>
        <v>g</v>
      </c>
      <c r="Z2709" s="11">
        <v>4</v>
      </c>
      <c r="AA2709" s="11">
        <f t="shared" si="927"/>
        <v>940</v>
      </c>
      <c r="AB2709" s="11">
        <v>0</v>
      </c>
      <c r="AC2709" s="11">
        <f t="shared" si="931"/>
        <v>0</v>
      </c>
      <c r="AD2709" s="11">
        <f t="shared" si="932"/>
        <v>4</v>
      </c>
      <c r="AE2709" s="11">
        <f t="shared" si="933"/>
        <v>940</v>
      </c>
    </row>
    <row r="2710" spans="4:31" s="29" customFormat="1" x14ac:dyDescent="0.25">
      <c r="D2710" s="955" t="s">
        <v>4</v>
      </c>
      <c r="E2710" s="955"/>
      <c r="F2710" s="955"/>
      <c r="G2710" s="956" t="s">
        <v>825</v>
      </c>
      <c r="H2710" s="956"/>
      <c r="I2710" s="956"/>
      <c r="J2710" s="956"/>
      <c r="K2710" s="956"/>
      <c r="M2710" s="11" t="s">
        <v>354</v>
      </c>
      <c r="N2710" s="11">
        <f>V4</f>
        <v>3.08</v>
      </c>
      <c r="O2710" s="11" t="str">
        <f>U4</f>
        <v>mL</v>
      </c>
      <c r="P2710" s="11">
        <v>150</v>
      </c>
      <c r="Q2710" s="11">
        <f t="shared" si="926"/>
        <v>462</v>
      </c>
      <c r="R2710" s="11">
        <v>0</v>
      </c>
      <c r="S2710" s="11">
        <f t="shared" si="928"/>
        <v>0</v>
      </c>
      <c r="T2710" s="11">
        <f t="shared" si="929"/>
        <v>150</v>
      </c>
      <c r="U2710" s="11">
        <f t="shared" si="930"/>
        <v>462</v>
      </c>
      <c r="W2710" s="11" t="s">
        <v>759</v>
      </c>
      <c r="X2710" s="307">
        <f>V5</f>
        <v>8.99</v>
      </c>
      <c r="Y2710" s="11" t="str">
        <f>U5</f>
        <v>mL</v>
      </c>
      <c r="Z2710" s="11">
        <v>150</v>
      </c>
      <c r="AA2710" s="11">
        <f t="shared" si="927"/>
        <v>1348.5</v>
      </c>
      <c r="AB2710" s="11">
        <v>0</v>
      </c>
      <c r="AC2710" s="11">
        <f t="shared" si="931"/>
        <v>0</v>
      </c>
      <c r="AD2710" s="11">
        <f t="shared" si="932"/>
        <v>150</v>
      </c>
      <c r="AE2710" s="11">
        <f t="shared" si="933"/>
        <v>1348.5</v>
      </c>
    </row>
    <row r="2711" spans="4:31" s="29" customFormat="1" x14ac:dyDescent="0.25">
      <c r="D2711" s="955"/>
      <c r="E2711" s="955"/>
      <c r="F2711" s="955"/>
      <c r="G2711" s="956"/>
      <c r="H2711" s="956"/>
      <c r="I2711" s="956"/>
      <c r="J2711" s="956"/>
      <c r="K2711" s="956"/>
      <c r="M2711" s="11"/>
      <c r="N2711" s="11"/>
      <c r="O2711" s="11"/>
      <c r="P2711" s="11"/>
      <c r="Q2711" s="11"/>
      <c r="R2711" s="11"/>
      <c r="S2711" s="11"/>
      <c r="T2711" s="11"/>
      <c r="U2711" s="11"/>
      <c r="W2711" s="11"/>
      <c r="X2711" s="11"/>
      <c r="Y2711" s="11"/>
      <c r="Z2711" s="11"/>
      <c r="AA2711" s="11"/>
      <c r="AB2711" s="11"/>
      <c r="AC2711" s="11"/>
      <c r="AD2711" s="11"/>
      <c r="AE2711" s="11"/>
    </row>
    <row r="2712" spans="4:31" s="29" customFormat="1" x14ac:dyDescent="0.25">
      <c r="D2712" s="955"/>
      <c r="E2712" s="955"/>
      <c r="F2712" s="955"/>
      <c r="G2712" s="956"/>
      <c r="H2712" s="956"/>
      <c r="I2712" s="956"/>
      <c r="J2712" s="956"/>
      <c r="K2712" s="956"/>
      <c r="M2712" s="11"/>
      <c r="N2712" s="11"/>
      <c r="O2712" s="11"/>
      <c r="P2712" s="11"/>
      <c r="Q2712" s="11"/>
      <c r="R2712" s="11"/>
      <c r="S2712" s="11"/>
      <c r="T2712" s="11"/>
      <c r="U2712" s="11"/>
      <c r="W2712" s="11"/>
      <c r="X2712" s="11"/>
      <c r="Y2712" s="11"/>
      <c r="Z2712" s="11"/>
      <c r="AA2712" s="11"/>
      <c r="AB2712" s="11"/>
      <c r="AC2712" s="11"/>
      <c r="AD2712" s="11"/>
      <c r="AE2712" s="11"/>
    </row>
    <row r="2713" spans="4:31" s="29" customFormat="1" x14ac:dyDescent="0.25">
      <c r="D2713" s="955" t="s">
        <v>5</v>
      </c>
      <c r="E2713" s="955"/>
      <c r="F2713" s="955"/>
      <c r="G2713" s="956" t="s">
        <v>837</v>
      </c>
      <c r="H2713" s="956"/>
      <c r="I2713" s="956"/>
      <c r="J2713" s="956"/>
      <c r="K2713" s="956"/>
      <c r="M2713" s="11" t="s">
        <v>337</v>
      </c>
      <c r="N2713" s="11">
        <f>SUM(N2705:N2712)</f>
        <v>292.75</v>
      </c>
      <c r="O2713" s="11"/>
      <c r="P2713" s="11">
        <f>SUM(P2705:P2712)</f>
        <v>227</v>
      </c>
      <c r="Q2713" s="11">
        <f>SUM(Q2705:Q2712)</f>
        <v>2401.9499999999998</v>
      </c>
      <c r="R2713" s="11"/>
      <c r="S2713" s="11"/>
      <c r="T2713" s="11"/>
      <c r="U2713" s="11">
        <f>SUM(U2705:U2712)</f>
        <v>2424.35</v>
      </c>
      <c r="W2713" s="11" t="s">
        <v>337</v>
      </c>
      <c r="X2713" s="11">
        <f>SUM(X2705:X2712)</f>
        <v>530.05999999999995</v>
      </c>
      <c r="Y2713" s="11"/>
      <c r="Z2713" s="11">
        <f>SUM(Z2705:Z2712)</f>
        <v>227</v>
      </c>
      <c r="AA2713" s="11">
        <f>SUM(AA2705:AA2712)</f>
        <v>4214.05</v>
      </c>
      <c r="AB2713" s="11"/>
      <c r="AC2713" s="11"/>
      <c r="AD2713" s="11"/>
      <c r="AE2713" s="11">
        <f>SUM(AE2705:AE2712)</f>
        <v>4236.45</v>
      </c>
    </row>
    <row r="2714" spans="4:31" s="29" customFormat="1" x14ac:dyDescent="0.25">
      <c r="D2714" s="955"/>
      <c r="E2714" s="955"/>
      <c r="F2714" s="955"/>
      <c r="G2714" s="956"/>
      <c r="H2714" s="956"/>
      <c r="I2714" s="956"/>
      <c r="J2714" s="956"/>
      <c r="K2714" s="956"/>
    </row>
    <row r="2715" spans="4:31" s="29" customFormat="1" x14ac:dyDescent="0.25">
      <c r="D2715" s="955"/>
      <c r="E2715" s="955"/>
      <c r="F2715" s="955"/>
      <c r="G2715" s="956"/>
      <c r="H2715" s="956"/>
      <c r="I2715" s="956"/>
      <c r="J2715" s="956"/>
      <c r="K2715" s="956"/>
      <c r="Q2715" s="11" t="s">
        <v>1681</v>
      </c>
      <c r="R2715" s="11">
        <f>U2713</f>
        <v>2424.35</v>
      </c>
      <c r="S2715" s="608" t="s">
        <v>2142</v>
      </c>
      <c r="T2715" s="608">
        <f>(R2715*100)/R2722</f>
        <v>50.604550485165724</v>
      </c>
      <c r="AA2715" s="11" t="s">
        <v>1681</v>
      </c>
      <c r="AB2715" s="11">
        <f>AE2713</f>
        <v>4236.45</v>
      </c>
      <c r="AC2715" s="608" t="s">
        <v>2142</v>
      </c>
      <c r="AD2715" s="608">
        <f>(AB2715*100)/AB2722</f>
        <v>53.476462369881268</v>
      </c>
    </row>
    <row r="2716" spans="4:31" s="29" customFormat="1" x14ac:dyDescent="0.25">
      <c r="D2716" s="955" t="s">
        <v>6</v>
      </c>
      <c r="E2716" s="955"/>
      <c r="F2716" s="955"/>
      <c r="G2716" s="956" t="s">
        <v>9</v>
      </c>
      <c r="H2716" s="956"/>
      <c r="I2716" s="956"/>
      <c r="J2716" s="956"/>
      <c r="K2716" s="956"/>
      <c r="Q2716" s="11" t="s">
        <v>2326</v>
      </c>
      <c r="R2716" s="11">
        <f>$AM$26</f>
        <v>131.82146077125219</v>
      </c>
      <c r="AA2716" s="11" t="s">
        <v>2326</v>
      </c>
      <c r="AB2716" s="11">
        <f>$AM$26</f>
        <v>131.82146077125219</v>
      </c>
    </row>
    <row r="2717" spans="4:31" s="29" customFormat="1" x14ac:dyDescent="0.25">
      <c r="D2717" s="955"/>
      <c r="E2717" s="955"/>
      <c r="F2717" s="955"/>
      <c r="G2717" s="956"/>
      <c r="H2717" s="956"/>
      <c r="I2717" s="956"/>
      <c r="J2717" s="956"/>
      <c r="K2717" s="956"/>
      <c r="Q2717" s="11" t="s">
        <v>2325</v>
      </c>
      <c r="R2717" s="11">
        <f>$AM$27</f>
        <v>75.599999999999994</v>
      </c>
      <c r="AA2717" s="11" t="s">
        <v>2325</v>
      </c>
      <c r="AB2717" s="11">
        <f>$AM$27</f>
        <v>75.599999999999994</v>
      </c>
    </row>
    <row r="2718" spans="4:31" s="29" customFormat="1" x14ac:dyDescent="0.25">
      <c r="D2718" s="955"/>
      <c r="E2718" s="955"/>
      <c r="F2718" s="955"/>
      <c r="G2718" s="956"/>
      <c r="H2718" s="956"/>
      <c r="I2718" s="956"/>
      <c r="J2718" s="956"/>
      <c r="K2718" s="956"/>
      <c r="Q2718" s="11" t="s">
        <v>1684</v>
      </c>
      <c r="R2718" s="11">
        <f>$AM$29</f>
        <v>140.66759979375703</v>
      </c>
      <c r="AA2718" s="11" t="s">
        <v>1684</v>
      </c>
      <c r="AB2718" s="11">
        <f>$AM$29</f>
        <v>140.66759979375703</v>
      </c>
    </row>
    <row r="2719" spans="4:31" s="29" customFormat="1" x14ac:dyDescent="0.25">
      <c r="D2719" s="955" t="s">
        <v>7</v>
      </c>
      <c r="E2719" s="955"/>
      <c r="F2719" s="955"/>
      <c r="G2719" s="956" t="s">
        <v>838</v>
      </c>
      <c r="H2719" s="956"/>
      <c r="I2719" s="956"/>
      <c r="J2719" s="956"/>
      <c r="K2719" s="956"/>
      <c r="Q2719" s="11" t="s">
        <v>1685</v>
      </c>
      <c r="R2719" s="11">
        <v>0.6</v>
      </c>
      <c r="AA2719" s="11" t="s">
        <v>1685</v>
      </c>
      <c r="AB2719" s="11">
        <v>0.6</v>
      </c>
    </row>
    <row r="2720" spans="4:31" s="29" customFormat="1" x14ac:dyDescent="0.25">
      <c r="D2720" s="955"/>
      <c r="E2720" s="955"/>
      <c r="F2720" s="955"/>
      <c r="G2720" s="956"/>
      <c r="H2720" s="956"/>
      <c r="I2720" s="956"/>
      <c r="J2720" s="956"/>
      <c r="K2720" s="956"/>
      <c r="Q2720" s="11" t="s">
        <v>1708</v>
      </c>
      <c r="R2720" s="11">
        <f>(SUM(R2715:R2718)*R2719)+SUM(R2715:R2718)</f>
        <v>4435.9024969040138</v>
      </c>
      <c r="AA2720" s="11" t="s">
        <v>1708</v>
      </c>
      <c r="AB2720" s="11">
        <f>(SUM(AB2715:AB2718)*AB2719)+SUM(AB2715:AB2718)</f>
        <v>7335.2624969040153</v>
      </c>
    </row>
    <row r="2721" spans="4:31" s="29" customFormat="1" x14ac:dyDescent="0.25">
      <c r="D2721" s="955"/>
      <c r="E2721" s="955"/>
      <c r="F2721" s="955"/>
      <c r="G2721" s="956"/>
      <c r="H2721" s="956"/>
      <c r="I2721" s="956"/>
      <c r="J2721" s="956"/>
      <c r="K2721" s="956"/>
      <c r="Q2721" s="11" t="s">
        <v>2130</v>
      </c>
      <c r="R2721" s="11">
        <f>R2720*0.08</f>
        <v>354.87219975232114</v>
      </c>
      <c r="AA2721" s="11" t="s">
        <v>2130</v>
      </c>
      <c r="AB2721" s="11">
        <f>AB2720*0.08</f>
        <v>586.8209997523212</v>
      </c>
    </row>
    <row r="2722" spans="4:31" s="29" customFormat="1" x14ac:dyDescent="0.25">
      <c r="Q2722" s="11" t="s">
        <v>1686</v>
      </c>
      <c r="R2722" s="11">
        <f>SUM(R2720+R2721)</f>
        <v>4790.7746966563345</v>
      </c>
      <c r="AA2722" s="11" t="s">
        <v>1686</v>
      </c>
      <c r="AB2722" s="11">
        <f>SUM(AB2720+AB2721)</f>
        <v>7922.0834966563361</v>
      </c>
    </row>
    <row r="2723" spans="4:31" s="29" customFormat="1" x14ac:dyDescent="0.25"/>
    <row r="2724" spans="4:31" s="29" customFormat="1" x14ac:dyDescent="0.25">
      <c r="D2724" s="953" t="s">
        <v>8</v>
      </c>
      <c r="E2724" s="953"/>
      <c r="F2724" s="953"/>
      <c r="G2724" s="953"/>
      <c r="H2724" s="953"/>
      <c r="I2724" s="953"/>
      <c r="J2724" s="953"/>
      <c r="K2724" s="953"/>
    </row>
    <row r="2725" spans="4:31" s="29" customFormat="1" x14ac:dyDescent="0.25">
      <c r="D2725" s="954" t="s">
        <v>0</v>
      </c>
      <c r="E2725" s="954"/>
      <c r="F2725" s="954"/>
      <c r="G2725" s="954" t="s">
        <v>1</v>
      </c>
      <c r="H2725" s="954"/>
      <c r="I2725" s="954"/>
      <c r="J2725" s="954"/>
      <c r="K2725" s="954"/>
    </row>
    <row r="2726" spans="4:31" s="29" customFormat="1" x14ac:dyDescent="0.25">
      <c r="D2726" s="955" t="s">
        <v>2</v>
      </c>
      <c r="E2726" s="955"/>
      <c r="F2726" s="955"/>
      <c r="G2726" s="956" t="s">
        <v>839</v>
      </c>
      <c r="H2726" s="956"/>
      <c r="I2726" s="956"/>
      <c r="J2726" s="956"/>
      <c r="K2726" s="956"/>
    </row>
    <row r="2727" spans="4:31" s="29" customFormat="1" x14ac:dyDescent="0.25">
      <c r="D2727" s="955"/>
      <c r="E2727" s="955"/>
      <c r="F2727" s="955"/>
      <c r="G2727" s="956"/>
      <c r="H2727" s="956"/>
      <c r="I2727" s="956"/>
      <c r="J2727" s="956"/>
      <c r="K2727" s="956"/>
      <c r="M2727" s="10" t="s">
        <v>336</v>
      </c>
      <c r="N2727" s="10" t="s">
        <v>174</v>
      </c>
      <c r="O2727" s="10" t="s">
        <v>248</v>
      </c>
      <c r="P2727" s="10" t="s">
        <v>176</v>
      </c>
      <c r="Q2727" s="10" t="s">
        <v>337</v>
      </c>
      <c r="R2727" s="10" t="s">
        <v>1641</v>
      </c>
      <c r="S2727" s="10" t="s">
        <v>1642</v>
      </c>
      <c r="T2727" s="10" t="s">
        <v>1643</v>
      </c>
      <c r="U2727" s="10" t="s">
        <v>1644</v>
      </c>
      <c r="W2727" s="10" t="s">
        <v>336</v>
      </c>
      <c r="X2727" s="10" t="s">
        <v>174</v>
      </c>
      <c r="Y2727" s="10" t="s">
        <v>248</v>
      </c>
      <c r="Z2727" s="10" t="s">
        <v>176</v>
      </c>
      <c r="AA2727" s="10" t="s">
        <v>337</v>
      </c>
      <c r="AB2727" s="10" t="s">
        <v>1641</v>
      </c>
      <c r="AC2727" s="10" t="s">
        <v>1642</v>
      </c>
      <c r="AD2727" s="10" t="s">
        <v>1643</v>
      </c>
      <c r="AE2727" s="10" t="s">
        <v>1644</v>
      </c>
    </row>
    <row r="2728" spans="4:31" s="29" customFormat="1" x14ac:dyDescent="0.25">
      <c r="D2728" s="955"/>
      <c r="E2728" s="955"/>
      <c r="F2728" s="955"/>
      <c r="G2728" s="956"/>
      <c r="H2728" s="956"/>
      <c r="I2728" s="956"/>
      <c r="J2728" s="956"/>
      <c r="K2728" s="956"/>
      <c r="M2728" s="11" t="s">
        <v>703</v>
      </c>
      <c r="N2728" s="11">
        <f>M12</f>
        <v>2.4</v>
      </c>
      <c r="O2728" s="11" t="str">
        <f>L12</f>
        <v>g</v>
      </c>
      <c r="P2728" s="11">
        <v>20</v>
      </c>
      <c r="Q2728" s="11">
        <f>N2728*P2728</f>
        <v>48</v>
      </c>
      <c r="R2728" s="11">
        <f>AL13</f>
        <v>0.35</v>
      </c>
      <c r="S2728" s="11">
        <f>P2728*R2728</f>
        <v>7</v>
      </c>
      <c r="T2728" s="11">
        <f>P2728-S2728</f>
        <v>13</v>
      </c>
      <c r="U2728" s="11">
        <f>Q2728+((S2728*Q2728)/P2728)</f>
        <v>64.8</v>
      </c>
      <c r="W2728" s="11" t="s">
        <v>703</v>
      </c>
      <c r="X2728" s="307">
        <f>M12</f>
        <v>2.4</v>
      </c>
      <c r="Y2728" s="11" t="str">
        <f>L12</f>
        <v>g</v>
      </c>
      <c r="Z2728" s="11">
        <v>20</v>
      </c>
      <c r="AA2728" s="11">
        <f>X2728*Z2728</f>
        <v>48</v>
      </c>
      <c r="AB2728" s="11">
        <f>AL13</f>
        <v>0.35</v>
      </c>
      <c r="AC2728" s="11">
        <f>Z2728*AB2728</f>
        <v>7</v>
      </c>
      <c r="AD2728" s="11">
        <f>Z2728-AC2728</f>
        <v>13</v>
      </c>
      <c r="AE2728" s="11">
        <f>AA2728+((AC2728*AA2728)/Z2728)</f>
        <v>64.8</v>
      </c>
    </row>
    <row r="2729" spans="4:31" s="29" customFormat="1" x14ac:dyDescent="0.25">
      <c r="D2729" s="954" t="s">
        <v>0</v>
      </c>
      <c r="E2729" s="954"/>
      <c r="F2729" s="954"/>
      <c r="G2729" s="954" t="s">
        <v>1</v>
      </c>
      <c r="H2729" s="954"/>
      <c r="I2729" s="954"/>
      <c r="J2729" s="954"/>
      <c r="K2729" s="954"/>
      <c r="M2729" s="11" t="s">
        <v>907</v>
      </c>
      <c r="N2729" s="307">
        <f>M19</f>
        <v>50.086999999999996</v>
      </c>
      <c r="O2729" s="11" t="str">
        <f>L19</f>
        <v>g</v>
      </c>
      <c r="P2729" s="11">
        <v>30</v>
      </c>
      <c r="Q2729" s="11">
        <f>N2729*P2729</f>
        <v>1502.61</v>
      </c>
      <c r="R2729" s="11">
        <f>AL12</f>
        <v>7.0000000000000007E-2</v>
      </c>
      <c r="S2729" s="11">
        <f t="shared" ref="S2729:S2731" si="934">P2729*R2729</f>
        <v>2.1</v>
      </c>
      <c r="T2729" s="11">
        <f t="shared" ref="T2729:T2731" si="935">P2729-S2729</f>
        <v>27.9</v>
      </c>
      <c r="U2729" s="11">
        <f t="shared" ref="U2729:U2731" si="936">Q2729+((S2729*Q2729)/P2729)</f>
        <v>1607.7927</v>
      </c>
      <c r="W2729" s="11" t="s">
        <v>907</v>
      </c>
      <c r="X2729" s="307">
        <f>M19</f>
        <v>50.086999999999996</v>
      </c>
      <c r="Y2729" s="11" t="str">
        <f>L19</f>
        <v>g</v>
      </c>
      <c r="Z2729" s="11">
        <v>30</v>
      </c>
      <c r="AA2729" s="11">
        <f>X2729*Z2729</f>
        <v>1502.61</v>
      </c>
      <c r="AB2729" s="11">
        <f>AL12</f>
        <v>7.0000000000000007E-2</v>
      </c>
      <c r="AC2729" s="11">
        <f t="shared" ref="AC2729:AC2731" si="937">Z2729*AB2729</f>
        <v>2.1</v>
      </c>
      <c r="AD2729" s="11">
        <f t="shared" ref="AD2729:AD2731" si="938">Z2729-AC2729</f>
        <v>27.9</v>
      </c>
      <c r="AE2729" s="11">
        <f t="shared" ref="AE2729:AE2731" si="939">AA2729+((AC2729*AA2729)/Z2729)</f>
        <v>1607.7927</v>
      </c>
    </row>
    <row r="2730" spans="4:31" s="29" customFormat="1" x14ac:dyDescent="0.25">
      <c r="D2730" s="955" t="s">
        <v>3</v>
      </c>
      <c r="E2730" s="955"/>
      <c r="F2730" s="955"/>
      <c r="G2730" s="957" t="s">
        <v>840</v>
      </c>
      <c r="H2730" s="956"/>
      <c r="I2730" s="956"/>
      <c r="J2730" s="956"/>
      <c r="K2730" s="956"/>
      <c r="M2730" s="11" t="s">
        <v>737</v>
      </c>
      <c r="N2730" s="11">
        <f>AB2</f>
        <v>98.4</v>
      </c>
      <c r="O2730" s="11" t="str">
        <f>AA2</f>
        <v>g</v>
      </c>
      <c r="P2730" s="11">
        <v>8</v>
      </c>
      <c r="Q2730" s="11">
        <f>N2730*P2730</f>
        <v>787.2</v>
      </c>
      <c r="R2730" s="11">
        <v>0</v>
      </c>
      <c r="S2730" s="11">
        <f t="shared" si="934"/>
        <v>0</v>
      </c>
      <c r="T2730" s="11">
        <f t="shared" si="935"/>
        <v>8</v>
      </c>
      <c r="U2730" s="11">
        <f t="shared" si="936"/>
        <v>787.2</v>
      </c>
      <c r="W2730" s="11" t="s">
        <v>737</v>
      </c>
      <c r="X2730" s="307">
        <f>AB2</f>
        <v>98.4</v>
      </c>
      <c r="Y2730" s="11" t="str">
        <f>AA2</f>
        <v>g</v>
      </c>
      <c r="Z2730" s="11">
        <v>8</v>
      </c>
      <c r="AA2730" s="11">
        <f>X2730*Z2730</f>
        <v>787.2</v>
      </c>
      <c r="AB2730" s="11">
        <v>0</v>
      </c>
      <c r="AC2730" s="11">
        <f t="shared" si="937"/>
        <v>0</v>
      </c>
      <c r="AD2730" s="11">
        <f t="shared" si="938"/>
        <v>8</v>
      </c>
      <c r="AE2730" s="11">
        <f t="shared" si="939"/>
        <v>787.2</v>
      </c>
    </row>
    <row r="2731" spans="4:31" s="29" customFormat="1" x14ac:dyDescent="0.25">
      <c r="D2731" s="955"/>
      <c r="E2731" s="955"/>
      <c r="F2731" s="955"/>
      <c r="G2731" s="956"/>
      <c r="H2731" s="956"/>
      <c r="I2731" s="956"/>
      <c r="J2731" s="956"/>
      <c r="K2731" s="956"/>
      <c r="M2731" s="11" t="s">
        <v>443</v>
      </c>
      <c r="N2731" s="11">
        <f>Y7</f>
        <v>3.6</v>
      </c>
      <c r="O2731" s="11" t="str">
        <f>X7</f>
        <v>g</v>
      </c>
      <c r="P2731" s="11">
        <v>4</v>
      </c>
      <c r="Q2731" s="11">
        <f>N2731*P2731</f>
        <v>14.4</v>
      </c>
      <c r="R2731" s="11">
        <v>0</v>
      </c>
      <c r="S2731" s="11">
        <f t="shared" si="934"/>
        <v>0</v>
      </c>
      <c r="T2731" s="11">
        <f t="shared" si="935"/>
        <v>4</v>
      </c>
      <c r="U2731" s="11">
        <f t="shared" si="936"/>
        <v>14.4</v>
      </c>
      <c r="W2731" s="11" t="s">
        <v>1882</v>
      </c>
      <c r="X2731" s="307">
        <f>AE34</f>
        <v>235</v>
      </c>
      <c r="Y2731" s="11" t="str">
        <f>AD34</f>
        <v>g</v>
      </c>
      <c r="Z2731" s="11">
        <v>4</v>
      </c>
      <c r="AA2731" s="11">
        <f>X2731*Z2731</f>
        <v>940</v>
      </c>
      <c r="AB2731" s="11">
        <v>0</v>
      </c>
      <c r="AC2731" s="11">
        <f t="shared" si="937"/>
        <v>0</v>
      </c>
      <c r="AD2731" s="11">
        <f t="shared" si="938"/>
        <v>4</v>
      </c>
      <c r="AE2731" s="11">
        <f t="shared" si="939"/>
        <v>940</v>
      </c>
    </row>
    <row r="2732" spans="4:31" s="29" customFormat="1" x14ac:dyDescent="0.25">
      <c r="D2732" s="955"/>
      <c r="E2732" s="955"/>
      <c r="F2732" s="955"/>
      <c r="G2732" s="956"/>
      <c r="H2732" s="956"/>
      <c r="I2732" s="956"/>
      <c r="J2732" s="956"/>
      <c r="K2732" s="956"/>
      <c r="M2732" s="11"/>
      <c r="N2732" s="11"/>
      <c r="O2732" s="11"/>
      <c r="P2732" s="11"/>
      <c r="Q2732" s="11"/>
      <c r="R2732" s="11"/>
      <c r="S2732" s="11"/>
      <c r="T2732" s="11"/>
      <c r="U2732" s="11"/>
      <c r="W2732" s="11"/>
      <c r="X2732" s="11"/>
      <c r="Y2732" s="11"/>
      <c r="Z2732" s="11"/>
      <c r="AA2732" s="11"/>
      <c r="AB2732" s="11"/>
      <c r="AC2732" s="11"/>
      <c r="AD2732" s="11"/>
      <c r="AE2732" s="11"/>
    </row>
    <row r="2733" spans="4:31" s="29" customFormat="1" x14ac:dyDescent="0.25">
      <c r="D2733" s="955" t="s">
        <v>4</v>
      </c>
      <c r="E2733" s="955"/>
      <c r="F2733" s="955"/>
      <c r="G2733" s="956" t="s">
        <v>825</v>
      </c>
      <c r="H2733" s="956"/>
      <c r="I2733" s="956"/>
      <c r="J2733" s="956"/>
      <c r="K2733" s="956"/>
      <c r="M2733" s="11"/>
      <c r="N2733" s="11"/>
      <c r="O2733" s="11"/>
      <c r="P2733" s="11"/>
      <c r="Q2733" s="11"/>
      <c r="R2733" s="11"/>
      <c r="S2733" s="11"/>
      <c r="T2733" s="11"/>
      <c r="U2733" s="11"/>
      <c r="W2733" s="11"/>
      <c r="X2733" s="11"/>
      <c r="Y2733" s="11"/>
      <c r="Z2733" s="11"/>
      <c r="AA2733" s="11"/>
      <c r="AB2733" s="11"/>
      <c r="AC2733" s="11"/>
      <c r="AD2733" s="11"/>
      <c r="AE2733" s="11"/>
    </row>
    <row r="2734" spans="4:31" s="29" customFormat="1" x14ac:dyDescent="0.25">
      <c r="D2734" s="955"/>
      <c r="E2734" s="955"/>
      <c r="F2734" s="955"/>
      <c r="G2734" s="956"/>
      <c r="H2734" s="956"/>
      <c r="I2734" s="956"/>
      <c r="J2734" s="956"/>
      <c r="K2734" s="956"/>
      <c r="M2734" s="11" t="s">
        <v>337</v>
      </c>
      <c r="N2734" s="11">
        <f>SUM(N2728:N2733)</f>
        <v>154.48699999999999</v>
      </c>
      <c r="O2734" s="11"/>
      <c r="P2734" s="11">
        <f>SUM(P2728:P2733)</f>
        <v>62</v>
      </c>
      <c r="Q2734" s="11">
        <f>SUM(Q2728:Q2733)</f>
        <v>2352.21</v>
      </c>
      <c r="R2734" s="11"/>
      <c r="S2734" s="11"/>
      <c r="T2734" s="11"/>
      <c r="U2734" s="11">
        <f>SUM(U2728:U2733)</f>
        <v>2474.1927000000001</v>
      </c>
      <c r="W2734" s="11" t="s">
        <v>337</v>
      </c>
      <c r="X2734" s="11">
        <f>SUM(X2728:X2733)</f>
        <v>385.887</v>
      </c>
      <c r="Y2734" s="11"/>
      <c r="Z2734" s="11">
        <f>SUM(Z2728:Z2733)</f>
        <v>62</v>
      </c>
      <c r="AA2734" s="11">
        <f>SUM(AA2728:AA2733)</f>
        <v>3277.81</v>
      </c>
      <c r="AB2734" s="11"/>
      <c r="AC2734" s="11"/>
      <c r="AD2734" s="11"/>
      <c r="AE2734" s="11">
        <f>SUM(AE2728:AE2733)</f>
        <v>3399.7927</v>
      </c>
    </row>
    <row r="2735" spans="4:31" s="29" customFormat="1" x14ac:dyDescent="0.25">
      <c r="D2735" s="955"/>
      <c r="E2735" s="955"/>
      <c r="F2735" s="955"/>
      <c r="G2735" s="956"/>
      <c r="H2735" s="956"/>
      <c r="I2735" s="956"/>
      <c r="J2735" s="956"/>
      <c r="K2735" s="956"/>
      <c r="M2735" s="30"/>
      <c r="N2735" s="30"/>
      <c r="O2735" s="30"/>
      <c r="P2735" s="30"/>
      <c r="Q2735" s="30"/>
      <c r="R2735" s="30"/>
      <c r="S2735" s="30"/>
      <c r="T2735" s="30"/>
      <c r="U2735" s="30"/>
      <c r="W2735" s="30"/>
      <c r="X2735" s="30"/>
      <c r="Y2735" s="30"/>
      <c r="Z2735" s="30"/>
      <c r="AA2735" s="30"/>
      <c r="AB2735" s="30"/>
      <c r="AC2735" s="30"/>
      <c r="AD2735" s="30"/>
      <c r="AE2735" s="30"/>
    </row>
    <row r="2736" spans="4:31" s="29" customFormat="1" x14ac:dyDescent="0.25">
      <c r="D2736" s="955" t="s">
        <v>5</v>
      </c>
      <c r="E2736" s="955"/>
      <c r="F2736" s="955"/>
      <c r="G2736" s="956" t="s">
        <v>841</v>
      </c>
      <c r="H2736" s="956"/>
      <c r="I2736" s="956"/>
      <c r="J2736" s="956"/>
      <c r="K2736" s="956"/>
      <c r="Q2736" s="11" t="s">
        <v>1681</v>
      </c>
      <c r="R2736" s="11">
        <f>U2734</f>
        <v>2474.1927000000001</v>
      </c>
      <c r="S2736" s="608" t="s">
        <v>2142</v>
      </c>
      <c r="T2736" s="608">
        <f>(R2736*100)/R2743</f>
        <v>50.732867964253906</v>
      </c>
      <c r="AA2736" s="11" t="s">
        <v>1681</v>
      </c>
      <c r="AB2736" s="11">
        <f>AE2734</f>
        <v>3399.7927</v>
      </c>
      <c r="AC2736" s="608" t="s">
        <v>2142</v>
      </c>
      <c r="AD2736" s="608">
        <f>(AB2736*100)/AB2743</f>
        <v>52.49558958920332</v>
      </c>
    </row>
    <row r="2737" spans="4:31" s="29" customFormat="1" x14ac:dyDescent="0.25">
      <c r="D2737" s="955"/>
      <c r="E2737" s="955"/>
      <c r="F2737" s="955"/>
      <c r="G2737" s="956"/>
      <c r="H2737" s="956"/>
      <c r="I2737" s="956"/>
      <c r="J2737" s="956"/>
      <c r="K2737" s="956"/>
      <c r="Q2737" s="11" t="s">
        <v>2326</v>
      </c>
      <c r="R2737" s="11">
        <f>$AM$26</f>
        <v>131.82146077125219</v>
      </c>
      <c r="AA2737" s="11" t="s">
        <v>2326</v>
      </c>
      <c r="AB2737" s="11">
        <f>$AM$26</f>
        <v>131.82146077125219</v>
      </c>
    </row>
    <row r="2738" spans="4:31" s="29" customFormat="1" x14ac:dyDescent="0.25">
      <c r="D2738" s="955"/>
      <c r="E2738" s="955"/>
      <c r="F2738" s="955"/>
      <c r="G2738" s="956"/>
      <c r="H2738" s="956"/>
      <c r="I2738" s="956"/>
      <c r="J2738" s="956"/>
      <c r="K2738" s="956"/>
      <c r="Q2738" s="11" t="s">
        <v>2325</v>
      </c>
      <c r="R2738" s="11">
        <f>$AM$27</f>
        <v>75.599999999999994</v>
      </c>
      <c r="AA2738" s="11" t="s">
        <v>2325</v>
      </c>
      <c r="AB2738" s="11">
        <f>$AM$27</f>
        <v>75.599999999999994</v>
      </c>
    </row>
    <row r="2739" spans="4:31" s="29" customFormat="1" x14ac:dyDescent="0.25">
      <c r="D2739" s="955" t="s">
        <v>6</v>
      </c>
      <c r="E2739" s="955"/>
      <c r="F2739" s="955"/>
      <c r="G2739" s="956" t="s">
        <v>9</v>
      </c>
      <c r="H2739" s="956"/>
      <c r="I2739" s="956"/>
      <c r="J2739" s="956"/>
      <c r="K2739" s="956"/>
      <c r="Q2739" s="11" t="s">
        <v>1684</v>
      </c>
      <c r="R2739" s="11">
        <f>$AM$29</f>
        <v>140.66759979375703</v>
      </c>
      <c r="AA2739" s="11" t="s">
        <v>1684</v>
      </c>
      <c r="AB2739" s="11">
        <f>$AM$29</f>
        <v>140.66759979375703</v>
      </c>
    </row>
    <row r="2740" spans="4:31" s="29" customFormat="1" x14ac:dyDescent="0.25">
      <c r="D2740" s="955"/>
      <c r="E2740" s="955"/>
      <c r="F2740" s="955"/>
      <c r="G2740" s="956"/>
      <c r="H2740" s="956"/>
      <c r="I2740" s="956"/>
      <c r="J2740" s="956"/>
      <c r="K2740" s="956"/>
      <c r="Q2740" s="11" t="s">
        <v>1685</v>
      </c>
      <c r="R2740" s="11">
        <v>0.6</v>
      </c>
      <c r="AA2740" s="11" t="s">
        <v>1685</v>
      </c>
      <c r="AB2740" s="11">
        <v>0.6</v>
      </c>
    </row>
    <row r="2741" spans="4:31" s="29" customFormat="1" x14ac:dyDescent="0.25">
      <c r="D2741" s="955"/>
      <c r="E2741" s="955"/>
      <c r="F2741" s="955"/>
      <c r="G2741" s="956"/>
      <c r="H2741" s="956"/>
      <c r="I2741" s="956"/>
      <c r="J2741" s="956"/>
      <c r="K2741" s="956"/>
      <c r="Q2741" s="11" t="s">
        <v>1708</v>
      </c>
      <c r="R2741" s="11">
        <f>(SUM(R2736:R2739)*R2740)+SUM(R2736:R2739)</f>
        <v>4515.6508169040144</v>
      </c>
      <c r="AA2741" s="11" t="s">
        <v>1708</v>
      </c>
      <c r="AB2741" s="11">
        <f>(SUM(AB2736:AB2739)*AB2740)+SUM(AB2736:AB2739)</f>
        <v>5996.6108169040144</v>
      </c>
    </row>
    <row r="2742" spans="4:31" s="29" customFormat="1" x14ac:dyDescent="0.25">
      <c r="D2742" s="955" t="s">
        <v>7</v>
      </c>
      <c r="E2742" s="955"/>
      <c r="F2742" s="955"/>
      <c r="G2742" s="956" t="s">
        <v>842</v>
      </c>
      <c r="H2742" s="956"/>
      <c r="I2742" s="956"/>
      <c r="J2742" s="956"/>
      <c r="K2742" s="956"/>
      <c r="Q2742" s="11" t="s">
        <v>2130</v>
      </c>
      <c r="R2742" s="11">
        <f>R2741*0.08</f>
        <v>361.25206535232115</v>
      </c>
      <c r="AA2742" s="11" t="s">
        <v>2130</v>
      </c>
      <c r="AB2742" s="11">
        <f>AB2741*0.08</f>
        <v>479.72886535232118</v>
      </c>
    </row>
    <row r="2743" spans="4:31" s="29" customFormat="1" x14ac:dyDescent="0.25">
      <c r="D2743" s="955"/>
      <c r="E2743" s="955"/>
      <c r="F2743" s="955"/>
      <c r="G2743" s="956"/>
      <c r="H2743" s="956"/>
      <c r="I2743" s="956"/>
      <c r="J2743" s="956"/>
      <c r="K2743" s="956"/>
      <c r="Q2743" s="11" t="s">
        <v>1686</v>
      </c>
      <c r="R2743" s="11">
        <f>SUM(R2741+R2742)</f>
        <v>4876.9028822563359</v>
      </c>
      <c r="AA2743" s="11" t="s">
        <v>1686</v>
      </c>
      <c r="AB2743" s="11">
        <f>SUM(AB2741+AB2742)</f>
        <v>6476.3396822563354</v>
      </c>
    </row>
    <row r="2744" spans="4:31" s="29" customFormat="1" x14ac:dyDescent="0.25">
      <c r="D2744" s="955"/>
      <c r="E2744" s="955"/>
      <c r="F2744" s="955"/>
      <c r="G2744" s="956"/>
      <c r="H2744" s="956"/>
      <c r="I2744" s="956"/>
      <c r="J2744" s="956"/>
      <c r="K2744" s="956"/>
    </row>
    <row r="2745" spans="4:31" s="29" customFormat="1" x14ac:dyDescent="0.25"/>
    <row r="2746" spans="4:31" s="29" customFormat="1" x14ac:dyDescent="0.25"/>
    <row r="2747" spans="4:31" s="29" customFormat="1" x14ac:dyDescent="0.25">
      <c r="D2747" s="953" t="s">
        <v>8</v>
      </c>
      <c r="E2747" s="953"/>
      <c r="F2747" s="953"/>
      <c r="G2747" s="953"/>
      <c r="H2747" s="953"/>
      <c r="I2747" s="953"/>
      <c r="J2747" s="953"/>
      <c r="K2747" s="953"/>
    </row>
    <row r="2748" spans="4:31" s="29" customFormat="1" x14ac:dyDescent="0.25">
      <c r="D2748" s="954" t="s">
        <v>0</v>
      </c>
      <c r="E2748" s="954"/>
      <c r="F2748" s="954"/>
      <c r="G2748" s="954" t="s">
        <v>1</v>
      </c>
      <c r="H2748" s="954"/>
      <c r="I2748" s="954"/>
      <c r="J2748" s="954"/>
      <c r="K2748" s="954"/>
    </row>
    <row r="2749" spans="4:31" s="29" customFormat="1" x14ac:dyDescent="0.25">
      <c r="D2749" s="955" t="s">
        <v>2</v>
      </c>
      <c r="E2749" s="955"/>
      <c r="F2749" s="955"/>
      <c r="G2749" s="956" t="s">
        <v>844</v>
      </c>
      <c r="H2749" s="956"/>
      <c r="I2749" s="956"/>
      <c r="J2749" s="956"/>
      <c r="K2749" s="956"/>
    </row>
    <row r="2750" spans="4:31" s="29" customFormat="1" x14ac:dyDescent="0.25">
      <c r="D2750" s="955"/>
      <c r="E2750" s="955"/>
      <c r="F2750" s="955"/>
      <c r="G2750" s="956"/>
      <c r="H2750" s="956"/>
      <c r="I2750" s="956"/>
      <c r="J2750" s="956"/>
      <c r="K2750" s="956"/>
      <c r="M2750" s="10" t="s">
        <v>336</v>
      </c>
      <c r="N2750" s="10" t="s">
        <v>174</v>
      </c>
      <c r="O2750" s="10" t="s">
        <v>248</v>
      </c>
      <c r="P2750" s="10" t="s">
        <v>176</v>
      </c>
      <c r="Q2750" s="10" t="s">
        <v>337</v>
      </c>
      <c r="R2750" s="10" t="s">
        <v>1641</v>
      </c>
      <c r="S2750" s="10" t="s">
        <v>1642</v>
      </c>
      <c r="T2750" s="10" t="s">
        <v>1643</v>
      </c>
      <c r="U2750" s="10" t="s">
        <v>1644</v>
      </c>
      <c r="W2750" s="10" t="s">
        <v>336</v>
      </c>
      <c r="X2750" s="10" t="s">
        <v>174</v>
      </c>
      <c r="Y2750" s="10" t="s">
        <v>248</v>
      </c>
      <c r="Z2750" s="10" t="s">
        <v>176</v>
      </c>
      <c r="AA2750" s="10" t="s">
        <v>337</v>
      </c>
      <c r="AB2750" s="10" t="s">
        <v>1641</v>
      </c>
      <c r="AC2750" s="10" t="s">
        <v>1642</v>
      </c>
      <c r="AD2750" s="10" t="s">
        <v>1643</v>
      </c>
      <c r="AE2750" s="10" t="s">
        <v>1644</v>
      </c>
    </row>
    <row r="2751" spans="4:31" s="29" customFormat="1" x14ac:dyDescent="0.25">
      <c r="D2751" s="955"/>
      <c r="E2751" s="955"/>
      <c r="F2751" s="955"/>
      <c r="G2751" s="956"/>
      <c r="H2751" s="956"/>
      <c r="I2751" s="956"/>
      <c r="J2751" s="956"/>
      <c r="K2751" s="956"/>
      <c r="M2751" s="11" t="s">
        <v>900</v>
      </c>
      <c r="N2751" s="11">
        <f>M15</f>
        <v>1.4</v>
      </c>
      <c r="O2751" s="11" t="str">
        <f>L15</f>
        <v>g</v>
      </c>
      <c r="P2751" s="11">
        <v>20</v>
      </c>
      <c r="Q2751" s="11">
        <f>N2751*P2751</f>
        <v>28</v>
      </c>
      <c r="R2751" s="11">
        <f>AL16</f>
        <v>0.3</v>
      </c>
      <c r="S2751" s="11">
        <f>P2751*R2751</f>
        <v>6</v>
      </c>
      <c r="T2751" s="11">
        <f>P2751-S2751</f>
        <v>14</v>
      </c>
      <c r="U2751" s="11">
        <f>Q2751+((S2751*Q2751)/P2751)</f>
        <v>36.4</v>
      </c>
      <c r="W2751" s="11" t="s">
        <v>900</v>
      </c>
      <c r="X2751" s="307">
        <f>M15</f>
        <v>1.4</v>
      </c>
      <c r="Y2751" s="11" t="str">
        <f>L15</f>
        <v>g</v>
      </c>
      <c r="Z2751" s="11">
        <v>20</v>
      </c>
      <c r="AA2751" s="11">
        <f>X2751*Z2751</f>
        <v>28</v>
      </c>
      <c r="AB2751" s="11">
        <f>AL16</f>
        <v>0.3</v>
      </c>
      <c r="AC2751" s="11">
        <f>Z2751*AB2751</f>
        <v>6</v>
      </c>
      <c r="AD2751" s="11">
        <f>Z2751-AC2751</f>
        <v>14</v>
      </c>
      <c r="AE2751" s="11">
        <f>AA2751+((AC2751*AA2751)/Z2751)</f>
        <v>36.4</v>
      </c>
    </row>
    <row r="2752" spans="4:31" s="29" customFormat="1" x14ac:dyDescent="0.25">
      <c r="D2752" s="954" t="s">
        <v>0</v>
      </c>
      <c r="E2752" s="954"/>
      <c r="F2752" s="954"/>
      <c r="G2752" s="954" t="s">
        <v>1</v>
      </c>
      <c r="H2752" s="954"/>
      <c r="I2752" s="954"/>
      <c r="J2752" s="954"/>
      <c r="K2752" s="954"/>
      <c r="M2752" s="11" t="s">
        <v>909</v>
      </c>
      <c r="N2752" s="307">
        <f>M11+M5</f>
        <v>9.8569999999999993</v>
      </c>
      <c r="O2752" s="11" t="str">
        <f>L5</f>
        <v>g</v>
      </c>
      <c r="P2752" s="11">
        <v>30</v>
      </c>
      <c r="Q2752" s="11">
        <f t="shared" ref="Q2752:Q2755" si="940">N2752*P2752</f>
        <v>295.70999999999998</v>
      </c>
      <c r="R2752" s="11">
        <v>0</v>
      </c>
      <c r="S2752" s="11">
        <f t="shared" ref="S2752:S2755" si="941">P2752*R2752</f>
        <v>0</v>
      </c>
      <c r="T2752" s="11">
        <f t="shared" ref="T2752:T2755" si="942">P2752-S2752</f>
        <v>30</v>
      </c>
      <c r="U2752" s="11">
        <f t="shared" ref="U2752:U2755" si="943">Q2752+((S2752*Q2752)/P2752)</f>
        <v>295.70999999999998</v>
      </c>
      <c r="W2752" s="11" t="s">
        <v>909</v>
      </c>
      <c r="X2752" s="307">
        <f>M5+M11</f>
        <v>9.8569999999999993</v>
      </c>
      <c r="Y2752" s="307" t="str">
        <f>L11</f>
        <v>g</v>
      </c>
      <c r="Z2752" s="11">
        <v>30</v>
      </c>
      <c r="AA2752" s="11">
        <f t="shared" ref="AA2752:AA2755" si="944">X2752*Z2752</f>
        <v>295.70999999999998</v>
      </c>
      <c r="AB2752" s="11">
        <v>0</v>
      </c>
      <c r="AC2752" s="11">
        <f t="shared" ref="AC2752:AC2755" si="945">Z2752*AB2752</f>
        <v>0</v>
      </c>
      <c r="AD2752" s="11">
        <f t="shared" ref="AD2752:AD2755" si="946">Z2752-AC2752</f>
        <v>30</v>
      </c>
      <c r="AE2752" s="11">
        <f t="shared" ref="AE2752:AE2755" si="947">AA2752+((AC2752*AA2752)/Z2752)</f>
        <v>295.70999999999998</v>
      </c>
    </row>
    <row r="2753" spans="4:31" s="29" customFormat="1" x14ac:dyDescent="0.25">
      <c r="D2753" s="955" t="s">
        <v>3</v>
      </c>
      <c r="E2753" s="955"/>
      <c r="F2753" s="955"/>
      <c r="G2753" s="957" t="s">
        <v>843</v>
      </c>
      <c r="H2753" s="956"/>
      <c r="I2753" s="956"/>
      <c r="J2753" s="956"/>
      <c r="K2753" s="956"/>
      <c r="M2753" s="11" t="s">
        <v>903</v>
      </c>
      <c r="N2753" s="11">
        <f>M16</f>
        <v>36.479999999999997</v>
      </c>
      <c r="O2753" s="11" t="str">
        <f>L16</f>
        <v>g</v>
      </c>
      <c r="P2753" s="11">
        <v>5</v>
      </c>
      <c r="Q2753" s="11">
        <f t="shared" si="940"/>
        <v>182.39999999999998</v>
      </c>
      <c r="R2753" s="11">
        <v>0</v>
      </c>
      <c r="S2753" s="11">
        <f t="shared" si="941"/>
        <v>0</v>
      </c>
      <c r="T2753" s="11">
        <f t="shared" si="942"/>
        <v>5</v>
      </c>
      <c r="U2753" s="11">
        <f t="shared" si="943"/>
        <v>182.39999999999998</v>
      </c>
      <c r="W2753" s="11" t="s">
        <v>903</v>
      </c>
      <c r="X2753" s="307">
        <f>M16</f>
        <v>36.479999999999997</v>
      </c>
      <c r="Y2753" s="11" t="str">
        <f>L16</f>
        <v>g</v>
      </c>
      <c r="Z2753" s="11">
        <v>5</v>
      </c>
      <c r="AA2753" s="11">
        <f t="shared" si="944"/>
        <v>182.39999999999998</v>
      </c>
      <c r="AB2753" s="11">
        <v>0</v>
      </c>
      <c r="AC2753" s="11">
        <f t="shared" si="945"/>
        <v>0</v>
      </c>
      <c r="AD2753" s="11">
        <f t="shared" si="946"/>
        <v>5</v>
      </c>
      <c r="AE2753" s="11">
        <f t="shared" si="947"/>
        <v>182.39999999999998</v>
      </c>
    </row>
    <row r="2754" spans="4:31" s="29" customFormat="1" x14ac:dyDescent="0.25">
      <c r="D2754" s="955"/>
      <c r="E2754" s="955"/>
      <c r="F2754" s="955"/>
      <c r="G2754" s="956"/>
      <c r="H2754" s="956"/>
      <c r="I2754" s="956"/>
      <c r="J2754" s="956"/>
      <c r="K2754" s="956"/>
      <c r="M2754" s="11" t="s">
        <v>910</v>
      </c>
      <c r="N2754" s="11">
        <f>Y24</f>
        <v>31.58</v>
      </c>
      <c r="O2754" s="11" t="str">
        <f>X24</f>
        <v>g</v>
      </c>
      <c r="P2754" s="11">
        <v>3</v>
      </c>
      <c r="Q2754" s="11">
        <f t="shared" si="940"/>
        <v>94.74</v>
      </c>
      <c r="R2754" s="11">
        <v>0</v>
      </c>
      <c r="S2754" s="11">
        <f t="shared" si="941"/>
        <v>0</v>
      </c>
      <c r="T2754" s="11">
        <f t="shared" si="942"/>
        <v>3</v>
      </c>
      <c r="U2754" s="11">
        <f t="shared" si="943"/>
        <v>94.74</v>
      </c>
      <c r="W2754" s="11" t="s">
        <v>910</v>
      </c>
      <c r="X2754" s="307">
        <f>Y24</f>
        <v>31.58</v>
      </c>
      <c r="Y2754" s="11" t="str">
        <f>X24</f>
        <v>g</v>
      </c>
      <c r="Z2754" s="11">
        <v>3</v>
      </c>
      <c r="AA2754" s="11">
        <f t="shared" si="944"/>
        <v>94.74</v>
      </c>
      <c r="AB2754" s="11">
        <v>0</v>
      </c>
      <c r="AC2754" s="11">
        <f t="shared" si="945"/>
        <v>0</v>
      </c>
      <c r="AD2754" s="11">
        <f t="shared" si="946"/>
        <v>3</v>
      </c>
      <c r="AE2754" s="11">
        <f t="shared" si="947"/>
        <v>94.74</v>
      </c>
    </row>
    <row r="2755" spans="4:31" s="29" customFormat="1" x14ac:dyDescent="0.25">
      <c r="D2755" s="955"/>
      <c r="E2755" s="955"/>
      <c r="F2755" s="955"/>
      <c r="G2755" s="956"/>
      <c r="H2755" s="956"/>
      <c r="I2755" s="956"/>
      <c r="J2755" s="956"/>
      <c r="K2755" s="956"/>
      <c r="M2755" s="11" t="s">
        <v>443</v>
      </c>
      <c r="N2755" s="11">
        <f>Y7</f>
        <v>3.6</v>
      </c>
      <c r="O2755" s="11" t="str">
        <f>X7</f>
        <v>g</v>
      </c>
      <c r="P2755" s="11">
        <v>4</v>
      </c>
      <c r="Q2755" s="11">
        <f t="shared" si="940"/>
        <v>14.4</v>
      </c>
      <c r="R2755" s="11">
        <v>0</v>
      </c>
      <c r="S2755" s="11">
        <f t="shared" si="941"/>
        <v>0</v>
      </c>
      <c r="T2755" s="11">
        <f t="shared" si="942"/>
        <v>4</v>
      </c>
      <c r="U2755" s="11">
        <f t="shared" si="943"/>
        <v>14.4</v>
      </c>
      <c r="W2755" s="11" t="s">
        <v>1882</v>
      </c>
      <c r="X2755" s="307">
        <f>AE34</f>
        <v>235</v>
      </c>
      <c r="Y2755" s="11" t="str">
        <f>AD34</f>
        <v>g</v>
      </c>
      <c r="Z2755" s="11">
        <v>4</v>
      </c>
      <c r="AA2755" s="11">
        <f t="shared" si="944"/>
        <v>940</v>
      </c>
      <c r="AB2755" s="11">
        <v>0</v>
      </c>
      <c r="AC2755" s="11">
        <f t="shared" si="945"/>
        <v>0</v>
      </c>
      <c r="AD2755" s="11">
        <f t="shared" si="946"/>
        <v>4</v>
      </c>
      <c r="AE2755" s="11">
        <f t="shared" si="947"/>
        <v>940</v>
      </c>
    </row>
    <row r="2756" spans="4:31" s="29" customFormat="1" x14ac:dyDescent="0.25">
      <c r="D2756" s="955" t="s">
        <v>4</v>
      </c>
      <c r="E2756" s="955"/>
      <c r="F2756" s="955"/>
      <c r="G2756" s="956" t="s">
        <v>825</v>
      </c>
      <c r="H2756" s="956"/>
      <c r="I2756" s="956"/>
      <c r="J2756" s="956"/>
      <c r="K2756" s="956"/>
      <c r="M2756" s="11"/>
      <c r="N2756" s="11"/>
      <c r="O2756" s="11"/>
      <c r="P2756" s="11"/>
      <c r="Q2756" s="11"/>
      <c r="R2756" s="11"/>
      <c r="S2756" s="11"/>
      <c r="T2756" s="11"/>
      <c r="U2756" s="11"/>
      <c r="W2756" s="11"/>
      <c r="X2756" s="11"/>
      <c r="Y2756" s="11"/>
      <c r="Z2756" s="11"/>
      <c r="AA2756" s="11"/>
      <c r="AB2756" s="11"/>
      <c r="AC2756" s="11"/>
      <c r="AD2756" s="11"/>
      <c r="AE2756" s="11"/>
    </row>
    <row r="2757" spans="4:31" s="29" customFormat="1" x14ac:dyDescent="0.25">
      <c r="D2757" s="955"/>
      <c r="E2757" s="955"/>
      <c r="F2757" s="955"/>
      <c r="G2757" s="956"/>
      <c r="H2757" s="956"/>
      <c r="I2757" s="956"/>
      <c r="J2757" s="956"/>
      <c r="K2757" s="956"/>
      <c r="M2757" s="11"/>
      <c r="N2757" s="11"/>
      <c r="O2757" s="11"/>
      <c r="P2757" s="11"/>
      <c r="Q2757" s="11"/>
      <c r="R2757" s="11"/>
      <c r="S2757" s="11"/>
      <c r="T2757" s="11"/>
      <c r="U2757" s="11"/>
      <c r="W2757" s="11"/>
      <c r="X2757" s="11"/>
      <c r="Y2757" s="11"/>
      <c r="Z2757" s="11"/>
      <c r="AA2757" s="11"/>
      <c r="AB2757" s="11"/>
      <c r="AC2757" s="11"/>
      <c r="AD2757" s="11"/>
      <c r="AE2757" s="11"/>
    </row>
    <row r="2758" spans="4:31" s="29" customFormat="1" x14ac:dyDescent="0.25">
      <c r="D2758" s="955"/>
      <c r="E2758" s="955"/>
      <c r="F2758" s="955"/>
      <c r="G2758" s="956"/>
      <c r="H2758" s="956"/>
      <c r="I2758" s="956"/>
      <c r="J2758" s="956"/>
      <c r="K2758" s="956"/>
      <c r="M2758" s="11"/>
      <c r="N2758" s="11"/>
      <c r="O2758" s="11"/>
      <c r="P2758" s="11"/>
      <c r="Q2758" s="11"/>
      <c r="R2758" s="11"/>
      <c r="S2758" s="11"/>
      <c r="T2758" s="11"/>
      <c r="U2758" s="11"/>
      <c r="W2758" s="11"/>
      <c r="X2758" s="11"/>
      <c r="Y2758" s="11"/>
      <c r="Z2758" s="11"/>
      <c r="AA2758" s="11"/>
      <c r="AB2758" s="11"/>
      <c r="AC2758" s="11"/>
      <c r="AD2758" s="11"/>
      <c r="AE2758" s="11"/>
    </row>
    <row r="2759" spans="4:31" s="29" customFormat="1" x14ac:dyDescent="0.25">
      <c r="D2759" s="955" t="s">
        <v>5</v>
      </c>
      <c r="E2759" s="955"/>
      <c r="F2759" s="955"/>
      <c r="G2759" s="956" t="s">
        <v>845</v>
      </c>
      <c r="H2759" s="956"/>
      <c r="I2759" s="956"/>
      <c r="J2759" s="956"/>
      <c r="K2759" s="956"/>
      <c r="M2759" s="11" t="s">
        <v>337</v>
      </c>
      <c r="N2759" s="11">
        <f>SUM(N2751:N2758)</f>
        <v>82.916999999999987</v>
      </c>
      <c r="O2759" s="11"/>
      <c r="P2759" s="11">
        <f>SUM(P2751:P2758)</f>
        <v>62</v>
      </c>
      <c r="Q2759" s="11">
        <f>SUM(Q2751:Q2758)</f>
        <v>615.24999999999989</v>
      </c>
      <c r="R2759" s="11"/>
      <c r="S2759" s="11"/>
      <c r="T2759" s="11"/>
      <c r="U2759" s="11">
        <f>SUM(U2751:U2758)</f>
        <v>623.65</v>
      </c>
      <c r="W2759" s="11" t="s">
        <v>337</v>
      </c>
      <c r="X2759" s="11">
        <f>SUM(X2751:X2758)</f>
        <v>314.31700000000001</v>
      </c>
      <c r="Y2759" s="11"/>
      <c r="Z2759" s="11">
        <f>SUM(Z2751:Z2758)</f>
        <v>62</v>
      </c>
      <c r="AA2759" s="11">
        <f>SUM(AA2751:AA2758)</f>
        <v>1540.85</v>
      </c>
      <c r="AB2759" s="11"/>
      <c r="AC2759" s="11"/>
      <c r="AD2759" s="11"/>
      <c r="AE2759" s="11">
        <f>SUM(AE2751:AE2758)</f>
        <v>1549.25</v>
      </c>
    </row>
    <row r="2760" spans="4:31" s="29" customFormat="1" x14ac:dyDescent="0.25">
      <c r="D2760" s="955"/>
      <c r="E2760" s="955"/>
      <c r="F2760" s="955"/>
      <c r="G2760" s="956"/>
      <c r="H2760" s="956"/>
      <c r="I2760" s="956"/>
      <c r="J2760" s="956"/>
      <c r="K2760" s="956"/>
    </row>
    <row r="2761" spans="4:31" s="29" customFormat="1" x14ac:dyDescent="0.25">
      <c r="D2761" s="955"/>
      <c r="E2761" s="955"/>
      <c r="F2761" s="955"/>
      <c r="G2761" s="956"/>
      <c r="H2761" s="956"/>
      <c r="I2761" s="956"/>
      <c r="J2761" s="956"/>
      <c r="K2761" s="956"/>
      <c r="Q2761" s="11" t="s">
        <v>1681</v>
      </c>
      <c r="R2761" s="11">
        <f>U2759</f>
        <v>623.65</v>
      </c>
      <c r="S2761" s="608" t="s">
        <v>2142</v>
      </c>
      <c r="T2761" s="608">
        <f>(R2761*100)/R2768</f>
        <v>37.140481376241858</v>
      </c>
      <c r="AA2761" s="11" t="s">
        <v>1681</v>
      </c>
      <c r="AB2761" s="11">
        <f>AE2759</f>
        <v>1549.25</v>
      </c>
      <c r="AC2761" s="608" t="s">
        <v>2142</v>
      </c>
      <c r="AD2761" s="608">
        <f>(AB2761*100)/AB2768</f>
        <v>47.253373505944538</v>
      </c>
    </row>
    <row r="2762" spans="4:31" s="29" customFormat="1" x14ac:dyDescent="0.25">
      <c r="D2762" s="955" t="s">
        <v>6</v>
      </c>
      <c r="E2762" s="955"/>
      <c r="F2762" s="955"/>
      <c r="G2762" s="956" t="s">
        <v>9</v>
      </c>
      <c r="H2762" s="956"/>
      <c r="I2762" s="956"/>
      <c r="J2762" s="956"/>
      <c r="K2762" s="956"/>
      <c r="Q2762" s="11" t="s">
        <v>2326</v>
      </c>
      <c r="R2762" s="11">
        <f>$AM$26</f>
        <v>131.82146077125219</v>
      </c>
      <c r="AA2762" s="11" t="s">
        <v>2326</v>
      </c>
      <c r="AB2762" s="11">
        <f>$AM$26</f>
        <v>131.82146077125219</v>
      </c>
    </row>
    <row r="2763" spans="4:31" s="29" customFormat="1" x14ac:dyDescent="0.25">
      <c r="D2763" s="955"/>
      <c r="E2763" s="955"/>
      <c r="F2763" s="955"/>
      <c r="G2763" s="956"/>
      <c r="H2763" s="956"/>
      <c r="I2763" s="956"/>
      <c r="J2763" s="956"/>
      <c r="K2763" s="956"/>
      <c r="Q2763" s="11" t="s">
        <v>2325</v>
      </c>
      <c r="R2763" s="11">
        <f>$AM$27</f>
        <v>75.599999999999994</v>
      </c>
      <c r="AA2763" s="11" t="s">
        <v>2325</v>
      </c>
      <c r="AB2763" s="11">
        <f>$AM$27</f>
        <v>75.599999999999994</v>
      </c>
    </row>
    <row r="2764" spans="4:31" s="29" customFormat="1" x14ac:dyDescent="0.25">
      <c r="D2764" s="955"/>
      <c r="E2764" s="955"/>
      <c r="F2764" s="955"/>
      <c r="G2764" s="956"/>
      <c r="H2764" s="956"/>
      <c r="I2764" s="956"/>
      <c r="J2764" s="956"/>
      <c r="K2764" s="956"/>
      <c r="Q2764" s="11" t="s">
        <v>1684</v>
      </c>
      <c r="R2764" s="11">
        <f>$AM$29</f>
        <v>140.66759979375703</v>
      </c>
      <c r="AA2764" s="11" t="s">
        <v>1684</v>
      </c>
      <c r="AB2764" s="11">
        <f>$AM$29</f>
        <v>140.66759979375703</v>
      </c>
    </row>
    <row r="2765" spans="4:31" s="29" customFormat="1" x14ac:dyDescent="0.25">
      <c r="D2765" s="955" t="s">
        <v>7</v>
      </c>
      <c r="E2765" s="955"/>
      <c r="F2765" s="955"/>
      <c r="G2765" s="956" t="s">
        <v>846</v>
      </c>
      <c r="H2765" s="956"/>
      <c r="I2765" s="956"/>
      <c r="J2765" s="956"/>
      <c r="K2765" s="956"/>
      <c r="Q2765" s="11" t="s">
        <v>1685</v>
      </c>
      <c r="R2765" s="11">
        <v>0.6</v>
      </c>
      <c r="AA2765" s="11" t="s">
        <v>1685</v>
      </c>
      <c r="AB2765" s="11">
        <v>0.6</v>
      </c>
    </row>
    <row r="2766" spans="4:31" s="29" customFormat="1" x14ac:dyDescent="0.25">
      <c r="D2766" s="955"/>
      <c r="E2766" s="955"/>
      <c r="F2766" s="955"/>
      <c r="G2766" s="956"/>
      <c r="H2766" s="956"/>
      <c r="I2766" s="956"/>
      <c r="J2766" s="956"/>
      <c r="K2766" s="956"/>
      <c r="Q2766" s="11" t="s">
        <v>1708</v>
      </c>
      <c r="R2766" s="11">
        <f>(SUM(R2761:R2764)*R2765)+SUM(R2761:R2764)</f>
        <v>1554.7824969040148</v>
      </c>
      <c r="AA2766" s="11" t="s">
        <v>1708</v>
      </c>
      <c r="AB2766" s="11">
        <f>(SUM(AB2761:AB2764)*AB2765)+SUM(AB2761:AB2764)</f>
        <v>3035.7424969040144</v>
      </c>
    </row>
    <row r="2767" spans="4:31" s="29" customFormat="1" x14ac:dyDescent="0.25">
      <c r="D2767" s="955"/>
      <c r="E2767" s="955"/>
      <c r="F2767" s="955"/>
      <c r="G2767" s="956"/>
      <c r="H2767" s="956"/>
      <c r="I2767" s="956"/>
      <c r="J2767" s="956"/>
      <c r="K2767" s="956"/>
      <c r="Q2767" s="11" t="s">
        <v>2130</v>
      </c>
      <c r="R2767" s="11">
        <f>R2766*0.08</f>
        <v>124.38259975232118</v>
      </c>
      <c r="AA2767" s="11" t="s">
        <v>2130</v>
      </c>
      <c r="AB2767" s="11">
        <f>AB2766*0.08</f>
        <v>242.85939975232117</v>
      </c>
    </row>
    <row r="2768" spans="4:31" s="29" customFormat="1" x14ac:dyDescent="0.25">
      <c r="Q2768" s="11" t="s">
        <v>1686</v>
      </c>
      <c r="R2768" s="11">
        <f>SUM(R2766+R2767)</f>
        <v>1679.1650966563359</v>
      </c>
      <c r="AA2768" s="11" t="s">
        <v>1686</v>
      </c>
      <c r="AB2768" s="11">
        <f>SUM(AB2766+AB2767)</f>
        <v>3278.6018966563356</v>
      </c>
    </row>
    <row r="2769" spans="4:31" s="29" customFormat="1" x14ac:dyDescent="0.25"/>
    <row r="2770" spans="4:31" s="29" customFormat="1" x14ac:dyDescent="0.25">
      <c r="D2770" s="953" t="s">
        <v>8</v>
      </c>
      <c r="E2770" s="953"/>
      <c r="F2770" s="953"/>
      <c r="G2770" s="953"/>
      <c r="H2770" s="953"/>
      <c r="I2770" s="953"/>
      <c r="J2770" s="953"/>
      <c r="K2770" s="953"/>
    </row>
    <row r="2771" spans="4:31" s="29" customFormat="1" x14ac:dyDescent="0.25">
      <c r="D2771" s="954" t="s">
        <v>0</v>
      </c>
      <c r="E2771" s="954"/>
      <c r="F2771" s="954"/>
      <c r="G2771" s="954" t="s">
        <v>1</v>
      </c>
      <c r="H2771" s="954"/>
      <c r="I2771" s="954"/>
      <c r="J2771" s="954"/>
      <c r="K2771" s="954"/>
    </row>
    <row r="2772" spans="4:31" s="29" customFormat="1" x14ac:dyDescent="0.25">
      <c r="D2772" s="955" t="s">
        <v>2</v>
      </c>
      <c r="E2772" s="955"/>
      <c r="F2772" s="955"/>
      <c r="G2772" s="956" t="s">
        <v>848</v>
      </c>
      <c r="H2772" s="956"/>
      <c r="I2772" s="956"/>
      <c r="J2772" s="956"/>
      <c r="K2772" s="956"/>
    </row>
    <row r="2773" spans="4:31" s="29" customFormat="1" x14ac:dyDescent="0.25">
      <c r="D2773" s="955"/>
      <c r="E2773" s="955"/>
      <c r="F2773" s="955"/>
      <c r="G2773" s="956"/>
      <c r="H2773" s="956"/>
      <c r="I2773" s="956"/>
      <c r="J2773" s="956"/>
      <c r="K2773" s="956"/>
      <c r="M2773" s="10" t="s">
        <v>336</v>
      </c>
      <c r="N2773" s="10" t="s">
        <v>174</v>
      </c>
      <c r="O2773" s="10" t="s">
        <v>248</v>
      </c>
      <c r="P2773" s="10" t="s">
        <v>176</v>
      </c>
      <c r="Q2773" s="10" t="s">
        <v>337</v>
      </c>
      <c r="R2773" s="10" t="s">
        <v>1641</v>
      </c>
      <c r="S2773" s="10" t="s">
        <v>1642</v>
      </c>
      <c r="T2773" s="10" t="s">
        <v>1643</v>
      </c>
      <c r="U2773" s="10" t="s">
        <v>1644</v>
      </c>
      <c r="W2773" s="10" t="s">
        <v>336</v>
      </c>
      <c r="X2773" s="10" t="s">
        <v>174</v>
      </c>
      <c r="Y2773" s="10" t="s">
        <v>248</v>
      </c>
      <c r="Z2773" s="10" t="s">
        <v>176</v>
      </c>
      <c r="AA2773" s="10" t="s">
        <v>337</v>
      </c>
      <c r="AB2773" s="10" t="s">
        <v>1641</v>
      </c>
      <c r="AC2773" s="10" t="s">
        <v>1642</v>
      </c>
      <c r="AD2773" s="10" t="s">
        <v>1643</v>
      </c>
      <c r="AE2773" s="10" t="s">
        <v>1644</v>
      </c>
    </row>
    <row r="2774" spans="4:31" s="29" customFormat="1" x14ac:dyDescent="0.25">
      <c r="D2774" s="955"/>
      <c r="E2774" s="955"/>
      <c r="F2774" s="955"/>
      <c r="G2774" s="956"/>
      <c r="H2774" s="956"/>
      <c r="I2774" s="956"/>
      <c r="J2774" s="956"/>
      <c r="K2774" s="956"/>
      <c r="M2774" s="11" t="s">
        <v>912</v>
      </c>
      <c r="N2774" s="431">
        <f>M21</f>
        <v>4.1660000000000004</v>
      </c>
      <c r="O2774" s="11" t="str">
        <f>L21</f>
        <v>g</v>
      </c>
      <c r="P2774" s="11">
        <v>20</v>
      </c>
      <c r="Q2774" s="11">
        <f t="shared" ref="Q2774:Q2779" si="948">N2774*P2774</f>
        <v>83.320000000000007</v>
      </c>
      <c r="R2774" s="11">
        <f>AL17</f>
        <v>0.06</v>
      </c>
      <c r="S2774" s="11">
        <f>P2774*R2774</f>
        <v>1.2</v>
      </c>
      <c r="T2774" s="11">
        <f>P2774-S2774</f>
        <v>18.8</v>
      </c>
      <c r="U2774" s="11">
        <f>Q2774+((S2774*Q2774)/P2774)</f>
        <v>88.319200000000009</v>
      </c>
      <c r="W2774" s="11" t="s">
        <v>912</v>
      </c>
      <c r="X2774" s="431">
        <f>M21</f>
        <v>4.1660000000000004</v>
      </c>
      <c r="Y2774" s="11" t="str">
        <f>L21</f>
        <v>g</v>
      </c>
      <c r="Z2774" s="11">
        <v>20</v>
      </c>
      <c r="AA2774" s="11">
        <f t="shared" ref="AA2774:AA2779" si="949">X2774*Z2774</f>
        <v>83.320000000000007</v>
      </c>
      <c r="AB2774" s="11">
        <f>AL17</f>
        <v>0.06</v>
      </c>
      <c r="AC2774" s="11">
        <f>Z2774*AB2774</f>
        <v>1.2</v>
      </c>
      <c r="AD2774" s="11">
        <f>Z2774-AC2774</f>
        <v>18.8</v>
      </c>
      <c r="AE2774" s="11">
        <f>AA2774+((AC2774*AA2774)/Z2774)</f>
        <v>88.319200000000009</v>
      </c>
    </row>
    <row r="2775" spans="4:31" s="29" customFormat="1" x14ac:dyDescent="0.25">
      <c r="D2775" s="954" t="s">
        <v>0</v>
      </c>
      <c r="E2775" s="954"/>
      <c r="F2775" s="954"/>
      <c r="G2775" s="954" t="s">
        <v>1</v>
      </c>
      <c r="H2775" s="954"/>
      <c r="I2775" s="954"/>
      <c r="J2775" s="954"/>
      <c r="K2775" s="954"/>
      <c r="M2775" s="11" t="s">
        <v>511</v>
      </c>
      <c r="N2775" s="431">
        <f>P15</f>
        <v>8</v>
      </c>
      <c r="O2775" s="11" t="str">
        <f>O15</f>
        <v>g</v>
      </c>
      <c r="P2775" s="11">
        <v>5</v>
      </c>
      <c r="Q2775" s="11">
        <f t="shared" si="948"/>
        <v>40</v>
      </c>
      <c r="R2775" s="11">
        <v>0</v>
      </c>
      <c r="S2775" s="11">
        <f t="shared" ref="S2775:S2779" si="950">P2775*R2775</f>
        <v>0</v>
      </c>
      <c r="T2775" s="11">
        <f t="shared" ref="T2775:T2779" si="951">P2775-S2775</f>
        <v>5</v>
      </c>
      <c r="U2775" s="11">
        <f t="shared" ref="U2775:U2779" si="952">Q2775+((S2775*Q2775)/P2775)</f>
        <v>40</v>
      </c>
      <c r="W2775" s="11" t="s">
        <v>511</v>
      </c>
      <c r="X2775" s="431">
        <f>P15</f>
        <v>8</v>
      </c>
      <c r="Y2775" s="11" t="str">
        <f>O15</f>
        <v>g</v>
      </c>
      <c r="Z2775" s="11">
        <v>5</v>
      </c>
      <c r="AA2775" s="11">
        <f t="shared" si="949"/>
        <v>40</v>
      </c>
      <c r="AB2775" s="11">
        <v>0</v>
      </c>
      <c r="AC2775" s="11">
        <f t="shared" ref="AC2775:AC2779" si="953">Z2775*AB2775</f>
        <v>0</v>
      </c>
      <c r="AD2775" s="11">
        <f t="shared" ref="AD2775:AD2779" si="954">Z2775-AC2775</f>
        <v>5</v>
      </c>
      <c r="AE2775" s="11">
        <f t="shared" ref="AE2775:AE2779" si="955">AA2775+((AC2775*AA2775)/Z2775)</f>
        <v>40</v>
      </c>
    </row>
    <row r="2776" spans="4:31" s="29" customFormat="1" x14ac:dyDescent="0.25">
      <c r="D2776" s="955" t="s">
        <v>3</v>
      </c>
      <c r="E2776" s="955"/>
      <c r="F2776" s="955"/>
      <c r="G2776" s="957" t="s">
        <v>847</v>
      </c>
      <c r="H2776" s="956"/>
      <c r="I2776" s="956"/>
      <c r="J2776" s="956"/>
      <c r="K2776" s="956"/>
      <c r="M2776" s="11" t="s">
        <v>913</v>
      </c>
      <c r="N2776" s="431">
        <f>M18</f>
        <v>4</v>
      </c>
      <c r="O2776" s="11" t="str">
        <f>L18</f>
        <v>g</v>
      </c>
      <c r="P2776" s="11">
        <v>20</v>
      </c>
      <c r="Q2776" s="11">
        <f t="shared" si="948"/>
        <v>80</v>
      </c>
      <c r="R2776" s="11">
        <f>AL10</f>
        <v>0.14000000000000001</v>
      </c>
      <c r="S2776" s="11">
        <f t="shared" si="950"/>
        <v>2.8000000000000003</v>
      </c>
      <c r="T2776" s="11">
        <f t="shared" si="951"/>
        <v>17.2</v>
      </c>
      <c r="U2776" s="11">
        <f t="shared" si="952"/>
        <v>91.2</v>
      </c>
      <c r="W2776" s="11" t="s">
        <v>913</v>
      </c>
      <c r="X2776" s="431">
        <f>M18</f>
        <v>4</v>
      </c>
      <c r="Y2776" s="11" t="str">
        <f>L18</f>
        <v>g</v>
      </c>
      <c r="Z2776" s="11">
        <v>20</v>
      </c>
      <c r="AA2776" s="11">
        <f t="shared" si="949"/>
        <v>80</v>
      </c>
      <c r="AB2776" s="11">
        <f>AL10</f>
        <v>0.14000000000000001</v>
      </c>
      <c r="AC2776" s="11">
        <f t="shared" si="953"/>
        <v>2.8000000000000003</v>
      </c>
      <c r="AD2776" s="11">
        <f t="shared" si="954"/>
        <v>17.2</v>
      </c>
      <c r="AE2776" s="11">
        <f t="shared" si="955"/>
        <v>91.2</v>
      </c>
    </row>
    <row r="2777" spans="4:31" s="29" customFormat="1" x14ac:dyDescent="0.25">
      <c r="D2777" s="955"/>
      <c r="E2777" s="955"/>
      <c r="F2777" s="955"/>
      <c r="G2777" s="956"/>
      <c r="H2777" s="956"/>
      <c r="I2777" s="956"/>
      <c r="J2777" s="956"/>
      <c r="K2777" s="956"/>
      <c r="M2777" s="11" t="s">
        <v>915</v>
      </c>
      <c r="N2777" s="490">
        <f>P33</f>
        <v>1.5</v>
      </c>
      <c r="O2777" s="121" t="str">
        <f>O33</f>
        <v>g</v>
      </c>
      <c r="P2777" s="11">
        <v>10</v>
      </c>
      <c r="Q2777" s="11">
        <f t="shared" si="948"/>
        <v>15</v>
      </c>
      <c r="R2777" s="11">
        <f>AJ14</f>
        <v>0.3</v>
      </c>
      <c r="S2777" s="11">
        <f t="shared" si="950"/>
        <v>3</v>
      </c>
      <c r="T2777" s="11">
        <f t="shared" si="951"/>
        <v>7</v>
      </c>
      <c r="U2777" s="11">
        <f t="shared" si="952"/>
        <v>19.5</v>
      </c>
      <c r="W2777" s="11" t="s">
        <v>915</v>
      </c>
      <c r="X2777" s="490">
        <f>P33</f>
        <v>1.5</v>
      </c>
      <c r="Y2777" s="121" t="str">
        <f>O33</f>
        <v>g</v>
      </c>
      <c r="Z2777" s="11">
        <v>10</v>
      </c>
      <c r="AA2777" s="11">
        <f t="shared" si="949"/>
        <v>15</v>
      </c>
      <c r="AB2777" s="11">
        <f>AT14</f>
        <v>0</v>
      </c>
      <c r="AC2777" s="11">
        <f t="shared" si="953"/>
        <v>0</v>
      </c>
      <c r="AD2777" s="11">
        <f t="shared" si="954"/>
        <v>10</v>
      </c>
      <c r="AE2777" s="11">
        <f t="shared" si="955"/>
        <v>15</v>
      </c>
    </row>
    <row r="2778" spans="4:31" s="29" customFormat="1" x14ac:dyDescent="0.25">
      <c r="D2778" s="955"/>
      <c r="E2778" s="955"/>
      <c r="F2778" s="955"/>
      <c r="G2778" s="956"/>
      <c r="H2778" s="956"/>
      <c r="I2778" s="956"/>
      <c r="J2778" s="956"/>
      <c r="K2778" s="956"/>
      <c r="M2778" s="11" t="s">
        <v>910</v>
      </c>
      <c r="N2778" s="431">
        <f>Y24</f>
        <v>31.58</v>
      </c>
      <c r="O2778" s="11" t="str">
        <f>X24</f>
        <v>g</v>
      </c>
      <c r="P2778" s="11">
        <v>2</v>
      </c>
      <c r="Q2778" s="11">
        <f t="shared" si="948"/>
        <v>63.16</v>
      </c>
      <c r="R2778" s="11">
        <v>0</v>
      </c>
      <c r="S2778" s="11">
        <f t="shared" si="950"/>
        <v>0</v>
      </c>
      <c r="T2778" s="11">
        <f t="shared" si="951"/>
        <v>2</v>
      </c>
      <c r="U2778" s="11">
        <f t="shared" si="952"/>
        <v>63.16</v>
      </c>
      <c r="W2778" s="11" t="s">
        <v>910</v>
      </c>
      <c r="X2778" s="431">
        <f>Y24</f>
        <v>31.58</v>
      </c>
      <c r="Y2778" s="11" t="str">
        <f>X24</f>
        <v>g</v>
      </c>
      <c r="Z2778" s="11">
        <v>2</v>
      </c>
      <c r="AA2778" s="11">
        <f t="shared" si="949"/>
        <v>63.16</v>
      </c>
      <c r="AB2778" s="11">
        <v>0</v>
      </c>
      <c r="AC2778" s="11">
        <f t="shared" si="953"/>
        <v>0</v>
      </c>
      <c r="AD2778" s="11">
        <f t="shared" si="954"/>
        <v>2</v>
      </c>
      <c r="AE2778" s="11">
        <f t="shared" si="955"/>
        <v>63.16</v>
      </c>
    </row>
    <row r="2779" spans="4:31" s="29" customFormat="1" x14ac:dyDescent="0.25">
      <c r="D2779" s="955" t="s">
        <v>4</v>
      </c>
      <c r="E2779" s="955"/>
      <c r="F2779" s="955"/>
      <c r="G2779" s="956" t="s">
        <v>825</v>
      </c>
      <c r="H2779" s="956"/>
      <c r="I2779" s="956"/>
      <c r="J2779" s="956"/>
      <c r="K2779" s="956"/>
      <c r="M2779" s="11" t="s">
        <v>443</v>
      </c>
      <c r="N2779" s="431">
        <f>Y7</f>
        <v>3.6</v>
      </c>
      <c r="O2779" s="11" t="str">
        <f>X7</f>
        <v>g</v>
      </c>
      <c r="P2779" s="11">
        <v>4</v>
      </c>
      <c r="Q2779" s="11">
        <f t="shared" si="948"/>
        <v>14.4</v>
      </c>
      <c r="R2779" s="11">
        <v>0</v>
      </c>
      <c r="S2779" s="11">
        <f t="shared" si="950"/>
        <v>0</v>
      </c>
      <c r="T2779" s="11">
        <f t="shared" si="951"/>
        <v>4</v>
      </c>
      <c r="U2779" s="11">
        <f t="shared" si="952"/>
        <v>14.4</v>
      </c>
      <c r="W2779" s="11" t="s">
        <v>1882</v>
      </c>
      <c r="X2779" s="431">
        <f>AE34</f>
        <v>235</v>
      </c>
      <c r="Y2779" s="11" t="str">
        <f>AD34</f>
        <v>g</v>
      </c>
      <c r="Z2779" s="11">
        <v>4</v>
      </c>
      <c r="AA2779" s="11">
        <f t="shared" si="949"/>
        <v>940</v>
      </c>
      <c r="AB2779" s="11">
        <v>0</v>
      </c>
      <c r="AC2779" s="11">
        <f t="shared" si="953"/>
        <v>0</v>
      </c>
      <c r="AD2779" s="11">
        <f t="shared" si="954"/>
        <v>4</v>
      </c>
      <c r="AE2779" s="11">
        <f t="shared" si="955"/>
        <v>940</v>
      </c>
    </row>
    <row r="2780" spans="4:31" s="29" customFormat="1" x14ac:dyDescent="0.25">
      <c r="D2780" s="955"/>
      <c r="E2780" s="955"/>
      <c r="F2780" s="955"/>
      <c r="G2780" s="956"/>
      <c r="H2780" s="956"/>
      <c r="I2780" s="956"/>
      <c r="J2780" s="956"/>
      <c r="K2780" s="956"/>
      <c r="M2780" s="11"/>
      <c r="N2780" s="11"/>
      <c r="O2780" s="11"/>
      <c r="P2780" s="11"/>
      <c r="Q2780" s="11"/>
      <c r="R2780" s="11"/>
      <c r="S2780" s="11"/>
      <c r="T2780" s="11"/>
      <c r="U2780" s="11"/>
      <c r="W2780" s="11"/>
      <c r="X2780" s="11"/>
      <c r="Y2780" s="11"/>
      <c r="Z2780" s="11"/>
      <c r="AA2780" s="11"/>
      <c r="AB2780" s="11"/>
      <c r="AC2780" s="11"/>
      <c r="AD2780" s="11"/>
      <c r="AE2780" s="11"/>
    </row>
    <row r="2781" spans="4:31" s="29" customFormat="1" x14ac:dyDescent="0.25">
      <c r="D2781" s="955"/>
      <c r="E2781" s="955"/>
      <c r="F2781" s="955"/>
      <c r="G2781" s="956"/>
      <c r="H2781" s="956"/>
      <c r="I2781" s="956"/>
      <c r="J2781" s="956"/>
      <c r="K2781" s="956"/>
      <c r="M2781" s="11"/>
      <c r="N2781" s="11"/>
      <c r="O2781" s="11"/>
      <c r="P2781" s="11"/>
      <c r="Q2781" s="11"/>
      <c r="R2781" s="11"/>
      <c r="S2781" s="11"/>
      <c r="T2781" s="11"/>
      <c r="U2781" s="11"/>
      <c r="W2781" s="11"/>
      <c r="X2781" s="11"/>
      <c r="Y2781" s="11"/>
      <c r="Z2781" s="11"/>
      <c r="AA2781" s="11"/>
      <c r="AB2781" s="11"/>
      <c r="AC2781" s="11"/>
      <c r="AD2781" s="11"/>
      <c r="AE2781" s="11"/>
    </row>
    <row r="2782" spans="4:31" s="29" customFormat="1" x14ac:dyDescent="0.25">
      <c r="D2782" s="955" t="s">
        <v>5</v>
      </c>
      <c r="E2782" s="955"/>
      <c r="F2782" s="955"/>
      <c r="G2782" s="956" t="s">
        <v>916</v>
      </c>
      <c r="H2782" s="956"/>
      <c r="I2782" s="956"/>
      <c r="J2782" s="956"/>
      <c r="K2782" s="956"/>
      <c r="M2782" s="11" t="s">
        <v>337</v>
      </c>
      <c r="N2782" s="11">
        <f>SUM(N2774:N2781)</f>
        <v>52.845999999999997</v>
      </c>
      <c r="O2782" s="11"/>
      <c r="P2782" s="11">
        <f>SUM(P2774:P2781)</f>
        <v>61</v>
      </c>
      <c r="Q2782" s="11">
        <f>SUM(Q2774:Q2781)</f>
        <v>295.88</v>
      </c>
      <c r="R2782" s="11"/>
      <c r="S2782" s="11"/>
      <c r="T2782" s="11"/>
      <c r="U2782" s="11">
        <f>SUM(U2774:U2781)</f>
        <v>316.57920000000001</v>
      </c>
      <c r="W2782" s="11" t="s">
        <v>337</v>
      </c>
      <c r="X2782" s="11">
        <f>SUM(X2774:X2781)</f>
        <v>284.24599999999998</v>
      </c>
      <c r="Y2782" s="11"/>
      <c r="Z2782" s="11">
        <f>SUM(Z2774:Z2781)</f>
        <v>61</v>
      </c>
      <c r="AA2782" s="11">
        <f>SUM(AA2774:AA2781)</f>
        <v>1221.48</v>
      </c>
      <c r="AB2782" s="11"/>
      <c r="AC2782" s="11"/>
      <c r="AD2782" s="11"/>
      <c r="AE2782" s="11">
        <f>SUM(AE2774:AE2781)</f>
        <v>1237.6792</v>
      </c>
    </row>
    <row r="2783" spans="4:31" s="29" customFormat="1" x14ac:dyDescent="0.25">
      <c r="D2783" s="955"/>
      <c r="E2783" s="955"/>
      <c r="F2783" s="955"/>
      <c r="G2783" s="956"/>
      <c r="H2783" s="956"/>
      <c r="I2783" s="956"/>
      <c r="J2783" s="956"/>
      <c r="K2783" s="956"/>
    </row>
    <row r="2784" spans="4:31" s="29" customFormat="1" x14ac:dyDescent="0.25">
      <c r="D2784" s="955"/>
      <c r="E2784" s="955"/>
      <c r="F2784" s="955"/>
      <c r="G2784" s="956"/>
      <c r="H2784" s="956"/>
      <c r="I2784" s="956"/>
      <c r="J2784" s="956"/>
      <c r="K2784" s="956"/>
      <c r="Q2784" s="11" t="s">
        <v>1681</v>
      </c>
      <c r="R2784" s="11">
        <f>U2782</f>
        <v>316.57920000000001</v>
      </c>
      <c r="S2784" s="608" t="s">
        <v>2142</v>
      </c>
      <c r="T2784" s="608">
        <f>(R2784*100)/R2791</f>
        <v>27.563457806728948</v>
      </c>
      <c r="AA2784" s="11" t="s">
        <v>1681</v>
      </c>
      <c r="AB2784" s="11">
        <f>AE2782</f>
        <v>1237.6792</v>
      </c>
      <c r="AC2784" s="608" t="s">
        <v>2142</v>
      </c>
      <c r="AD2784" s="608">
        <f>(AB2784*100)/AB2791</f>
        <v>45.167352307949294</v>
      </c>
    </row>
    <row r="2785" spans="4:31" s="29" customFormat="1" x14ac:dyDescent="0.25">
      <c r="D2785" s="955" t="s">
        <v>6</v>
      </c>
      <c r="E2785" s="955"/>
      <c r="F2785" s="955"/>
      <c r="G2785" s="956" t="s">
        <v>9</v>
      </c>
      <c r="H2785" s="956"/>
      <c r="I2785" s="956"/>
      <c r="J2785" s="956"/>
      <c r="K2785" s="956"/>
      <c r="Q2785" s="11" t="s">
        <v>2326</v>
      </c>
      <c r="R2785" s="11">
        <f>$AM$26</f>
        <v>131.82146077125219</v>
      </c>
      <c r="AA2785" s="11" t="s">
        <v>2326</v>
      </c>
      <c r="AB2785" s="11">
        <f>$AM$26</f>
        <v>131.82146077125219</v>
      </c>
    </row>
    <row r="2786" spans="4:31" s="29" customFormat="1" x14ac:dyDescent="0.25">
      <c r="D2786" s="955"/>
      <c r="E2786" s="955"/>
      <c r="F2786" s="955"/>
      <c r="G2786" s="956"/>
      <c r="H2786" s="956"/>
      <c r="I2786" s="956"/>
      <c r="J2786" s="956"/>
      <c r="K2786" s="956"/>
      <c r="Q2786" s="11" t="s">
        <v>2325</v>
      </c>
      <c r="R2786" s="11">
        <f>$AM$27</f>
        <v>75.599999999999994</v>
      </c>
      <c r="AA2786" s="11" t="s">
        <v>2325</v>
      </c>
      <c r="AB2786" s="11">
        <f>$AM$27</f>
        <v>75.599999999999994</v>
      </c>
    </row>
    <row r="2787" spans="4:31" s="29" customFormat="1" x14ac:dyDescent="0.25">
      <c r="D2787" s="955"/>
      <c r="E2787" s="955"/>
      <c r="F2787" s="955"/>
      <c r="G2787" s="956"/>
      <c r="H2787" s="956"/>
      <c r="I2787" s="956"/>
      <c r="J2787" s="956"/>
      <c r="K2787" s="956"/>
      <c r="Q2787" s="11" t="s">
        <v>1684</v>
      </c>
      <c r="R2787" s="11">
        <f>$AM$29</f>
        <v>140.66759979375703</v>
      </c>
      <c r="AA2787" s="11" t="s">
        <v>1684</v>
      </c>
      <c r="AB2787" s="11">
        <f>$AM$29</f>
        <v>140.66759979375703</v>
      </c>
    </row>
    <row r="2788" spans="4:31" s="29" customFormat="1" x14ac:dyDescent="0.25">
      <c r="D2788" s="955" t="s">
        <v>7</v>
      </c>
      <c r="E2788" s="955"/>
      <c r="F2788" s="955"/>
      <c r="G2788" s="956" t="s">
        <v>849</v>
      </c>
      <c r="H2788" s="956"/>
      <c r="I2788" s="956"/>
      <c r="J2788" s="956"/>
      <c r="K2788" s="956"/>
      <c r="Q2788" s="11" t="s">
        <v>1685</v>
      </c>
      <c r="R2788" s="11">
        <v>0.6</v>
      </c>
      <c r="AA2788" s="11" t="s">
        <v>1685</v>
      </c>
      <c r="AB2788" s="11">
        <v>0.6</v>
      </c>
    </row>
    <row r="2789" spans="4:31" s="29" customFormat="1" x14ac:dyDescent="0.25">
      <c r="D2789" s="955"/>
      <c r="E2789" s="955"/>
      <c r="F2789" s="955"/>
      <c r="G2789" s="956"/>
      <c r="H2789" s="956"/>
      <c r="I2789" s="956"/>
      <c r="J2789" s="956"/>
      <c r="K2789" s="956"/>
      <c r="Q2789" s="11" t="s">
        <v>1708</v>
      </c>
      <c r="R2789" s="11">
        <f>(SUM(R2784:R2787)*R2788)+SUM(R2784:R2787)</f>
        <v>1063.469216904015</v>
      </c>
      <c r="AA2789" s="11" t="s">
        <v>1708</v>
      </c>
      <c r="AB2789" s="11">
        <f>(SUM(AB2784:AB2787)*AB2788)+SUM(AB2784:AB2787)</f>
        <v>2537.2292169040147</v>
      </c>
    </row>
    <row r="2790" spans="4:31" s="29" customFormat="1" x14ac:dyDescent="0.25">
      <c r="D2790" s="955"/>
      <c r="E2790" s="955"/>
      <c r="F2790" s="955"/>
      <c r="G2790" s="956"/>
      <c r="H2790" s="956"/>
      <c r="I2790" s="956"/>
      <c r="J2790" s="956"/>
      <c r="K2790" s="956"/>
      <c r="Q2790" s="11" t="s">
        <v>2130</v>
      </c>
      <c r="R2790" s="11">
        <f>R2789*0.08</f>
        <v>85.077537352321201</v>
      </c>
      <c r="AA2790" s="11" t="s">
        <v>2130</v>
      </c>
      <c r="AB2790" s="11">
        <f>AB2789*0.08</f>
        <v>202.97833735232118</v>
      </c>
    </row>
    <row r="2791" spans="4:31" s="29" customFormat="1" x14ac:dyDescent="0.25">
      <c r="Q2791" s="11" t="s">
        <v>1686</v>
      </c>
      <c r="R2791" s="11">
        <f>SUM(R2789+R2790)</f>
        <v>1148.546754256336</v>
      </c>
      <c r="AA2791" s="11" t="s">
        <v>1686</v>
      </c>
      <c r="AB2791" s="11">
        <f>SUM(AB2789+AB2790)</f>
        <v>2740.2075542563357</v>
      </c>
    </row>
    <row r="2792" spans="4:31" s="29" customFormat="1" x14ac:dyDescent="0.25"/>
    <row r="2793" spans="4:31" s="29" customFormat="1" x14ac:dyDescent="0.25">
      <c r="D2793" s="953" t="s">
        <v>8</v>
      </c>
      <c r="E2793" s="953"/>
      <c r="F2793" s="953"/>
      <c r="G2793" s="953"/>
      <c r="H2793" s="953"/>
      <c r="I2793" s="953"/>
      <c r="J2793" s="953"/>
      <c r="K2793" s="953"/>
    </row>
    <row r="2794" spans="4:31" s="29" customFormat="1" x14ac:dyDescent="0.25">
      <c r="D2794" s="954" t="s">
        <v>0</v>
      </c>
      <c r="E2794" s="954"/>
      <c r="F2794" s="954"/>
      <c r="G2794" s="954" t="s">
        <v>1</v>
      </c>
      <c r="H2794" s="954"/>
      <c r="I2794" s="954"/>
      <c r="J2794" s="954"/>
      <c r="K2794" s="954"/>
    </row>
    <row r="2795" spans="4:31" s="29" customFormat="1" x14ac:dyDescent="0.25">
      <c r="D2795" s="955" t="s">
        <v>2</v>
      </c>
      <c r="E2795" s="955"/>
      <c r="F2795" s="955"/>
      <c r="G2795" s="956" t="s">
        <v>851</v>
      </c>
      <c r="H2795" s="956"/>
      <c r="I2795" s="956"/>
      <c r="J2795" s="956"/>
      <c r="K2795" s="956"/>
    </row>
    <row r="2796" spans="4:31" s="29" customFormat="1" x14ac:dyDescent="0.25">
      <c r="D2796" s="955"/>
      <c r="E2796" s="955"/>
      <c r="F2796" s="955"/>
      <c r="G2796" s="956"/>
      <c r="H2796" s="956"/>
      <c r="I2796" s="956"/>
      <c r="J2796" s="956"/>
      <c r="K2796" s="956"/>
      <c r="M2796" s="10" t="s">
        <v>336</v>
      </c>
      <c r="N2796" s="10" t="s">
        <v>174</v>
      </c>
      <c r="O2796" s="10" t="s">
        <v>248</v>
      </c>
      <c r="P2796" s="10" t="s">
        <v>176</v>
      </c>
      <c r="Q2796" s="10" t="s">
        <v>337</v>
      </c>
      <c r="R2796" s="10" t="s">
        <v>1641</v>
      </c>
      <c r="S2796" s="10" t="s">
        <v>1642</v>
      </c>
      <c r="T2796" s="10" t="s">
        <v>1643</v>
      </c>
      <c r="U2796" s="10" t="s">
        <v>1644</v>
      </c>
      <c r="W2796" s="10" t="s">
        <v>336</v>
      </c>
      <c r="X2796" s="10" t="s">
        <v>174</v>
      </c>
      <c r="Y2796" s="10" t="s">
        <v>248</v>
      </c>
      <c r="Z2796" s="10" t="s">
        <v>176</v>
      </c>
      <c r="AA2796" s="10" t="s">
        <v>337</v>
      </c>
      <c r="AB2796" s="10" t="s">
        <v>1641</v>
      </c>
      <c r="AC2796" s="10" t="s">
        <v>1642</v>
      </c>
      <c r="AD2796" s="10" t="s">
        <v>1643</v>
      </c>
      <c r="AE2796" s="10" t="s">
        <v>1644</v>
      </c>
    </row>
    <row r="2797" spans="4:31" s="29" customFormat="1" x14ac:dyDescent="0.25">
      <c r="D2797" s="955"/>
      <c r="E2797" s="955"/>
      <c r="F2797" s="955"/>
      <c r="G2797" s="956"/>
      <c r="H2797" s="956"/>
      <c r="I2797" s="956"/>
      <c r="J2797" s="956"/>
      <c r="K2797" s="956"/>
      <c r="M2797" s="11" t="s">
        <v>917</v>
      </c>
      <c r="N2797" s="11">
        <f>M23</f>
        <v>1.8</v>
      </c>
      <c r="O2797" s="11" t="str">
        <f>L23</f>
        <v>g</v>
      </c>
      <c r="P2797" s="11">
        <v>30</v>
      </c>
      <c r="Q2797" s="11">
        <f>N2797*P2797</f>
        <v>54</v>
      </c>
      <c r="R2797" s="11">
        <f>AL11</f>
        <v>0.33</v>
      </c>
      <c r="S2797" s="11">
        <f>P2797*R2797</f>
        <v>9.9</v>
      </c>
      <c r="T2797" s="11">
        <f>P2797-S2797</f>
        <v>20.100000000000001</v>
      </c>
      <c r="U2797" s="11">
        <f>Q2797+((S2797*Q2797)/P2797)</f>
        <v>71.819999999999993</v>
      </c>
      <c r="W2797" s="11" t="s">
        <v>917</v>
      </c>
      <c r="X2797" s="307">
        <f>M23</f>
        <v>1.8</v>
      </c>
      <c r="Y2797" s="11" t="str">
        <f>L23</f>
        <v>g</v>
      </c>
      <c r="Z2797" s="11">
        <v>30</v>
      </c>
      <c r="AA2797" s="11">
        <f>X2797*Z2797</f>
        <v>54</v>
      </c>
      <c r="AB2797" s="11">
        <f>AL11</f>
        <v>0.33</v>
      </c>
      <c r="AC2797" s="11">
        <f>Z2797*AB2797</f>
        <v>9.9</v>
      </c>
      <c r="AD2797" s="11">
        <f>Z2797-AC2797</f>
        <v>20.100000000000001</v>
      </c>
      <c r="AE2797" s="11">
        <f>AA2797+((AC2797*AA2797)/Z2797)</f>
        <v>71.819999999999993</v>
      </c>
    </row>
    <row r="2798" spans="4:31" s="29" customFormat="1" x14ac:dyDescent="0.25">
      <c r="D2798" s="954" t="s">
        <v>0</v>
      </c>
      <c r="E2798" s="954"/>
      <c r="F2798" s="954"/>
      <c r="G2798" s="954" t="s">
        <v>1</v>
      </c>
      <c r="H2798" s="954"/>
      <c r="I2798" s="954"/>
      <c r="J2798" s="954"/>
      <c r="K2798" s="954"/>
      <c r="M2798" s="11" t="s">
        <v>914</v>
      </c>
      <c r="N2798" s="11">
        <f>M22</f>
        <v>41</v>
      </c>
      <c r="O2798" s="11" t="str">
        <f>L22</f>
        <v>g</v>
      </c>
      <c r="P2798" s="11">
        <v>20</v>
      </c>
      <c r="Q2798" s="11">
        <f t="shared" ref="Q2798:Q2800" si="956">N2798*P2798</f>
        <v>820</v>
      </c>
      <c r="R2798" s="11">
        <f>AL5</f>
        <v>0.05</v>
      </c>
      <c r="S2798" s="11">
        <f t="shared" ref="S2798:S2800" si="957">P2798*R2798</f>
        <v>1</v>
      </c>
      <c r="T2798" s="11">
        <f t="shared" ref="T2798:T2800" si="958">P2798-S2798</f>
        <v>19</v>
      </c>
      <c r="U2798" s="11">
        <f t="shared" ref="U2798:U2800" si="959">Q2798+((S2798*Q2798)/P2798)</f>
        <v>861</v>
      </c>
      <c r="W2798" s="11" t="s">
        <v>914</v>
      </c>
      <c r="X2798" s="307">
        <f>M22</f>
        <v>41</v>
      </c>
      <c r="Y2798" s="11" t="str">
        <f>L22</f>
        <v>g</v>
      </c>
      <c r="Z2798" s="11">
        <v>20</v>
      </c>
      <c r="AA2798" s="11">
        <f t="shared" ref="AA2798:AA2800" si="960">X2798*Z2798</f>
        <v>820</v>
      </c>
      <c r="AB2798" s="11">
        <f>AL5</f>
        <v>0.05</v>
      </c>
      <c r="AC2798" s="11">
        <f t="shared" ref="AC2798:AC2800" si="961">Z2798*AB2798</f>
        <v>1</v>
      </c>
      <c r="AD2798" s="11">
        <f t="shared" ref="AD2798:AD2800" si="962">Z2798-AC2798</f>
        <v>19</v>
      </c>
      <c r="AE2798" s="11">
        <f t="shared" ref="AE2798:AE2800" si="963">AA2798+((AC2798*AA2798)/Z2798)</f>
        <v>861</v>
      </c>
    </row>
    <row r="2799" spans="4:31" s="29" customFormat="1" x14ac:dyDescent="0.25">
      <c r="D2799" s="955" t="s">
        <v>3</v>
      </c>
      <c r="E2799" s="955"/>
      <c r="F2799" s="955"/>
      <c r="G2799" s="957" t="s">
        <v>850</v>
      </c>
      <c r="H2799" s="956"/>
      <c r="I2799" s="956"/>
      <c r="J2799" s="956"/>
      <c r="K2799" s="956"/>
      <c r="M2799" s="11" t="s">
        <v>918</v>
      </c>
      <c r="N2799" s="11">
        <f>V18</f>
        <v>4.24</v>
      </c>
      <c r="O2799" s="11" t="str">
        <f>U18</f>
        <v>mL</v>
      </c>
      <c r="P2799" s="11">
        <v>30</v>
      </c>
      <c r="Q2799" s="11">
        <f t="shared" si="956"/>
        <v>127.2</v>
      </c>
      <c r="R2799" s="11">
        <v>0</v>
      </c>
      <c r="S2799" s="11">
        <f t="shared" si="957"/>
        <v>0</v>
      </c>
      <c r="T2799" s="11">
        <f t="shared" si="958"/>
        <v>30</v>
      </c>
      <c r="U2799" s="11">
        <f t="shared" si="959"/>
        <v>127.2</v>
      </c>
      <c r="W2799" s="11" t="s">
        <v>759</v>
      </c>
      <c r="X2799" s="307">
        <f>V5</f>
        <v>8.99</v>
      </c>
      <c r="Y2799" s="11" t="str">
        <f>U5</f>
        <v>mL</v>
      </c>
      <c r="Z2799" s="11">
        <v>30</v>
      </c>
      <c r="AA2799" s="11">
        <f t="shared" si="960"/>
        <v>269.7</v>
      </c>
      <c r="AB2799" s="11">
        <v>0</v>
      </c>
      <c r="AC2799" s="11">
        <f t="shared" si="961"/>
        <v>0</v>
      </c>
      <c r="AD2799" s="11">
        <f t="shared" si="962"/>
        <v>30</v>
      </c>
      <c r="AE2799" s="11">
        <f t="shared" si="963"/>
        <v>269.7</v>
      </c>
    </row>
    <row r="2800" spans="4:31" s="29" customFormat="1" x14ac:dyDescent="0.25">
      <c r="D2800" s="955"/>
      <c r="E2800" s="955"/>
      <c r="F2800" s="955"/>
      <c r="G2800" s="956"/>
      <c r="H2800" s="956"/>
      <c r="I2800" s="956"/>
      <c r="J2800" s="956"/>
      <c r="K2800" s="956"/>
      <c r="M2800" s="11" t="s">
        <v>443</v>
      </c>
      <c r="N2800" s="11">
        <f>Y7</f>
        <v>3.6</v>
      </c>
      <c r="O2800" s="11" t="str">
        <f>X7</f>
        <v>g</v>
      </c>
      <c r="P2800" s="11">
        <v>4</v>
      </c>
      <c r="Q2800" s="11">
        <f t="shared" si="956"/>
        <v>14.4</v>
      </c>
      <c r="R2800" s="11">
        <v>0</v>
      </c>
      <c r="S2800" s="11">
        <f t="shared" si="957"/>
        <v>0</v>
      </c>
      <c r="T2800" s="11">
        <f t="shared" si="958"/>
        <v>4</v>
      </c>
      <c r="U2800" s="11">
        <f t="shared" si="959"/>
        <v>14.4</v>
      </c>
      <c r="W2800" s="11" t="s">
        <v>1882</v>
      </c>
      <c r="X2800" s="307">
        <f>AE34</f>
        <v>235</v>
      </c>
      <c r="Y2800" s="11" t="str">
        <f>AD34</f>
        <v>g</v>
      </c>
      <c r="Z2800" s="11">
        <v>4</v>
      </c>
      <c r="AA2800" s="11">
        <f t="shared" si="960"/>
        <v>940</v>
      </c>
      <c r="AB2800" s="11">
        <v>0</v>
      </c>
      <c r="AC2800" s="11">
        <f t="shared" si="961"/>
        <v>0</v>
      </c>
      <c r="AD2800" s="11">
        <f t="shared" si="962"/>
        <v>4</v>
      </c>
      <c r="AE2800" s="11">
        <f t="shared" si="963"/>
        <v>940</v>
      </c>
    </row>
    <row r="2801" spans="4:31" s="29" customFormat="1" x14ac:dyDescent="0.25">
      <c r="D2801" s="955"/>
      <c r="E2801" s="955"/>
      <c r="F2801" s="955"/>
      <c r="G2801" s="956"/>
      <c r="H2801" s="956"/>
      <c r="I2801" s="956"/>
      <c r="J2801" s="956"/>
      <c r="K2801" s="956"/>
      <c r="M2801" s="11"/>
      <c r="N2801" s="11"/>
      <c r="O2801" s="11"/>
      <c r="P2801" s="11"/>
      <c r="Q2801" s="11"/>
      <c r="R2801" s="11"/>
      <c r="S2801" s="11"/>
      <c r="T2801" s="11"/>
      <c r="U2801" s="11"/>
      <c r="W2801" s="11"/>
      <c r="X2801" s="11"/>
      <c r="Y2801" s="11"/>
      <c r="Z2801" s="11"/>
      <c r="AA2801" s="11"/>
      <c r="AB2801" s="11"/>
      <c r="AC2801" s="11"/>
      <c r="AD2801" s="11"/>
      <c r="AE2801" s="11"/>
    </row>
    <row r="2802" spans="4:31" s="29" customFormat="1" x14ac:dyDescent="0.25">
      <c r="D2802" s="955" t="s">
        <v>4</v>
      </c>
      <c r="E2802" s="955"/>
      <c r="F2802" s="955"/>
      <c r="G2802" s="956" t="s">
        <v>825</v>
      </c>
      <c r="H2802" s="956"/>
      <c r="I2802" s="956"/>
      <c r="J2802" s="956"/>
      <c r="K2802" s="956"/>
      <c r="M2802" s="11"/>
      <c r="N2802" s="11"/>
      <c r="O2802" s="11"/>
      <c r="P2802" s="11"/>
      <c r="Q2802" s="11"/>
      <c r="R2802" s="11"/>
      <c r="S2802" s="11"/>
      <c r="T2802" s="11"/>
      <c r="U2802" s="11"/>
      <c r="W2802" s="11"/>
      <c r="X2802" s="11"/>
      <c r="Y2802" s="11"/>
      <c r="Z2802" s="11"/>
      <c r="AA2802" s="11"/>
      <c r="AB2802" s="11"/>
      <c r="AC2802" s="11"/>
      <c r="AD2802" s="11"/>
      <c r="AE2802" s="11"/>
    </row>
    <row r="2803" spans="4:31" s="29" customFormat="1" x14ac:dyDescent="0.25">
      <c r="D2803" s="955"/>
      <c r="E2803" s="955"/>
      <c r="F2803" s="955"/>
      <c r="G2803" s="956"/>
      <c r="H2803" s="956"/>
      <c r="I2803" s="956"/>
      <c r="J2803" s="956"/>
      <c r="K2803" s="956"/>
      <c r="M2803" s="11" t="s">
        <v>337</v>
      </c>
      <c r="N2803" s="11">
        <f>SUM(N2797:N2802)</f>
        <v>50.64</v>
      </c>
      <c r="O2803" s="11"/>
      <c r="P2803" s="11">
        <f>SUM(P2797:P2802)</f>
        <v>84</v>
      </c>
      <c r="Q2803" s="11">
        <f>SUM(Q2797:Q2802)</f>
        <v>1015.6</v>
      </c>
      <c r="R2803" s="11"/>
      <c r="S2803" s="11"/>
      <c r="T2803" s="11"/>
      <c r="U2803" s="11">
        <f>SUM(U2797:U2802)</f>
        <v>1074.42</v>
      </c>
      <c r="W2803" s="11" t="s">
        <v>337</v>
      </c>
      <c r="X2803" s="11">
        <f>SUM(X2797:X2802)</f>
        <v>286.79000000000002</v>
      </c>
      <c r="Y2803" s="11"/>
      <c r="Z2803" s="11">
        <f>SUM(Z2797:Z2802)</f>
        <v>84</v>
      </c>
      <c r="AA2803" s="11">
        <f>SUM(AA2797:AA2802)</f>
        <v>2083.6999999999998</v>
      </c>
      <c r="AB2803" s="11"/>
      <c r="AC2803" s="11"/>
      <c r="AD2803" s="11"/>
      <c r="AE2803" s="11">
        <f>SUM(AE2797:AE2802)</f>
        <v>2142.52</v>
      </c>
    </row>
    <row r="2804" spans="4:31" s="29" customFormat="1" x14ac:dyDescent="0.25">
      <c r="D2804" s="955"/>
      <c r="E2804" s="955"/>
      <c r="F2804" s="955"/>
      <c r="G2804" s="956"/>
      <c r="H2804" s="956"/>
      <c r="I2804" s="956"/>
      <c r="J2804" s="956"/>
      <c r="K2804" s="956"/>
      <c r="M2804" s="30"/>
      <c r="N2804" s="30"/>
      <c r="O2804" s="30"/>
      <c r="P2804" s="30"/>
      <c r="Q2804" s="30"/>
      <c r="R2804" s="30"/>
      <c r="S2804" s="30"/>
      <c r="T2804" s="30"/>
      <c r="U2804" s="30"/>
      <c r="W2804" s="30"/>
      <c r="X2804" s="30"/>
      <c r="Y2804" s="30"/>
      <c r="Z2804" s="30"/>
      <c r="AA2804" s="30"/>
      <c r="AB2804" s="30"/>
      <c r="AC2804" s="30"/>
      <c r="AD2804" s="30"/>
      <c r="AE2804" s="30"/>
    </row>
    <row r="2805" spans="4:31" s="29" customFormat="1" x14ac:dyDescent="0.25">
      <c r="D2805" s="955" t="s">
        <v>5</v>
      </c>
      <c r="E2805" s="955"/>
      <c r="F2805" s="955"/>
      <c r="G2805" s="956" t="s">
        <v>852</v>
      </c>
      <c r="H2805" s="956"/>
      <c r="I2805" s="956"/>
      <c r="J2805" s="956"/>
      <c r="K2805" s="956"/>
      <c r="M2805" s="30"/>
      <c r="N2805" s="30"/>
      <c r="O2805" s="30"/>
      <c r="P2805" s="30"/>
      <c r="Q2805" s="11" t="s">
        <v>1681</v>
      </c>
      <c r="R2805" s="11">
        <f>U2803</f>
        <v>1074.42</v>
      </c>
      <c r="S2805" s="608" t="s">
        <v>2142</v>
      </c>
      <c r="T2805" s="608">
        <f>(R2805*100)/R2812</f>
        <v>43.709446257331457</v>
      </c>
      <c r="U2805" s="30"/>
      <c r="W2805" s="30"/>
      <c r="X2805" s="30"/>
      <c r="Y2805" s="30"/>
      <c r="Z2805" s="30"/>
      <c r="AA2805" s="11" t="s">
        <v>1681</v>
      </c>
      <c r="AB2805" s="11">
        <f>AE2803</f>
        <v>2142.52</v>
      </c>
      <c r="AC2805" s="608" t="s">
        <v>2142</v>
      </c>
      <c r="AD2805" s="608">
        <f>(AB2805*100)/AB2812</f>
        <v>49.78237166526587</v>
      </c>
      <c r="AE2805" s="30"/>
    </row>
    <row r="2806" spans="4:31" s="29" customFormat="1" x14ac:dyDescent="0.25">
      <c r="D2806" s="955"/>
      <c r="E2806" s="955"/>
      <c r="F2806" s="955"/>
      <c r="G2806" s="956"/>
      <c r="H2806" s="956"/>
      <c r="I2806" s="956"/>
      <c r="J2806" s="956"/>
      <c r="K2806" s="956"/>
      <c r="M2806" s="30"/>
      <c r="N2806" s="30"/>
      <c r="O2806" s="30"/>
      <c r="P2806" s="30"/>
      <c r="Q2806" s="11" t="s">
        <v>2326</v>
      </c>
      <c r="R2806" s="11">
        <f>$AM$26</f>
        <v>131.82146077125219</v>
      </c>
      <c r="S2806" s="30"/>
      <c r="T2806" s="30"/>
      <c r="U2806" s="30"/>
      <c r="W2806" s="30"/>
      <c r="X2806" s="30"/>
      <c r="Y2806" s="30"/>
      <c r="Z2806" s="30"/>
      <c r="AA2806" s="11" t="s">
        <v>2326</v>
      </c>
      <c r="AB2806" s="11">
        <f>$AM$26</f>
        <v>131.82146077125219</v>
      </c>
      <c r="AC2806" s="30"/>
      <c r="AD2806" s="30"/>
      <c r="AE2806" s="30"/>
    </row>
    <row r="2807" spans="4:31" s="29" customFormat="1" x14ac:dyDescent="0.25">
      <c r="D2807" s="955"/>
      <c r="E2807" s="955"/>
      <c r="F2807" s="955"/>
      <c r="G2807" s="956"/>
      <c r="H2807" s="956"/>
      <c r="I2807" s="956"/>
      <c r="J2807" s="956"/>
      <c r="K2807" s="956"/>
      <c r="Q2807" s="11" t="s">
        <v>2325</v>
      </c>
      <c r="R2807" s="11">
        <f>$AM$27</f>
        <v>75.599999999999994</v>
      </c>
      <c r="AA2807" s="11" t="s">
        <v>2325</v>
      </c>
      <c r="AB2807" s="11">
        <f>$AM$27</f>
        <v>75.599999999999994</v>
      </c>
    </row>
    <row r="2808" spans="4:31" s="29" customFormat="1" x14ac:dyDescent="0.25">
      <c r="D2808" s="955" t="s">
        <v>6</v>
      </c>
      <c r="E2808" s="955"/>
      <c r="F2808" s="955"/>
      <c r="G2808" s="956" t="s">
        <v>9</v>
      </c>
      <c r="H2808" s="956"/>
      <c r="I2808" s="956"/>
      <c r="J2808" s="956"/>
      <c r="K2808" s="956"/>
      <c r="Q2808" s="11" t="s">
        <v>1684</v>
      </c>
      <c r="R2808" s="11">
        <f>$AM$29</f>
        <v>140.66759979375703</v>
      </c>
      <c r="AA2808" s="11" t="s">
        <v>1684</v>
      </c>
      <c r="AB2808" s="11">
        <f>$AM$29</f>
        <v>140.66759979375703</v>
      </c>
    </row>
    <row r="2809" spans="4:31" s="29" customFormat="1" x14ac:dyDescent="0.25">
      <c r="D2809" s="955"/>
      <c r="E2809" s="955"/>
      <c r="F2809" s="955"/>
      <c r="G2809" s="956"/>
      <c r="H2809" s="956"/>
      <c r="I2809" s="956"/>
      <c r="J2809" s="956"/>
      <c r="K2809" s="956"/>
      <c r="Q2809" s="11" t="s">
        <v>1685</v>
      </c>
      <c r="R2809" s="11">
        <v>0.6</v>
      </c>
      <c r="AA2809" s="11" t="s">
        <v>1685</v>
      </c>
      <c r="AB2809" s="11">
        <v>0.6</v>
      </c>
    </row>
    <row r="2810" spans="4:31" s="29" customFormat="1" x14ac:dyDescent="0.25">
      <c r="D2810" s="955"/>
      <c r="E2810" s="955"/>
      <c r="F2810" s="955"/>
      <c r="G2810" s="956"/>
      <c r="H2810" s="956"/>
      <c r="I2810" s="956"/>
      <c r="J2810" s="956"/>
      <c r="K2810" s="956"/>
      <c r="Q2810" s="11" t="s">
        <v>1708</v>
      </c>
      <c r="R2810" s="11">
        <f>(SUM(R2805:R2808)*R2809)+SUM(R2805:R2808)</f>
        <v>2276.0144969040148</v>
      </c>
      <c r="AA2810" s="11" t="s">
        <v>1708</v>
      </c>
      <c r="AB2810" s="11">
        <f>(SUM(AB2805:AB2808)*AB2809)+SUM(AB2805:AB2808)</f>
        <v>3984.9744969040139</v>
      </c>
    </row>
    <row r="2811" spans="4:31" s="29" customFormat="1" x14ac:dyDescent="0.25">
      <c r="D2811" s="955" t="s">
        <v>7</v>
      </c>
      <c r="E2811" s="955"/>
      <c r="F2811" s="955"/>
      <c r="G2811" s="956" t="s">
        <v>853</v>
      </c>
      <c r="H2811" s="956"/>
      <c r="I2811" s="956"/>
      <c r="J2811" s="956"/>
      <c r="K2811" s="956"/>
      <c r="Q2811" s="11" t="s">
        <v>2130</v>
      </c>
      <c r="R2811" s="11">
        <f>R2810*0.08</f>
        <v>182.08115975232118</v>
      </c>
      <c r="AA2811" s="11" t="s">
        <v>2130</v>
      </c>
      <c r="AB2811" s="11">
        <f>AB2810*0.08</f>
        <v>318.79795975232111</v>
      </c>
    </row>
    <row r="2812" spans="4:31" s="29" customFormat="1" x14ac:dyDescent="0.25">
      <c r="D2812" s="955"/>
      <c r="E2812" s="955"/>
      <c r="F2812" s="955"/>
      <c r="G2812" s="956"/>
      <c r="H2812" s="956"/>
      <c r="I2812" s="956"/>
      <c r="J2812" s="956"/>
      <c r="K2812" s="956"/>
      <c r="Q2812" s="11" t="s">
        <v>1686</v>
      </c>
      <c r="R2812" s="11">
        <f>SUM(R2810+R2811)</f>
        <v>2458.0956566563359</v>
      </c>
      <c r="AA2812" s="11" t="s">
        <v>1686</v>
      </c>
      <c r="AB2812" s="11">
        <f>SUM(AB2810+AB2811)</f>
        <v>4303.7724566563347</v>
      </c>
    </row>
    <row r="2813" spans="4:31" s="29" customFormat="1" x14ac:dyDescent="0.25">
      <c r="D2813" s="955"/>
      <c r="E2813" s="955"/>
      <c r="F2813" s="955"/>
      <c r="G2813" s="956"/>
      <c r="H2813" s="956"/>
      <c r="I2813" s="956"/>
      <c r="J2813" s="956"/>
      <c r="K2813" s="956"/>
    </row>
    <row r="2814" spans="4:31" s="29" customFormat="1" x14ac:dyDescent="0.25"/>
    <row r="2815" spans="4:31" s="29" customFormat="1" x14ac:dyDescent="0.25"/>
    <row r="2816" spans="4:31" s="29" customFormat="1" x14ac:dyDescent="0.25">
      <c r="D2816" s="953" t="s">
        <v>8</v>
      </c>
      <c r="E2816" s="953"/>
      <c r="F2816" s="953"/>
      <c r="G2816" s="953"/>
      <c r="H2816" s="953"/>
      <c r="I2816" s="953"/>
      <c r="J2816" s="953"/>
      <c r="K2816" s="953"/>
    </row>
    <row r="2817" spans="4:31" s="29" customFormat="1" x14ac:dyDescent="0.25">
      <c r="D2817" s="954" t="s">
        <v>0</v>
      </c>
      <c r="E2817" s="954"/>
      <c r="F2817" s="954"/>
      <c r="G2817" s="954" t="s">
        <v>1</v>
      </c>
      <c r="H2817" s="954"/>
      <c r="I2817" s="954"/>
      <c r="J2817" s="954"/>
      <c r="K2817" s="954"/>
    </row>
    <row r="2818" spans="4:31" s="29" customFormat="1" x14ac:dyDescent="0.25">
      <c r="D2818" s="955" t="s">
        <v>2</v>
      </c>
      <c r="E2818" s="955"/>
      <c r="F2818" s="955"/>
      <c r="G2818" s="956" t="s">
        <v>855</v>
      </c>
      <c r="H2818" s="956"/>
      <c r="I2818" s="956"/>
      <c r="J2818" s="956"/>
      <c r="K2818" s="956"/>
    </row>
    <row r="2819" spans="4:31" s="29" customFormat="1" x14ac:dyDescent="0.25">
      <c r="D2819" s="955"/>
      <c r="E2819" s="955"/>
      <c r="F2819" s="955"/>
      <c r="G2819" s="956"/>
      <c r="H2819" s="956"/>
      <c r="I2819" s="956"/>
      <c r="J2819" s="956"/>
      <c r="K2819" s="956"/>
      <c r="M2819" s="10" t="s">
        <v>336</v>
      </c>
      <c r="N2819" s="10" t="s">
        <v>174</v>
      </c>
      <c r="O2819" s="10" t="s">
        <v>248</v>
      </c>
      <c r="P2819" s="10" t="s">
        <v>176</v>
      </c>
      <c r="Q2819" s="10" t="s">
        <v>337</v>
      </c>
      <c r="R2819" s="10" t="s">
        <v>1641</v>
      </c>
      <c r="S2819" s="10" t="s">
        <v>1642</v>
      </c>
      <c r="T2819" s="10" t="s">
        <v>1643</v>
      </c>
      <c r="U2819" s="10" t="s">
        <v>1644</v>
      </c>
      <c r="W2819" s="10" t="s">
        <v>336</v>
      </c>
      <c r="X2819" s="10" t="s">
        <v>174</v>
      </c>
      <c r="Y2819" s="10" t="s">
        <v>248</v>
      </c>
      <c r="Z2819" s="10" t="s">
        <v>176</v>
      </c>
      <c r="AA2819" s="10" t="s">
        <v>337</v>
      </c>
      <c r="AB2819" s="10" t="s">
        <v>1641</v>
      </c>
      <c r="AC2819" s="10" t="s">
        <v>1642</v>
      </c>
      <c r="AD2819" s="10" t="s">
        <v>1643</v>
      </c>
      <c r="AE2819" s="10" t="s">
        <v>1644</v>
      </c>
    </row>
    <row r="2820" spans="4:31" s="29" customFormat="1" x14ac:dyDescent="0.25">
      <c r="D2820" s="955"/>
      <c r="E2820" s="955"/>
      <c r="F2820" s="955"/>
      <c r="G2820" s="956"/>
      <c r="H2820" s="956"/>
      <c r="I2820" s="956"/>
      <c r="J2820" s="956"/>
      <c r="K2820" s="956"/>
      <c r="M2820" s="11" t="s">
        <v>921</v>
      </c>
      <c r="N2820" s="307">
        <f>M11+M5</f>
        <v>9.8569999999999993</v>
      </c>
      <c r="O2820" s="11" t="str">
        <f>L5</f>
        <v>g</v>
      </c>
      <c r="P2820" s="11">
        <v>20</v>
      </c>
      <c r="Q2820" s="11">
        <f>N2820*P2820</f>
        <v>197.14</v>
      </c>
      <c r="R2820" s="11">
        <f>AL12</f>
        <v>7.0000000000000007E-2</v>
      </c>
      <c r="S2820" s="11">
        <f>P2820*R2820</f>
        <v>1.4000000000000001</v>
      </c>
      <c r="T2820" s="11">
        <f>P2820-S2820</f>
        <v>18.600000000000001</v>
      </c>
      <c r="U2820" s="11">
        <f>Q2820+((S2820*Q2820)/P2820)</f>
        <v>210.93979999999999</v>
      </c>
      <c r="W2820" s="11" t="s">
        <v>921</v>
      </c>
      <c r="X2820" s="307">
        <f>M5+M11</f>
        <v>9.8569999999999993</v>
      </c>
      <c r="Y2820" s="307" t="str">
        <f>L11</f>
        <v>g</v>
      </c>
      <c r="Z2820" s="11">
        <v>20</v>
      </c>
      <c r="AA2820" s="11">
        <f>X2820*Z2820</f>
        <v>197.14</v>
      </c>
      <c r="AB2820" s="11">
        <f>AL12</f>
        <v>7.0000000000000007E-2</v>
      </c>
      <c r="AC2820" s="11">
        <f>Z2820*AB2820</f>
        <v>1.4000000000000001</v>
      </c>
      <c r="AD2820" s="11">
        <f>Z2820-AC2820</f>
        <v>18.600000000000001</v>
      </c>
      <c r="AE2820" s="11">
        <f>AA2820+((AC2820*AA2820)/Z2820)</f>
        <v>210.93979999999999</v>
      </c>
    </row>
    <row r="2821" spans="4:31" s="29" customFormat="1" x14ac:dyDescent="0.25">
      <c r="D2821" s="954" t="s">
        <v>0</v>
      </c>
      <c r="E2821" s="954"/>
      <c r="F2821" s="954"/>
      <c r="G2821" s="954" t="s">
        <v>1</v>
      </c>
      <c r="H2821" s="954"/>
      <c r="I2821" s="954"/>
      <c r="J2821" s="954"/>
      <c r="K2821" s="954"/>
      <c r="M2821" s="11" t="s">
        <v>919</v>
      </c>
      <c r="N2821" s="11">
        <f>Y25</f>
        <v>30</v>
      </c>
      <c r="O2821" s="11" t="str">
        <f>X25</f>
        <v>g</v>
      </c>
      <c r="P2821" s="11">
        <v>15</v>
      </c>
      <c r="Q2821" s="11">
        <f t="shared" ref="Q2821:Q2824" si="964">N2821*P2821</f>
        <v>450</v>
      </c>
      <c r="R2821" s="11">
        <v>0</v>
      </c>
      <c r="S2821" s="11">
        <f t="shared" ref="S2821:S2824" si="965">P2821*R2821</f>
        <v>0</v>
      </c>
      <c r="T2821" s="11">
        <f t="shared" ref="T2821:T2824" si="966">P2821-S2821</f>
        <v>15</v>
      </c>
      <c r="U2821" s="11">
        <f t="shared" ref="U2821:U2824" si="967">Q2821+((S2821*Q2821)/P2821)</f>
        <v>450</v>
      </c>
      <c r="W2821" s="11" t="s">
        <v>919</v>
      </c>
      <c r="X2821" s="307">
        <f>Y25</f>
        <v>30</v>
      </c>
      <c r="Y2821" s="11" t="str">
        <f>X25</f>
        <v>g</v>
      </c>
      <c r="Z2821" s="11">
        <v>15</v>
      </c>
      <c r="AA2821" s="11">
        <f t="shared" ref="AA2821:AA2824" si="968">X2821*Z2821</f>
        <v>450</v>
      </c>
      <c r="AB2821" s="11">
        <v>0</v>
      </c>
      <c r="AC2821" s="11">
        <f t="shared" ref="AC2821:AC2824" si="969">Z2821*AB2821</f>
        <v>0</v>
      </c>
      <c r="AD2821" s="11">
        <f t="shared" ref="AD2821:AD2824" si="970">Z2821-AC2821</f>
        <v>15</v>
      </c>
      <c r="AE2821" s="11">
        <f t="shared" ref="AE2821:AE2824" si="971">AA2821+((AC2821*AA2821)/Z2821)</f>
        <v>450</v>
      </c>
    </row>
    <row r="2822" spans="4:31" s="29" customFormat="1" x14ac:dyDescent="0.25">
      <c r="D2822" s="955" t="s">
        <v>3</v>
      </c>
      <c r="E2822" s="955"/>
      <c r="F2822" s="955"/>
      <c r="G2822" s="957" t="s">
        <v>854</v>
      </c>
      <c r="H2822" s="956"/>
      <c r="I2822" s="956"/>
      <c r="J2822" s="956"/>
      <c r="K2822" s="956"/>
      <c r="M2822" s="11" t="s">
        <v>741</v>
      </c>
      <c r="N2822" s="11">
        <f>M7</f>
        <v>1.1419999999999999</v>
      </c>
      <c r="O2822" s="11" t="str">
        <f>L7</f>
        <v>g</v>
      </c>
      <c r="P2822" s="11">
        <v>20</v>
      </c>
      <c r="Q2822" s="11">
        <f t="shared" si="964"/>
        <v>22.839999999999996</v>
      </c>
      <c r="R2822" s="11">
        <f>AL8</f>
        <v>0.36</v>
      </c>
      <c r="S2822" s="11">
        <f t="shared" si="965"/>
        <v>7.1999999999999993</v>
      </c>
      <c r="T2822" s="11">
        <f t="shared" si="966"/>
        <v>12.8</v>
      </c>
      <c r="U2822" s="11">
        <f t="shared" si="967"/>
        <v>31.062399999999993</v>
      </c>
      <c r="W2822" s="11" t="s">
        <v>741</v>
      </c>
      <c r="X2822" s="307">
        <f>M7</f>
        <v>1.1419999999999999</v>
      </c>
      <c r="Y2822" s="11" t="str">
        <f>L7</f>
        <v>g</v>
      </c>
      <c r="Z2822" s="11">
        <v>20</v>
      </c>
      <c r="AA2822" s="11">
        <f t="shared" si="968"/>
        <v>22.839999999999996</v>
      </c>
      <c r="AB2822" s="11">
        <f>AL8</f>
        <v>0.36</v>
      </c>
      <c r="AC2822" s="11">
        <f t="shared" si="969"/>
        <v>7.1999999999999993</v>
      </c>
      <c r="AD2822" s="11">
        <f t="shared" si="970"/>
        <v>12.8</v>
      </c>
      <c r="AE2822" s="11">
        <f t="shared" si="971"/>
        <v>31.062399999999993</v>
      </c>
    </row>
    <row r="2823" spans="4:31" s="29" customFormat="1" x14ac:dyDescent="0.25">
      <c r="D2823" s="955"/>
      <c r="E2823" s="955"/>
      <c r="F2823" s="955"/>
      <c r="G2823" s="956"/>
      <c r="H2823" s="956"/>
      <c r="I2823" s="956"/>
      <c r="J2823" s="956"/>
      <c r="K2823" s="956"/>
      <c r="M2823" s="11" t="s">
        <v>561</v>
      </c>
      <c r="N2823" s="11">
        <f>Y18</f>
        <v>223.57</v>
      </c>
      <c r="O2823" s="11" t="str">
        <f>X18</f>
        <v>g</v>
      </c>
      <c r="P2823" s="11">
        <v>2</v>
      </c>
      <c r="Q2823" s="11">
        <f t="shared" si="964"/>
        <v>447.14</v>
      </c>
      <c r="R2823" s="11">
        <v>0</v>
      </c>
      <c r="S2823" s="11">
        <f t="shared" si="965"/>
        <v>0</v>
      </c>
      <c r="T2823" s="11">
        <f t="shared" si="966"/>
        <v>2</v>
      </c>
      <c r="U2823" s="11">
        <f t="shared" si="967"/>
        <v>447.14</v>
      </c>
      <c r="W2823" s="11" t="s">
        <v>561</v>
      </c>
      <c r="X2823" s="307">
        <f>Y18</f>
        <v>223.57</v>
      </c>
      <c r="Y2823" s="11" t="str">
        <f>X18</f>
        <v>g</v>
      </c>
      <c r="Z2823" s="11">
        <v>2</v>
      </c>
      <c r="AA2823" s="11">
        <f t="shared" si="968"/>
        <v>447.14</v>
      </c>
      <c r="AB2823" s="11">
        <v>0</v>
      </c>
      <c r="AC2823" s="11">
        <f t="shared" si="969"/>
        <v>0</v>
      </c>
      <c r="AD2823" s="11">
        <f t="shared" si="970"/>
        <v>2</v>
      </c>
      <c r="AE2823" s="11">
        <f t="shared" si="971"/>
        <v>447.14</v>
      </c>
    </row>
    <row r="2824" spans="4:31" s="29" customFormat="1" x14ac:dyDescent="0.25">
      <c r="D2824" s="955"/>
      <c r="E2824" s="955"/>
      <c r="F2824" s="955"/>
      <c r="G2824" s="956"/>
      <c r="H2824" s="956"/>
      <c r="I2824" s="956"/>
      <c r="J2824" s="956"/>
      <c r="K2824" s="956"/>
      <c r="M2824" s="11" t="s">
        <v>443</v>
      </c>
      <c r="N2824" s="11">
        <f>Y7</f>
        <v>3.6</v>
      </c>
      <c r="O2824" s="11" t="str">
        <f>X7</f>
        <v>g</v>
      </c>
      <c r="P2824" s="11">
        <v>4</v>
      </c>
      <c r="Q2824" s="11">
        <f t="shared" si="964"/>
        <v>14.4</v>
      </c>
      <c r="R2824" s="11">
        <v>0</v>
      </c>
      <c r="S2824" s="11">
        <f t="shared" si="965"/>
        <v>0</v>
      </c>
      <c r="T2824" s="11">
        <f t="shared" si="966"/>
        <v>4</v>
      </c>
      <c r="U2824" s="11">
        <f t="shared" si="967"/>
        <v>14.4</v>
      </c>
      <c r="W2824" s="11" t="s">
        <v>1882</v>
      </c>
      <c r="X2824" s="307">
        <f>AE34</f>
        <v>235</v>
      </c>
      <c r="Y2824" s="11" t="str">
        <f>AD34</f>
        <v>g</v>
      </c>
      <c r="Z2824" s="11">
        <v>4</v>
      </c>
      <c r="AA2824" s="11">
        <f t="shared" si="968"/>
        <v>940</v>
      </c>
      <c r="AB2824" s="11">
        <v>0</v>
      </c>
      <c r="AC2824" s="11">
        <f t="shared" si="969"/>
        <v>0</v>
      </c>
      <c r="AD2824" s="11">
        <f t="shared" si="970"/>
        <v>4</v>
      </c>
      <c r="AE2824" s="11">
        <f t="shared" si="971"/>
        <v>940</v>
      </c>
    </row>
    <row r="2825" spans="4:31" s="29" customFormat="1" x14ac:dyDescent="0.25">
      <c r="D2825" s="955" t="s">
        <v>4</v>
      </c>
      <c r="E2825" s="955"/>
      <c r="F2825" s="955"/>
      <c r="G2825" s="956" t="s">
        <v>825</v>
      </c>
      <c r="H2825" s="956"/>
      <c r="I2825" s="956"/>
      <c r="J2825" s="956"/>
      <c r="K2825" s="956"/>
      <c r="M2825" s="11"/>
      <c r="N2825" s="11"/>
      <c r="O2825" s="11"/>
      <c r="P2825" s="11"/>
      <c r="Q2825" s="11"/>
      <c r="R2825" s="11"/>
      <c r="S2825" s="11"/>
      <c r="T2825" s="11"/>
      <c r="U2825" s="11"/>
      <c r="W2825" s="11"/>
      <c r="X2825" s="11"/>
      <c r="Y2825" s="11"/>
      <c r="Z2825" s="11"/>
      <c r="AA2825" s="11"/>
      <c r="AB2825" s="11"/>
      <c r="AC2825" s="11"/>
      <c r="AD2825" s="11"/>
      <c r="AE2825" s="11"/>
    </row>
    <row r="2826" spans="4:31" s="29" customFormat="1" x14ac:dyDescent="0.25">
      <c r="D2826" s="955"/>
      <c r="E2826" s="955"/>
      <c r="F2826" s="955"/>
      <c r="G2826" s="956"/>
      <c r="H2826" s="956"/>
      <c r="I2826" s="956"/>
      <c r="J2826" s="956"/>
      <c r="K2826" s="956"/>
      <c r="M2826" s="11"/>
      <c r="N2826" s="11"/>
      <c r="O2826" s="11"/>
      <c r="P2826" s="11"/>
      <c r="Q2826" s="11"/>
      <c r="R2826" s="11"/>
      <c r="S2826" s="11"/>
      <c r="T2826" s="11"/>
      <c r="U2826" s="11"/>
      <c r="W2826" s="11"/>
      <c r="X2826" s="11"/>
      <c r="Y2826" s="11"/>
      <c r="Z2826" s="11"/>
      <c r="AA2826" s="11"/>
      <c r="AB2826" s="11"/>
      <c r="AC2826" s="11"/>
      <c r="AD2826" s="11"/>
      <c r="AE2826" s="11"/>
    </row>
    <row r="2827" spans="4:31" s="29" customFormat="1" x14ac:dyDescent="0.25">
      <c r="D2827" s="955"/>
      <c r="E2827" s="955"/>
      <c r="F2827" s="955"/>
      <c r="G2827" s="956"/>
      <c r="H2827" s="956"/>
      <c r="I2827" s="956"/>
      <c r="J2827" s="956"/>
      <c r="K2827" s="956"/>
      <c r="M2827" s="11"/>
      <c r="N2827" s="11"/>
      <c r="O2827" s="11"/>
      <c r="P2827" s="11"/>
      <c r="Q2827" s="11"/>
      <c r="R2827" s="11"/>
      <c r="S2827" s="11"/>
      <c r="T2827" s="11"/>
      <c r="U2827" s="11"/>
      <c r="W2827" s="11"/>
      <c r="X2827" s="11"/>
      <c r="Y2827" s="11"/>
      <c r="Z2827" s="11"/>
      <c r="AA2827" s="11"/>
      <c r="AB2827" s="11"/>
      <c r="AC2827" s="11"/>
      <c r="AD2827" s="11"/>
      <c r="AE2827" s="11"/>
    </row>
    <row r="2828" spans="4:31" s="29" customFormat="1" x14ac:dyDescent="0.25">
      <c r="D2828" s="955" t="s">
        <v>5</v>
      </c>
      <c r="E2828" s="955"/>
      <c r="F2828" s="955"/>
      <c r="G2828" s="956" t="s">
        <v>856</v>
      </c>
      <c r="H2828" s="956"/>
      <c r="I2828" s="956"/>
      <c r="J2828" s="956"/>
      <c r="K2828" s="956"/>
      <c r="M2828" s="11" t="s">
        <v>337</v>
      </c>
      <c r="N2828" s="11">
        <f>SUM(N2820:N2827)</f>
        <v>268.16900000000004</v>
      </c>
      <c r="O2828" s="11"/>
      <c r="P2828" s="11">
        <f>SUM(P2820:P2827)</f>
        <v>61</v>
      </c>
      <c r="Q2828" s="11">
        <f>SUM(Q2820:Q2827)</f>
        <v>1131.52</v>
      </c>
      <c r="R2828" s="11"/>
      <c r="S2828" s="11"/>
      <c r="T2828" s="11"/>
      <c r="U2828" s="11">
        <f>SUM(U2820:U2827)</f>
        <v>1153.5422000000001</v>
      </c>
      <c r="W2828" s="11" t="s">
        <v>337</v>
      </c>
      <c r="X2828" s="11">
        <f>SUM(X2820:X2827)</f>
        <v>499.56900000000002</v>
      </c>
      <c r="Y2828" s="11"/>
      <c r="Z2828" s="11">
        <f>SUM(Z2820:Z2827)</f>
        <v>61</v>
      </c>
      <c r="AA2828" s="11">
        <f>SUM(AA2820:AA2827)</f>
        <v>2057.12</v>
      </c>
      <c r="AB2828" s="11"/>
      <c r="AC2828" s="11"/>
      <c r="AD2828" s="11"/>
      <c r="AE2828" s="11">
        <f>SUM(AE2820:AE2827)</f>
        <v>2079.1422000000002</v>
      </c>
    </row>
    <row r="2829" spans="4:31" s="29" customFormat="1" x14ac:dyDescent="0.25">
      <c r="D2829" s="955"/>
      <c r="E2829" s="955"/>
      <c r="F2829" s="955"/>
      <c r="G2829" s="956"/>
      <c r="H2829" s="956"/>
      <c r="I2829" s="956"/>
      <c r="J2829" s="956"/>
      <c r="K2829" s="956"/>
    </row>
    <row r="2830" spans="4:31" s="29" customFormat="1" x14ac:dyDescent="0.25">
      <c r="D2830" s="955"/>
      <c r="E2830" s="955"/>
      <c r="F2830" s="955"/>
      <c r="G2830" s="956"/>
      <c r="H2830" s="956"/>
      <c r="I2830" s="956"/>
      <c r="J2830" s="956"/>
      <c r="K2830" s="956"/>
      <c r="Q2830" s="11" t="s">
        <v>1681</v>
      </c>
      <c r="R2830" s="11">
        <f>U2828</f>
        <v>1153.5422000000001</v>
      </c>
      <c r="S2830" s="608" t="s">
        <v>2142</v>
      </c>
      <c r="T2830" s="608">
        <f>(R2830*100)/R2837</f>
        <v>44.455597126243916</v>
      </c>
      <c r="AA2830" s="11" t="s">
        <v>1681</v>
      </c>
      <c r="AB2830" s="11">
        <f>AE2828</f>
        <v>2079.1422000000002</v>
      </c>
      <c r="AC2830" s="608" t="s">
        <v>2142</v>
      </c>
      <c r="AD2830" s="608">
        <f>(AB2830*100)/AB2837</f>
        <v>49.571184716308622</v>
      </c>
    </row>
    <row r="2831" spans="4:31" s="29" customFormat="1" x14ac:dyDescent="0.25">
      <c r="D2831" s="955" t="s">
        <v>6</v>
      </c>
      <c r="E2831" s="955"/>
      <c r="F2831" s="955"/>
      <c r="G2831" s="956" t="s">
        <v>9</v>
      </c>
      <c r="H2831" s="956"/>
      <c r="I2831" s="956"/>
      <c r="J2831" s="956"/>
      <c r="K2831" s="956"/>
      <c r="Q2831" s="11" t="s">
        <v>2326</v>
      </c>
      <c r="R2831" s="11">
        <f>$AM$26</f>
        <v>131.82146077125219</v>
      </c>
      <c r="AA2831" s="11" t="s">
        <v>2326</v>
      </c>
      <c r="AB2831" s="11">
        <f>$AM$26</f>
        <v>131.82146077125219</v>
      </c>
    </row>
    <row r="2832" spans="4:31" s="29" customFormat="1" x14ac:dyDescent="0.25">
      <c r="D2832" s="955"/>
      <c r="E2832" s="955"/>
      <c r="F2832" s="955"/>
      <c r="G2832" s="956"/>
      <c r="H2832" s="956"/>
      <c r="I2832" s="956"/>
      <c r="J2832" s="956"/>
      <c r="K2832" s="956"/>
      <c r="Q2832" s="11" t="s">
        <v>2325</v>
      </c>
      <c r="R2832" s="11">
        <f>$AM$27</f>
        <v>75.599999999999994</v>
      </c>
      <c r="AA2832" s="11" t="s">
        <v>2325</v>
      </c>
      <c r="AB2832" s="11">
        <f>$AM$27</f>
        <v>75.599999999999994</v>
      </c>
    </row>
    <row r="2833" spans="4:31" s="29" customFormat="1" x14ac:dyDescent="0.25">
      <c r="D2833" s="955"/>
      <c r="E2833" s="955"/>
      <c r="F2833" s="955"/>
      <c r="G2833" s="956"/>
      <c r="H2833" s="956"/>
      <c r="I2833" s="956"/>
      <c r="J2833" s="956"/>
      <c r="K2833" s="956"/>
      <c r="Q2833" s="11" t="s">
        <v>1684</v>
      </c>
      <c r="R2833" s="11">
        <f>$AM$29</f>
        <v>140.66759979375703</v>
      </c>
      <c r="AA2833" s="11" t="s">
        <v>1684</v>
      </c>
      <c r="AB2833" s="11">
        <f>$AM$29</f>
        <v>140.66759979375703</v>
      </c>
    </row>
    <row r="2834" spans="4:31" s="29" customFormat="1" x14ac:dyDescent="0.25">
      <c r="D2834" s="955" t="s">
        <v>7</v>
      </c>
      <c r="E2834" s="955"/>
      <c r="F2834" s="955"/>
      <c r="G2834" s="956" t="s">
        <v>857</v>
      </c>
      <c r="H2834" s="956"/>
      <c r="I2834" s="956"/>
      <c r="J2834" s="956"/>
      <c r="K2834" s="956"/>
      <c r="Q2834" s="11" t="s">
        <v>1685</v>
      </c>
      <c r="R2834" s="11">
        <v>0.6</v>
      </c>
      <c r="AA2834" s="11" t="s">
        <v>1685</v>
      </c>
      <c r="AB2834" s="11">
        <v>0.6</v>
      </c>
    </row>
    <row r="2835" spans="4:31" s="29" customFormat="1" x14ac:dyDescent="0.25">
      <c r="D2835" s="955"/>
      <c r="E2835" s="955"/>
      <c r="F2835" s="955"/>
      <c r="G2835" s="956"/>
      <c r="H2835" s="956"/>
      <c r="I2835" s="956"/>
      <c r="J2835" s="956"/>
      <c r="K2835" s="956"/>
      <c r="Q2835" s="11" t="s">
        <v>1708</v>
      </c>
      <c r="R2835" s="11">
        <f>(SUM(R2830:R2833)*R2834)+SUM(R2830:R2833)</f>
        <v>2402.6100169040151</v>
      </c>
      <c r="AA2835" s="11" t="s">
        <v>1708</v>
      </c>
      <c r="AB2835" s="11">
        <f>(SUM(AB2830:AB2833)*AB2834)+SUM(AB2830:AB2833)</f>
        <v>3883.5700169040147</v>
      </c>
    </row>
    <row r="2836" spans="4:31" s="29" customFormat="1" x14ac:dyDescent="0.25">
      <c r="D2836" s="955"/>
      <c r="E2836" s="955"/>
      <c r="F2836" s="955"/>
      <c r="G2836" s="956"/>
      <c r="H2836" s="956"/>
      <c r="I2836" s="956"/>
      <c r="J2836" s="956"/>
      <c r="K2836" s="956"/>
      <c r="Q2836" s="11" t="s">
        <v>2130</v>
      </c>
      <c r="R2836" s="11">
        <f>R2835*0.08</f>
        <v>192.20880135232122</v>
      </c>
      <c r="AA2836" s="11" t="s">
        <v>2130</v>
      </c>
      <c r="AB2836" s="11">
        <f>AB2835*0.08</f>
        <v>310.68560135232116</v>
      </c>
    </row>
    <row r="2837" spans="4:31" s="29" customFormat="1" x14ac:dyDescent="0.25">
      <c r="Q2837" s="11" t="s">
        <v>1686</v>
      </c>
      <c r="R2837" s="11">
        <f>SUM(R2835+R2836)</f>
        <v>2594.8188182563363</v>
      </c>
      <c r="AA2837" s="11" t="s">
        <v>1686</v>
      </c>
      <c r="AB2837" s="11">
        <f>SUM(AB2835+AB2836)</f>
        <v>4194.2556182563358</v>
      </c>
    </row>
    <row r="2838" spans="4:31" s="29" customFormat="1" x14ac:dyDescent="0.25"/>
    <row r="2839" spans="4:31" s="29" customFormat="1" x14ac:dyDescent="0.25">
      <c r="D2839" s="953" t="s">
        <v>8</v>
      </c>
      <c r="E2839" s="953"/>
      <c r="F2839" s="953"/>
      <c r="G2839" s="953"/>
      <c r="H2839" s="953"/>
      <c r="I2839" s="953"/>
      <c r="J2839" s="953"/>
      <c r="K2839" s="953"/>
    </row>
    <row r="2840" spans="4:31" s="29" customFormat="1" x14ac:dyDescent="0.25">
      <c r="D2840" s="954" t="s">
        <v>0</v>
      </c>
      <c r="E2840" s="954"/>
      <c r="F2840" s="954"/>
      <c r="G2840" s="954" t="s">
        <v>1</v>
      </c>
      <c r="H2840" s="954"/>
      <c r="I2840" s="954"/>
      <c r="J2840" s="954"/>
      <c r="K2840" s="954"/>
    </row>
    <row r="2841" spans="4:31" s="29" customFormat="1" x14ac:dyDescent="0.25">
      <c r="D2841" s="955" t="s">
        <v>2</v>
      </c>
      <c r="E2841" s="955"/>
      <c r="F2841" s="955"/>
      <c r="G2841" s="956" t="s">
        <v>859</v>
      </c>
      <c r="H2841" s="956"/>
      <c r="I2841" s="956"/>
      <c r="J2841" s="956"/>
      <c r="K2841" s="956"/>
    </row>
    <row r="2842" spans="4:31" s="29" customFormat="1" x14ac:dyDescent="0.25">
      <c r="D2842" s="955"/>
      <c r="E2842" s="955"/>
      <c r="F2842" s="955"/>
      <c r="G2842" s="956"/>
      <c r="H2842" s="956"/>
      <c r="I2842" s="956"/>
      <c r="J2842" s="956"/>
      <c r="K2842" s="956"/>
      <c r="M2842" s="10" t="s">
        <v>336</v>
      </c>
      <c r="N2842" s="10" t="s">
        <v>174</v>
      </c>
      <c r="O2842" s="10" t="s">
        <v>248</v>
      </c>
      <c r="P2842" s="10" t="s">
        <v>176</v>
      </c>
      <c r="Q2842" s="10" t="s">
        <v>337</v>
      </c>
      <c r="R2842" s="10" t="s">
        <v>1641</v>
      </c>
      <c r="S2842" s="10" t="s">
        <v>1642</v>
      </c>
      <c r="T2842" s="10" t="s">
        <v>1643</v>
      </c>
      <c r="U2842" s="10" t="s">
        <v>1644</v>
      </c>
      <c r="W2842" s="10" t="s">
        <v>336</v>
      </c>
      <c r="X2842" s="10" t="s">
        <v>174</v>
      </c>
      <c r="Y2842" s="10" t="s">
        <v>248</v>
      </c>
      <c r="Z2842" s="10" t="s">
        <v>176</v>
      </c>
      <c r="AA2842" s="10" t="s">
        <v>337</v>
      </c>
      <c r="AB2842" s="10" t="s">
        <v>1641</v>
      </c>
      <c r="AC2842" s="10" t="s">
        <v>1642</v>
      </c>
      <c r="AD2842" s="10" t="s">
        <v>1643</v>
      </c>
      <c r="AE2842" s="10" t="s">
        <v>1644</v>
      </c>
    </row>
    <row r="2843" spans="4:31" s="29" customFormat="1" x14ac:dyDescent="0.25">
      <c r="D2843" s="955"/>
      <c r="E2843" s="955"/>
      <c r="F2843" s="955"/>
      <c r="G2843" s="956"/>
      <c r="H2843" s="956"/>
      <c r="I2843" s="956"/>
      <c r="J2843" s="956"/>
      <c r="K2843" s="956"/>
      <c r="M2843" s="11" t="s">
        <v>922</v>
      </c>
      <c r="N2843" s="11">
        <f>Y3</f>
        <v>30</v>
      </c>
      <c r="O2843" s="11" t="str">
        <f>X3</f>
        <v>g</v>
      </c>
      <c r="P2843" s="11">
        <v>5</v>
      </c>
      <c r="Q2843" s="11">
        <f>N2843*P2843</f>
        <v>150</v>
      </c>
      <c r="R2843" s="11">
        <v>0</v>
      </c>
      <c r="S2843" s="11">
        <f>P2843*R2843</f>
        <v>0</v>
      </c>
      <c r="T2843" s="11">
        <f>P2843-S2843</f>
        <v>5</v>
      </c>
      <c r="U2843" s="11">
        <f>Q2843+((S2843*Q2843)/P2843)</f>
        <v>150</v>
      </c>
      <c r="W2843" s="11" t="s">
        <v>922</v>
      </c>
      <c r="X2843" s="307">
        <f>Y3</f>
        <v>30</v>
      </c>
      <c r="Y2843" s="11" t="str">
        <f>X3</f>
        <v>g</v>
      </c>
      <c r="Z2843" s="11">
        <v>5</v>
      </c>
      <c r="AA2843" s="11">
        <f>X2843*Z2843</f>
        <v>150</v>
      </c>
      <c r="AB2843" s="11">
        <v>0</v>
      </c>
      <c r="AC2843" s="11">
        <f>Z2843*AB2843</f>
        <v>0</v>
      </c>
      <c r="AD2843" s="11">
        <f>Z2843-AC2843</f>
        <v>5</v>
      </c>
      <c r="AE2843" s="11">
        <f>AA2843+((AC2843*AA2843)/Z2843)</f>
        <v>150</v>
      </c>
    </row>
    <row r="2844" spans="4:31" s="29" customFormat="1" x14ac:dyDescent="0.25">
      <c r="D2844" s="954" t="s">
        <v>0</v>
      </c>
      <c r="E2844" s="954"/>
      <c r="F2844" s="954"/>
      <c r="G2844" s="954" t="s">
        <v>1</v>
      </c>
      <c r="H2844" s="954"/>
      <c r="I2844" s="954"/>
      <c r="J2844" s="954"/>
      <c r="K2844" s="954"/>
      <c r="M2844" s="11" t="s">
        <v>899</v>
      </c>
      <c r="N2844" s="11">
        <f>M14</f>
        <v>0.75</v>
      </c>
      <c r="O2844" s="11" t="str">
        <f>L14</f>
        <v>g</v>
      </c>
      <c r="P2844" s="11">
        <v>20</v>
      </c>
      <c r="Q2844" s="11">
        <f t="shared" ref="Q2844:Q2846" si="972">N2844*P2844</f>
        <v>15</v>
      </c>
      <c r="R2844" s="11">
        <f>AL2</f>
        <v>0.38</v>
      </c>
      <c r="S2844" s="11">
        <f t="shared" ref="S2844:S2848" si="973">P2844*R2844</f>
        <v>7.6</v>
      </c>
      <c r="T2844" s="11">
        <f t="shared" ref="T2844:T2848" si="974">P2844-S2844</f>
        <v>12.4</v>
      </c>
      <c r="U2844" s="11">
        <f t="shared" ref="U2844:U2848" si="975">Q2844+((S2844*Q2844)/P2844)</f>
        <v>20.7</v>
      </c>
      <c r="W2844" s="11" t="s">
        <v>899</v>
      </c>
      <c r="X2844" s="307">
        <f>M14</f>
        <v>0.75</v>
      </c>
      <c r="Y2844" s="11" t="str">
        <f>L14</f>
        <v>g</v>
      </c>
      <c r="Z2844" s="11">
        <v>20</v>
      </c>
      <c r="AA2844" s="11">
        <f t="shared" ref="AA2844:AA2846" si="976">X2844*Z2844</f>
        <v>15</v>
      </c>
      <c r="AB2844" s="11">
        <f>AL2</f>
        <v>0.38</v>
      </c>
      <c r="AC2844" s="11">
        <f t="shared" ref="AC2844:AC2848" si="977">Z2844*AB2844</f>
        <v>7.6</v>
      </c>
      <c r="AD2844" s="11">
        <f t="shared" ref="AD2844:AD2848" si="978">Z2844-AC2844</f>
        <v>12.4</v>
      </c>
      <c r="AE2844" s="11">
        <f t="shared" ref="AE2844:AE2848" si="979">AA2844+((AC2844*AA2844)/Z2844)</f>
        <v>20.7</v>
      </c>
    </row>
    <row r="2845" spans="4:31" s="29" customFormat="1" x14ac:dyDescent="0.25">
      <c r="D2845" s="955" t="s">
        <v>3</v>
      </c>
      <c r="E2845" s="955"/>
      <c r="F2845" s="955"/>
      <c r="G2845" s="957" t="s">
        <v>858</v>
      </c>
      <c r="H2845" s="956"/>
      <c r="I2845" s="956"/>
      <c r="J2845" s="956"/>
      <c r="K2845" s="956"/>
      <c r="M2845" s="11" t="s">
        <v>742</v>
      </c>
      <c r="N2845" s="11">
        <f>M3</f>
        <v>4</v>
      </c>
      <c r="O2845" s="11" t="str">
        <f>L3</f>
        <v>g</v>
      </c>
      <c r="P2845" s="11">
        <v>20</v>
      </c>
      <c r="Q2845" s="11">
        <f t="shared" si="972"/>
        <v>80</v>
      </c>
      <c r="R2845" s="11">
        <v>0</v>
      </c>
      <c r="S2845" s="11">
        <f t="shared" si="973"/>
        <v>0</v>
      </c>
      <c r="T2845" s="11">
        <f t="shared" si="974"/>
        <v>20</v>
      </c>
      <c r="U2845" s="11">
        <f t="shared" si="975"/>
        <v>80</v>
      </c>
      <c r="W2845" s="11" t="s">
        <v>742</v>
      </c>
      <c r="X2845" s="307">
        <f>M3</f>
        <v>4</v>
      </c>
      <c r="Y2845" s="11" t="str">
        <f>L3</f>
        <v>g</v>
      </c>
      <c r="Z2845" s="11">
        <v>20</v>
      </c>
      <c r="AA2845" s="11">
        <f t="shared" si="976"/>
        <v>80</v>
      </c>
      <c r="AB2845" s="11">
        <v>0</v>
      </c>
      <c r="AC2845" s="11">
        <f t="shared" si="977"/>
        <v>0</v>
      </c>
      <c r="AD2845" s="11">
        <f t="shared" si="978"/>
        <v>20</v>
      </c>
      <c r="AE2845" s="11">
        <f t="shared" si="979"/>
        <v>80</v>
      </c>
    </row>
    <row r="2846" spans="4:31" s="29" customFormat="1" x14ac:dyDescent="0.25">
      <c r="D2846" s="955"/>
      <c r="E2846" s="955"/>
      <c r="F2846" s="955"/>
      <c r="G2846" s="956"/>
      <c r="H2846" s="956"/>
      <c r="I2846" s="956"/>
      <c r="J2846" s="956"/>
      <c r="K2846" s="956"/>
      <c r="M2846" s="11" t="s">
        <v>741</v>
      </c>
      <c r="N2846" s="11">
        <f>M7</f>
        <v>1.1419999999999999</v>
      </c>
      <c r="O2846" s="11" t="str">
        <f>L7</f>
        <v>g</v>
      </c>
      <c r="P2846" s="11">
        <v>20</v>
      </c>
      <c r="Q2846" s="11">
        <f t="shared" si="972"/>
        <v>22.839999999999996</v>
      </c>
      <c r="R2846" s="11">
        <f>AL8</f>
        <v>0.36</v>
      </c>
      <c r="S2846" s="11">
        <f t="shared" si="973"/>
        <v>7.1999999999999993</v>
      </c>
      <c r="T2846" s="11">
        <f t="shared" si="974"/>
        <v>12.8</v>
      </c>
      <c r="U2846" s="11">
        <f t="shared" si="975"/>
        <v>31.062399999999993</v>
      </c>
      <c r="W2846" s="11" t="s">
        <v>741</v>
      </c>
      <c r="X2846" s="307">
        <f>M7</f>
        <v>1.1419999999999999</v>
      </c>
      <c r="Y2846" s="11" t="str">
        <f>L7</f>
        <v>g</v>
      </c>
      <c r="Z2846" s="11">
        <v>20</v>
      </c>
      <c r="AA2846" s="11">
        <f t="shared" si="976"/>
        <v>22.839999999999996</v>
      </c>
      <c r="AB2846" s="11">
        <f>AL8</f>
        <v>0.36</v>
      </c>
      <c r="AC2846" s="11">
        <f t="shared" si="977"/>
        <v>7.1999999999999993</v>
      </c>
      <c r="AD2846" s="11">
        <f t="shared" si="978"/>
        <v>12.8</v>
      </c>
      <c r="AE2846" s="11">
        <f t="shared" si="979"/>
        <v>31.062399999999993</v>
      </c>
    </row>
    <row r="2847" spans="4:31" s="29" customFormat="1" x14ac:dyDescent="0.25">
      <c r="D2847" s="955"/>
      <c r="E2847" s="955"/>
      <c r="F2847" s="955"/>
      <c r="G2847" s="956"/>
      <c r="H2847" s="956"/>
      <c r="I2847" s="956"/>
      <c r="J2847" s="956"/>
      <c r="K2847" s="956"/>
      <c r="M2847" s="11" t="s">
        <v>443</v>
      </c>
      <c r="N2847" s="11">
        <f>Y7</f>
        <v>3.6</v>
      </c>
      <c r="O2847" s="11" t="str">
        <f>X7</f>
        <v>g</v>
      </c>
      <c r="P2847" s="11">
        <v>4</v>
      </c>
      <c r="Q2847" s="11">
        <f>N2847*P2847</f>
        <v>14.4</v>
      </c>
      <c r="R2847" s="11">
        <v>0</v>
      </c>
      <c r="S2847" s="11">
        <f t="shared" si="973"/>
        <v>0</v>
      </c>
      <c r="T2847" s="11">
        <f t="shared" si="974"/>
        <v>4</v>
      </c>
      <c r="U2847" s="11">
        <f t="shared" si="975"/>
        <v>14.4</v>
      </c>
      <c r="W2847" s="11" t="s">
        <v>1882</v>
      </c>
      <c r="X2847" s="307">
        <f>AE34</f>
        <v>235</v>
      </c>
      <c r="Y2847" s="11" t="str">
        <f>AD34</f>
        <v>g</v>
      </c>
      <c r="Z2847" s="11">
        <v>4</v>
      </c>
      <c r="AA2847" s="11">
        <f>X2847*Z2847</f>
        <v>940</v>
      </c>
      <c r="AB2847" s="11">
        <v>0</v>
      </c>
      <c r="AC2847" s="11">
        <f t="shared" si="977"/>
        <v>0</v>
      </c>
      <c r="AD2847" s="11">
        <f t="shared" si="978"/>
        <v>4</v>
      </c>
      <c r="AE2847" s="11">
        <f t="shared" si="979"/>
        <v>940</v>
      </c>
    </row>
    <row r="2848" spans="4:31" s="29" customFormat="1" x14ac:dyDescent="0.25">
      <c r="D2848" s="955" t="s">
        <v>4</v>
      </c>
      <c r="E2848" s="955"/>
      <c r="F2848" s="955"/>
      <c r="G2848" s="956" t="s">
        <v>825</v>
      </c>
      <c r="H2848" s="956"/>
      <c r="I2848" s="956"/>
      <c r="J2848" s="956"/>
      <c r="K2848" s="956"/>
      <c r="M2848" s="11" t="s">
        <v>917</v>
      </c>
      <c r="N2848" s="307">
        <f>M23</f>
        <v>1.8</v>
      </c>
      <c r="O2848" s="11" t="str">
        <f>L23</f>
        <v>g</v>
      </c>
      <c r="P2848" s="11">
        <v>30</v>
      </c>
      <c r="Q2848" s="11">
        <f>N2848*P2848</f>
        <v>54</v>
      </c>
      <c r="R2848" s="11">
        <f>AL11</f>
        <v>0.33</v>
      </c>
      <c r="S2848" s="11">
        <f t="shared" si="973"/>
        <v>9.9</v>
      </c>
      <c r="T2848" s="11">
        <f t="shared" si="974"/>
        <v>20.100000000000001</v>
      </c>
      <c r="U2848" s="11">
        <f t="shared" si="975"/>
        <v>71.819999999999993</v>
      </c>
      <c r="W2848" s="11" t="s">
        <v>917</v>
      </c>
      <c r="X2848" s="307">
        <f>M23</f>
        <v>1.8</v>
      </c>
      <c r="Y2848" s="11" t="str">
        <f>L23</f>
        <v>g</v>
      </c>
      <c r="Z2848" s="11">
        <v>30</v>
      </c>
      <c r="AA2848" s="11">
        <f>X2848*Z2848</f>
        <v>54</v>
      </c>
      <c r="AB2848" s="11">
        <f>AL11</f>
        <v>0.33</v>
      </c>
      <c r="AC2848" s="11">
        <f t="shared" si="977"/>
        <v>9.9</v>
      </c>
      <c r="AD2848" s="11">
        <f t="shared" si="978"/>
        <v>20.100000000000001</v>
      </c>
      <c r="AE2848" s="11">
        <f t="shared" si="979"/>
        <v>71.819999999999993</v>
      </c>
    </row>
    <row r="2849" spans="4:31" s="29" customFormat="1" x14ac:dyDescent="0.25">
      <c r="D2849" s="955"/>
      <c r="E2849" s="955"/>
      <c r="F2849" s="955"/>
      <c r="G2849" s="956"/>
      <c r="H2849" s="956"/>
      <c r="I2849" s="956"/>
      <c r="J2849" s="956"/>
      <c r="K2849" s="956"/>
      <c r="M2849" s="11"/>
      <c r="N2849" s="11"/>
      <c r="O2849" s="11"/>
      <c r="P2849" s="11"/>
      <c r="Q2849" s="11"/>
      <c r="R2849" s="11"/>
      <c r="S2849" s="11"/>
      <c r="T2849" s="11"/>
      <c r="U2849" s="11"/>
      <c r="W2849" s="11"/>
      <c r="X2849" s="11"/>
      <c r="Y2849" s="11"/>
      <c r="Z2849" s="11"/>
      <c r="AA2849" s="11"/>
      <c r="AB2849" s="11"/>
      <c r="AC2849" s="11"/>
      <c r="AD2849" s="11"/>
      <c r="AE2849" s="11"/>
    </row>
    <row r="2850" spans="4:31" s="29" customFormat="1" x14ac:dyDescent="0.25">
      <c r="D2850" s="955"/>
      <c r="E2850" s="955"/>
      <c r="F2850" s="955"/>
      <c r="G2850" s="956"/>
      <c r="H2850" s="956"/>
      <c r="I2850" s="956"/>
      <c r="J2850" s="956"/>
      <c r="K2850" s="956"/>
      <c r="M2850" s="11"/>
      <c r="N2850" s="11"/>
      <c r="O2850" s="11"/>
      <c r="P2850" s="11"/>
      <c r="Q2850" s="11"/>
      <c r="R2850" s="11"/>
      <c r="S2850" s="11"/>
      <c r="T2850" s="11"/>
      <c r="U2850" s="11"/>
      <c r="W2850" s="11"/>
      <c r="X2850" s="11"/>
      <c r="Y2850" s="11"/>
      <c r="Z2850" s="11"/>
      <c r="AA2850" s="11"/>
      <c r="AB2850" s="11"/>
      <c r="AC2850" s="11"/>
      <c r="AD2850" s="11"/>
      <c r="AE2850" s="11"/>
    </row>
    <row r="2851" spans="4:31" s="29" customFormat="1" x14ac:dyDescent="0.25">
      <c r="D2851" s="955" t="s">
        <v>5</v>
      </c>
      <c r="E2851" s="955"/>
      <c r="F2851" s="955"/>
      <c r="G2851" s="956" t="s">
        <v>860</v>
      </c>
      <c r="H2851" s="956"/>
      <c r="I2851" s="956"/>
      <c r="J2851" s="956"/>
      <c r="K2851" s="956"/>
      <c r="M2851" s="11" t="s">
        <v>337</v>
      </c>
      <c r="N2851" s="11">
        <f>SUM(N2843:N2850)</f>
        <v>41.292000000000002</v>
      </c>
      <c r="O2851" s="11"/>
      <c r="P2851" s="11">
        <f>SUM(P2843:P2850)</f>
        <v>99</v>
      </c>
      <c r="Q2851" s="11">
        <f>SUM(Q2843:Q2850)</f>
        <v>336.23999999999995</v>
      </c>
      <c r="R2851" s="11"/>
      <c r="S2851" s="11"/>
      <c r="T2851" s="11"/>
      <c r="U2851" s="11">
        <f>SUM(U2843:U2850)</f>
        <v>367.98239999999993</v>
      </c>
      <c r="W2851" s="11" t="s">
        <v>337</v>
      </c>
      <c r="X2851" s="11">
        <f>SUM(X2843:X2850)</f>
        <v>272.69200000000001</v>
      </c>
      <c r="Y2851" s="11"/>
      <c r="Z2851" s="11">
        <f>SUM(Z2843:Z2850)</f>
        <v>99</v>
      </c>
      <c r="AA2851" s="11">
        <f>SUM(AA2843:AA2850)</f>
        <v>1261.8399999999999</v>
      </c>
      <c r="AB2851" s="11"/>
      <c r="AC2851" s="11"/>
      <c r="AD2851" s="11"/>
      <c r="AE2851" s="11">
        <f>SUM(AE2843:AE2850)</f>
        <v>1293.5824</v>
      </c>
    </row>
    <row r="2852" spans="4:31" s="29" customFormat="1" x14ac:dyDescent="0.25">
      <c r="D2852" s="955"/>
      <c r="E2852" s="955"/>
      <c r="F2852" s="955"/>
      <c r="G2852" s="956"/>
      <c r="H2852" s="956"/>
      <c r="I2852" s="956"/>
      <c r="J2852" s="956"/>
      <c r="K2852" s="956"/>
    </row>
    <row r="2853" spans="4:31" s="29" customFormat="1" x14ac:dyDescent="0.25">
      <c r="D2853" s="955"/>
      <c r="E2853" s="955"/>
      <c r="F2853" s="955"/>
      <c r="G2853" s="956"/>
      <c r="H2853" s="956"/>
      <c r="I2853" s="956"/>
      <c r="J2853" s="956"/>
      <c r="K2853" s="956"/>
      <c r="Q2853" s="11" t="s">
        <v>1681</v>
      </c>
      <c r="R2853" s="11">
        <f>U2851</f>
        <v>367.98239999999993</v>
      </c>
      <c r="S2853" s="608" t="s">
        <v>2142</v>
      </c>
      <c r="T2853" s="608">
        <f>(R2853*100)/R2860</f>
        <v>29.739039956954777</v>
      </c>
      <c r="AA2853" s="11" t="s">
        <v>1681</v>
      </c>
      <c r="AB2853" s="11">
        <f>AE2851</f>
        <v>1293.5824</v>
      </c>
      <c r="AC2853" s="608" t="s">
        <v>2142</v>
      </c>
      <c r="AD2853" s="608">
        <f>(AB2853*100)/AB2860</f>
        <v>45.599923243368195</v>
      </c>
    </row>
    <row r="2854" spans="4:31" s="29" customFormat="1" x14ac:dyDescent="0.25">
      <c r="D2854" s="955" t="s">
        <v>6</v>
      </c>
      <c r="E2854" s="955"/>
      <c r="F2854" s="955"/>
      <c r="G2854" s="956" t="s">
        <v>9</v>
      </c>
      <c r="H2854" s="956"/>
      <c r="I2854" s="956"/>
      <c r="J2854" s="956"/>
      <c r="K2854" s="956"/>
      <c r="Q2854" s="11" t="s">
        <v>2326</v>
      </c>
      <c r="R2854" s="11">
        <f>$AM$26</f>
        <v>131.82146077125219</v>
      </c>
      <c r="AA2854" s="11" t="s">
        <v>2326</v>
      </c>
      <c r="AB2854" s="11">
        <f>$AM$26</f>
        <v>131.82146077125219</v>
      </c>
    </row>
    <row r="2855" spans="4:31" s="29" customFormat="1" x14ac:dyDescent="0.25">
      <c r="D2855" s="955"/>
      <c r="E2855" s="955"/>
      <c r="F2855" s="955"/>
      <c r="G2855" s="956"/>
      <c r="H2855" s="956"/>
      <c r="I2855" s="956"/>
      <c r="J2855" s="956"/>
      <c r="K2855" s="956"/>
      <c r="Q2855" s="11" t="s">
        <v>2325</v>
      </c>
      <c r="R2855" s="11">
        <f>$AM$27</f>
        <v>75.599999999999994</v>
      </c>
      <c r="AA2855" s="11" t="s">
        <v>2325</v>
      </c>
      <c r="AB2855" s="11">
        <f>$AM$27</f>
        <v>75.599999999999994</v>
      </c>
    </row>
    <row r="2856" spans="4:31" s="29" customFormat="1" x14ac:dyDescent="0.25">
      <c r="D2856" s="955"/>
      <c r="E2856" s="955"/>
      <c r="F2856" s="955"/>
      <c r="G2856" s="956"/>
      <c r="H2856" s="956"/>
      <c r="I2856" s="956"/>
      <c r="J2856" s="956"/>
      <c r="K2856" s="956"/>
      <c r="Q2856" s="11" t="s">
        <v>1684</v>
      </c>
      <c r="R2856" s="11">
        <f>$AM$29</f>
        <v>140.66759979375703</v>
      </c>
      <c r="AA2856" s="11" t="s">
        <v>1684</v>
      </c>
      <c r="AB2856" s="11">
        <f>$AM$29</f>
        <v>140.66759979375703</v>
      </c>
    </row>
    <row r="2857" spans="4:31" s="29" customFormat="1" x14ac:dyDescent="0.25">
      <c r="D2857" s="955" t="s">
        <v>7</v>
      </c>
      <c r="E2857" s="955"/>
      <c r="F2857" s="955"/>
      <c r="G2857" s="956" t="s">
        <v>2146</v>
      </c>
      <c r="H2857" s="956"/>
      <c r="I2857" s="956"/>
      <c r="J2857" s="956"/>
      <c r="K2857" s="956"/>
      <c r="Q2857" s="11" t="s">
        <v>1685</v>
      </c>
      <c r="R2857" s="11">
        <v>0.6</v>
      </c>
      <c r="AA2857" s="11" t="s">
        <v>1685</v>
      </c>
      <c r="AB2857" s="11">
        <v>0.6</v>
      </c>
    </row>
    <row r="2858" spans="4:31" s="29" customFormat="1" x14ac:dyDescent="0.25">
      <c r="D2858" s="955"/>
      <c r="E2858" s="955"/>
      <c r="F2858" s="955"/>
      <c r="G2858" s="956"/>
      <c r="H2858" s="956"/>
      <c r="I2858" s="956"/>
      <c r="J2858" s="956"/>
      <c r="K2858" s="956"/>
      <c r="Q2858" s="11" t="s">
        <v>1708</v>
      </c>
      <c r="R2858" s="11">
        <f>(SUM(R2853:R2856)*R2857)+SUM(R2853:R2856)</f>
        <v>1145.7143369040145</v>
      </c>
      <c r="AA2858" s="11" t="s">
        <v>1708</v>
      </c>
      <c r="AB2858" s="11">
        <f>(SUM(AB2853:AB2856)*AB2857)+SUM(AB2853:AB2856)</f>
        <v>2626.674336904015</v>
      </c>
    </row>
    <row r="2859" spans="4:31" s="29" customFormat="1" x14ac:dyDescent="0.25">
      <c r="D2859" s="955"/>
      <c r="E2859" s="955"/>
      <c r="F2859" s="955"/>
      <c r="G2859" s="956"/>
      <c r="H2859" s="956"/>
      <c r="I2859" s="956"/>
      <c r="J2859" s="956"/>
      <c r="K2859" s="956"/>
      <c r="Q2859" s="11" t="s">
        <v>2130</v>
      </c>
      <c r="R2859" s="11">
        <f>R2858*0.08</f>
        <v>91.65714695232117</v>
      </c>
      <c r="AA2859" s="11" t="s">
        <v>2130</v>
      </c>
      <c r="AB2859" s="11">
        <f>AB2858*0.08</f>
        <v>210.1339469523212</v>
      </c>
    </row>
    <row r="2860" spans="4:31" s="29" customFormat="1" x14ac:dyDescent="0.25">
      <c r="Q2860" s="11" t="s">
        <v>1686</v>
      </c>
      <c r="R2860" s="11">
        <f>SUM(R2858+R2859)</f>
        <v>1237.3714838563358</v>
      </c>
      <c r="AA2860" s="11" t="s">
        <v>1686</v>
      </c>
      <c r="AB2860" s="11">
        <f>SUM(AB2858+AB2859)</f>
        <v>2836.8082838563364</v>
      </c>
    </row>
    <row r="2861" spans="4:31" s="29" customFormat="1" x14ac:dyDescent="0.25"/>
    <row r="2862" spans="4:31" s="29" customFormat="1" x14ac:dyDescent="0.25">
      <c r="D2862" s="953" t="s">
        <v>8</v>
      </c>
      <c r="E2862" s="953"/>
      <c r="F2862" s="953"/>
      <c r="G2862" s="953"/>
      <c r="H2862" s="953"/>
      <c r="I2862" s="953"/>
      <c r="J2862" s="953"/>
      <c r="K2862" s="953"/>
    </row>
    <row r="2863" spans="4:31" s="29" customFormat="1" x14ac:dyDescent="0.25">
      <c r="D2863" s="954" t="s">
        <v>0</v>
      </c>
      <c r="E2863" s="954"/>
      <c r="F2863" s="954"/>
      <c r="G2863" s="954" t="s">
        <v>1</v>
      </c>
      <c r="H2863" s="954"/>
      <c r="I2863" s="954"/>
      <c r="J2863" s="954"/>
      <c r="K2863" s="954"/>
    </row>
    <row r="2864" spans="4:31" s="29" customFormat="1" x14ac:dyDescent="0.25">
      <c r="D2864" s="955" t="s">
        <v>2</v>
      </c>
      <c r="E2864" s="955"/>
      <c r="F2864" s="955"/>
      <c r="G2864" s="956" t="s">
        <v>862</v>
      </c>
      <c r="H2864" s="956"/>
      <c r="I2864" s="956"/>
      <c r="J2864" s="956"/>
      <c r="K2864" s="956"/>
    </row>
    <row r="2865" spans="4:31" s="29" customFormat="1" x14ac:dyDescent="0.25">
      <c r="D2865" s="955"/>
      <c r="E2865" s="955"/>
      <c r="F2865" s="955"/>
      <c r="G2865" s="956"/>
      <c r="H2865" s="956"/>
      <c r="I2865" s="956"/>
      <c r="J2865" s="956"/>
      <c r="K2865" s="956"/>
      <c r="M2865" s="10" t="s">
        <v>336</v>
      </c>
      <c r="N2865" s="10" t="s">
        <v>174</v>
      </c>
      <c r="O2865" s="10" t="s">
        <v>248</v>
      </c>
      <c r="P2865" s="10" t="s">
        <v>176</v>
      </c>
      <c r="Q2865" s="10" t="s">
        <v>337</v>
      </c>
      <c r="R2865" s="10" t="s">
        <v>1641</v>
      </c>
      <c r="S2865" s="10" t="s">
        <v>1642</v>
      </c>
      <c r="T2865" s="10" t="s">
        <v>1643</v>
      </c>
      <c r="U2865" s="10" t="s">
        <v>1644</v>
      </c>
      <c r="W2865" s="10" t="s">
        <v>336</v>
      </c>
      <c r="X2865" s="10" t="s">
        <v>174</v>
      </c>
      <c r="Y2865" s="10" t="s">
        <v>248</v>
      </c>
      <c r="Z2865" s="10" t="s">
        <v>176</v>
      </c>
      <c r="AA2865" s="10" t="s">
        <v>337</v>
      </c>
      <c r="AB2865" s="10" t="s">
        <v>1641</v>
      </c>
      <c r="AC2865" s="10" t="s">
        <v>1642</v>
      </c>
      <c r="AD2865" s="10" t="s">
        <v>1643</v>
      </c>
      <c r="AE2865" s="10" t="s">
        <v>1644</v>
      </c>
    </row>
    <row r="2866" spans="4:31" s="29" customFormat="1" x14ac:dyDescent="0.25">
      <c r="D2866" s="955"/>
      <c r="E2866" s="955"/>
      <c r="F2866" s="955"/>
      <c r="G2866" s="956"/>
      <c r="H2866" s="956"/>
      <c r="I2866" s="956"/>
      <c r="J2866" s="956"/>
      <c r="K2866" s="956"/>
      <c r="M2866" s="11" t="s">
        <v>703</v>
      </c>
      <c r="N2866" s="11">
        <f>M12</f>
        <v>2.4</v>
      </c>
      <c r="O2866" s="11" t="str">
        <f>L12</f>
        <v>g</v>
      </c>
      <c r="P2866" s="11">
        <v>20</v>
      </c>
      <c r="Q2866" s="11">
        <f>N2866*P2866</f>
        <v>48</v>
      </c>
      <c r="R2866" s="11">
        <f>AL13</f>
        <v>0.35</v>
      </c>
      <c r="S2866" s="11">
        <f>P2866*R2866</f>
        <v>7</v>
      </c>
      <c r="T2866" s="11">
        <f>P2866-S2866</f>
        <v>13</v>
      </c>
      <c r="U2866" s="11">
        <f>Q2866+((S2866*Q2866)/P2866)</f>
        <v>64.8</v>
      </c>
      <c r="W2866" s="11" t="s">
        <v>703</v>
      </c>
      <c r="X2866" s="307">
        <f>M12</f>
        <v>2.4</v>
      </c>
      <c r="Y2866" s="11" t="str">
        <f>L12</f>
        <v>g</v>
      </c>
      <c r="Z2866" s="11">
        <v>20</v>
      </c>
      <c r="AA2866" s="11">
        <f>X2866*Z2866</f>
        <v>48</v>
      </c>
      <c r="AB2866" s="11">
        <f>AL13</f>
        <v>0.35</v>
      </c>
      <c r="AC2866" s="11">
        <f>Z2866*AB2866</f>
        <v>7</v>
      </c>
      <c r="AD2866" s="11">
        <f>Z2866-AC2866</f>
        <v>13</v>
      </c>
      <c r="AE2866" s="11">
        <f>AA2866+((AC2866*AA2866)/Z2866)</f>
        <v>64.8</v>
      </c>
    </row>
    <row r="2867" spans="4:31" s="29" customFormat="1" x14ac:dyDescent="0.25">
      <c r="D2867" s="954" t="s">
        <v>0</v>
      </c>
      <c r="E2867" s="954"/>
      <c r="F2867" s="954"/>
      <c r="G2867" s="954" t="s">
        <v>1</v>
      </c>
      <c r="H2867" s="954"/>
      <c r="I2867" s="954"/>
      <c r="J2867" s="954"/>
      <c r="K2867" s="954"/>
      <c r="M2867" s="11" t="s">
        <v>923</v>
      </c>
      <c r="N2867" s="11">
        <f>M24</f>
        <v>2.5</v>
      </c>
      <c r="O2867" s="11" t="str">
        <f>L24</f>
        <v>g</v>
      </c>
      <c r="P2867" s="11">
        <v>20</v>
      </c>
      <c r="Q2867" s="11">
        <f t="shared" ref="Q2867:Q2870" si="980">N2867*P2867</f>
        <v>50</v>
      </c>
      <c r="R2867" s="11">
        <f>AL9</f>
        <v>0.37</v>
      </c>
      <c r="S2867" s="11">
        <f t="shared" ref="S2867:S2870" si="981">P2867*R2867</f>
        <v>7.4</v>
      </c>
      <c r="T2867" s="11">
        <f t="shared" ref="T2867:T2870" si="982">P2867-S2867</f>
        <v>12.6</v>
      </c>
      <c r="U2867" s="11">
        <f t="shared" ref="U2867:U2870" si="983">Q2867+((S2867*Q2867)/P2867)</f>
        <v>68.5</v>
      </c>
      <c r="W2867" s="11" t="s">
        <v>923</v>
      </c>
      <c r="X2867" s="307">
        <f>M24</f>
        <v>2.5</v>
      </c>
      <c r="Y2867" s="11" t="str">
        <f>L24</f>
        <v>g</v>
      </c>
      <c r="Z2867" s="11">
        <v>20</v>
      </c>
      <c r="AA2867" s="11">
        <f t="shared" ref="AA2867:AA2870" si="984">X2867*Z2867</f>
        <v>50</v>
      </c>
      <c r="AB2867" s="11">
        <f>AL9</f>
        <v>0.37</v>
      </c>
      <c r="AC2867" s="11">
        <f t="shared" ref="AC2867:AC2870" si="985">Z2867*AB2867</f>
        <v>7.4</v>
      </c>
      <c r="AD2867" s="11">
        <f t="shared" ref="AD2867:AD2870" si="986">Z2867-AC2867</f>
        <v>12.6</v>
      </c>
      <c r="AE2867" s="11">
        <f t="shared" ref="AE2867:AE2870" si="987">AA2867+((AC2867*AA2867)/Z2867)</f>
        <v>68.5</v>
      </c>
    </row>
    <row r="2868" spans="4:31" s="29" customFormat="1" x14ac:dyDescent="0.25">
      <c r="D2868" s="955" t="s">
        <v>3</v>
      </c>
      <c r="E2868" s="955"/>
      <c r="F2868" s="955"/>
      <c r="G2868" s="957" t="s">
        <v>861</v>
      </c>
      <c r="H2868" s="956"/>
      <c r="I2868" s="956"/>
      <c r="J2868" s="956"/>
      <c r="K2868" s="956"/>
      <c r="M2868" s="11" t="s">
        <v>436</v>
      </c>
      <c r="N2868" s="11">
        <f>P31</f>
        <v>2.6</v>
      </c>
      <c r="O2868" s="11" t="str">
        <f>O31</f>
        <v>g</v>
      </c>
      <c r="P2868" s="11">
        <v>20</v>
      </c>
      <c r="Q2868" s="11">
        <f t="shared" si="980"/>
        <v>52</v>
      </c>
      <c r="R2868" s="11">
        <f>AJ19</f>
        <v>0.37</v>
      </c>
      <c r="S2868" s="11">
        <f t="shared" si="981"/>
        <v>7.4</v>
      </c>
      <c r="T2868" s="11">
        <f t="shared" si="982"/>
        <v>12.6</v>
      </c>
      <c r="U2868" s="11">
        <f t="shared" si="983"/>
        <v>71.240000000000009</v>
      </c>
      <c r="W2868" s="11" t="s">
        <v>436</v>
      </c>
      <c r="X2868" s="307">
        <f>P31</f>
        <v>2.6</v>
      </c>
      <c r="Y2868" s="11" t="str">
        <f>O31</f>
        <v>g</v>
      </c>
      <c r="Z2868" s="11">
        <v>20</v>
      </c>
      <c r="AA2868" s="11">
        <f t="shared" si="984"/>
        <v>52</v>
      </c>
      <c r="AB2868" s="11">
        <f>AJ19</f>
        <v>0.37</v>
      </c>
      <c r="AC2868" s="11">
        <f t="shared" si="985"/>
        <v>7.4</v>
      </c>
      <c r="AD2868" s="11">
        <f t="shared" si="986"/>
        <v>12.6</v>
      </c>
      <c r="AE2868" s="11">
        <f t="shared" si="987"/>
        <v>71.240000000000009</v>
      </c>
    </row>
    <row r="2869" spans="4:31" s="29" customFormat="1" x14ac:dyDescent="0.25">
      <c r="D2869" s="955"/>
      <c r="E2869" s="955"/>
      <c r="F2869" s="955"/>
      <c r="G2869" s="956"/>
      <c r="H2869" s="956"/>
      <c r="I2869" s="956"/>
      <c r="J2869" s="956"/>
      <c r="K2869" s="956"/>
      <c r="M2869" s="11" t="s">
        <v>924</v>
      </c>
      <c r="N2869" s="11">
        <f>Y26</f>
        <v>30</v>
      </c>
      <c r="O2869" s="11" t="str">
        <f>X26</f>
        <v>g</v>
      </c>
      <c r="P2869" s="11">
        <v>5</v>
      </c>
      <c r="Q2869" s="11">
        <f t="shared" si="980"/>
        <v>150</v>
      </c>
      <c r="R2869" s="11">
        <v>0</v>
      </c>
      <c r="S2869" s="11">
        <f t="shared" si="981"/>
        <v>0</v>
      </c>
      <c r="T2869" s="11">
        <f t="shared" si="982"/>
        <v>5</v>
      </c>
      <c r="U2869" s="11">
        <f t="shared" si="983"/>
        <v>150</v>
      </c>
      <c r="W2869" s="11" t="s">
        <v>924</v>
      </c>
      <c r="X2869" s="307">
        <f>Y26</f>
        <v>30</v>
      </c>
      <c r="Y2869" s="11" t="str">
        <f>X26</f>
        <v>g</v>
      </c>
      <c r="Z2869" s="11">
        <v>5</v>
      </c>
      <c r="AA2869" s="11">
        <f t="shared" si="984"/>
        <v>150</v>
      </c>
      <c r="AB2869" s="11">
        <v>0</v>
      </c>
      <c r="AC2869" s="11">
        <f t="shared" si="985"/>
        <v>0</v>
      </c>
      <c r="AD2869" s="11">
        <f t="shared" si="986"/>
        <v>5</v>
      </c>
      <c r="AE2869" s="11">
        <f t="shared" si="987"/>
        <v>150</v>
      </c>
    </row>
    <row r="2870" spans="4:31" s="29" customFormat="1" x14ac:dyDescent="0.25">
      <c r="D2870" s="955"/>
      <c r="E2870" s="955"/>
      <c r="F2870" s="955"/>
      <c r="G2870" s="956"/>
      <c r="H2870" s="956"/>
      <c r="I2870" s="956"/>
      <c r="J2870" s="956"/>
      <c r="K2870" s="956"/>
      <c r="M2870" s="11" t="s">
        <v>443</v>
      </c>
      <c r="N2870" s="11">
        <f>Y7</f>
        <v>3.6</v>
      </c>
      <c r="O2870" s="11" t="str">
        <f>X7</f>
        <v>g</v>
      </c>
      <c r="P2870" s="11">
        <v>4</v>
      </c>
      <c r="Q2870" s="11">
        <f t="shared" si="980"/>
        <v>14.4</v>
      </c>
      <c r="R2870" s="11">
        <v>0</v>
      </c>
      <c r="S2870" s="11">
        <f t="shared" si="981"/>
        <v>0</v>
      </c>
      <c r="T2870" s="11">
        <f t="shared" si="982"/>
        <v>4</v>
      </c>
      <c r="U2870" s="11">
        <f t="shared" si="983"/>
        <v>14.4</v>
      </c>
      <c r="W2870" s="11" t="s">
        <v>1882</v>
      </c>
      <c r="X2870" s="307">
        <f>AE34</f>
        <v>235</v>
      </c>
      <c r="Y2870" s="11" t="str">
        <f>AD34</f>
        <v>g</v>
      </c>
      <c r="Z2870" s="11">
        <v>4</v>
      </c>
      <c r="AA2870" s="11">
        <f t="shared" si="984"/>
        <v>940</v>
      </c>
      <c r="AB2870" s="11">
        <v>0</v>
      </c>
      <c r="AC2870" s="11">
        <f t="shared" si="985"/>
        <v>0</v>
      </c>
      <c r="AD2870" s="11">
        <f t="shared" si="986"/>
        <v>4</v>
      </c>
      <c r="AE2870" s="11">
        <f t="shared" si="987"/>
        <v>940</v>
      </c>
    </row>
    <row r="2871" spans="4:31" s="29" customFormat="1" x14ac:dyDescent="0.25">
      <c r="D2871" s="955" t="s">
        <v>4</v>
      </c>
      <c r="E2871" s="955"/>
      <c r="F2871" s="955"/>
      <c r="G2871" s="956" t="s">
        <v>825</v>
      </c>
      <c r="H2871" s="956"/>
      <c r="I2871" s="956"/>
      <c r="J2871" s="956"/>
      <c r="K2871" s="956"/>
      <c r="M2871" s="11"/>
      <c r="N2871" s="11"/>
      <c r="O2871" s="11"/>
      <c r="P2871" s="11"/>
      <c r="Q2871" s="11"/>
      <c r="R2871" s="11"/>
      <c r="S2871" s="11"/>
      <c r="T2871" s="11"/>
      <c r="U2871" s="11"/>
      <c r="W2871" s="11"/>
      <c r="X2871" s="11"/>
      <c r="Y2871" s="11"/>
      <c r="Z2871" s="11"/>
      <c r="AA2871" s="11"/>
      <c r="AB2871" s="11"/>
      <c r="AC2871" s="11"/>
      <c r="AD2871" s="11"/>
      <c r="AE2871" s="11"/>
    </row>
    <row r="2872" spans="4:31" s="29" customFormat="1" x14ac:dyDescent="0.25">
      <c r="D2872" s="955"/>
      <c r="E2872" s="955"/>
      <c r="F2872" s="955"/>
      <c r="G2872" s="956"/>
      <c r="H2872" s="956"/>
      <c r="I2872" s="956"/>
      <c r="J2872" s="956"/>
      <c r="K2872" s="956"/>
      <c r="M2872" s="11"/>
      <c r="N2872" s="11"/>
      <c r="O2872" s="11"/>
      <c r="P2872" s="11"/>
      <c r="Q2872" s="11"/>
      <c r="R2872" s="11"/>
      <c r="S2872" s="11"/>
      <c r="T2872" s="11"/>
      <c r="U2872" s="11"/>
      <c r="W2872" s="11"/>
      <c r="X2872" s="11"/>
      <c r="Y2872" s="11"/>
      <c r="Z2872" s="11"/>
      <c r="AA2872" s="11"/>
      <c r="AB2872" s="11"/>
      <c r="AC2872" s="11"/>
      <c r="AD2872" s="11"/>
      <c r="AE2872" s="11"/>
    </row>
    <row r="2873" spans="4:31" s="29" customFormat="1" x14ac:dyDescent="0.25">
      <c r="D2873" s="955"/>
      <c r="E2873" s="955"/>
      <c r="F2873" s="955"/>
      <c r="G2873" s="956"/>
      <c r="H2873" s="956"/>
      <c r="I2873" s="956"/>
      <c r="J2873" s="956"/>
      <c r="K2873" s="956"/>
      <c r="M2873" s="11"/>
      <c r="N2873" s="11"/>
      <c r="O2873" s="11"/>
      <c r="P2873" s="11"/>
      <c r="Q2873" s="11"/>
      <c r="R2873" s="11"/>
      <c r="S2873" s="11"/>
      <c r="T2873" s="11"/>
      <c r="U2873" s="11"/>
      <c r="W2873" s="11"/>
      <c r="X2873" s="11"/>
      <c r="Y2873" s="11"/>
      <c r="Z2873" s="11"/>
      <c r="AA2873" s="11"/>
      <c r="AB2873" s="11"/>
      <c r="AC2873" s="11"/>
      <c r="AD2873" s="11"/>
      <c r="AE2873" s="11"/>
    </row>
    <row r="2874" spans="4:31" s="29" customFormat="1" x14ac:dyDescent="0.25">
      <c r="D2874" s="955" t="s">
        <v>5</v>
      </c>
      <c r="E2874" s="955"/>
      <c r="F2874" s="955"/>
      <c r="G2874" s="956" t="s">
        <v>863</v>
      </c>
      <c r="H2874" s="956"/>
      <c r="I2874" s="956"/>
      <c r="J2874" s="956"/>
      <c r="K2874" s="956"/>
      <c r="M2874" s="11" t="s">
        <v>337</v>
      </c>
      <c r="N2874" s="11">
        <f>SUM(N2866:N2873)</f>
        <v>41.1</v>
      </c>
      <c r="O2874" s="11"/>
      <c r="P2874" s="11">
        <f>SUM(P2866:P2873)</f>
        <v>69</v>
      </c>
      <c r="Q2874" s="11">
        <f>SUM(Q2866:Q2873)</f>
        <v>314.39999999999998</v>
      </c>
      <c r="R2874" s="11"/>
      <c r="S2874" s="11"/>
      <c r="T2874" s="11"/>
      <c r="U2874" s="11">
        <f>SUM(U2866:U2873)</f>
        <v>368.94</v>
      </c>
      <c r="W2874" s="11" t="s">
        <v>337</v>
      </c>
      <c r="X2874" s="11">
        <f>SUM(X2866:X2873)</f>
        <v>272.5</v>
      </c>
      <c r="Y2874" s="11"/>
      <c r="Z2874" s="11">
        <f>SUM(Z2866:Z2873)</f>
        <v>69</v>
      </c>
      <c r="AA2874" s="11">
        <f>SUM(AA2866:AA2873)</f>
        <v>1240</v>
      </c>
      <c r="AB2874" s="11"/>
      <c r="AC2874" s="11"/>
      <c r="AD2874" s="11"/>
      <c r="AE2874" s="11">
        <f>SUM(AE2866:AE2873)</f>
        <v>1294.54</v>
      </c>
    </row>
    <row r="2875" spans="4:31" s="29" customFormat="1" x14ac:dyDescent="0.25">
      <c r="D2875" s="955"/>
      <c r="E2875" s="955"/>
      <c r="F2875" s="955"/>
      <c r="G2875" s="956"/>
      <c r="H2875" s="956"/>
      <c r="I2875" s="956"/>
      <c r="J2875" s="956"/>
      <c r="K2875" s="956"/>
    </row>
    <row r="2876" spans="4:31" s="29" customFormat="1" x14ac:dyDescent="0.25">
      <c r="D2876" s="955"/>
      <c r="E2876" s="955"/>
      <c r="F2876" s="955"/>
      <c r="G2876" s="956"/>
      <c r="H2876" s="956"/>
      <c r="I2876" s="956"/>
      <c r="J2876" s="956"/>
      <c r="K2876" s="956"/>
      <c r="Q2876" s="11" t="s">
        <v>1681</v>
      </c>
      <c r="R2876" s="11">
        <f>U2874</f>
        <v>368.94</v>
      </c>
      <c r="S2876" s="608" t="s">
        <v>2142</v>
      </c>
      <c r="T2876" s="608">
        <f>(R2876*100)/R2883</f>
        <v>29.776609650409966</v>
      </c>
      <c r="AA2876" s="11" t="s">
        <v>1681</v>
      </c>
      <c r="AB2876" s="11">
        <f>AE2874</f>
        <v>1294.54</v>
      </c>
      <c r="AC2876" s="608" t="s">
        <v>2142</v>
      </c>
      <c r="AD2876" s="608">
        <f>(AB2876*100)/AB2883</f>
        <v>45.607076520057944</v>
      </c>
    </row>
    <row r="2877" spans="4:31" s="29" customFormat="1" x14ac:dyDescent="0.25">
      <c r="D2877" s="955" t="s">
        <v>6</v>
      </c>
      <c r="E2877" s="955"/>
      <c r="F2877" s="955"/>
      <c r="G2877" s="956" t="s">
        <v>9</v>
      </c>
      <c r="H2877" s="956"/>
      <c r="I2877" s="956"/>
      <c r="J2877" s="956"/>
      <c r="K2877" s="956"/>
      <c r="Q2877" s="11" t="s">
        <v>2326</v>
      </c>
      <c r="R2877" s="11">
        <f>$AM$26</f>
        <v>131.82146077125219</v>
      </c>
      <c r="AA2877" s="11" t="s">
        <v>2326</v>
      </c>
      <c r="AB2877" s="11">
        <f>$AM$26</f>
        <v>131.82146077125219</v>
      </c>
    </row>
    <row r="2878" spans="4:31" s="29" customFormat="1" x14ac:dyDescent="0.25">
      <c r="D2878" s="955"/>
      <c r="E2878" s="955"/>
      <c r="F2878" s="955"/>
      <c r="G2878" s="956"/>
      <c r="H2878" s="956"/>
      <c r="I2878" s="956"/>
      <c r="J2878" s="956"/>
      <c r="K2878" s="956"/>
      <c r="Q2878" s="11" t="s">
        <v>2325</v>
      </c>
      <c r="R2878" s="11">
        <f>$AM$27</f>
        <v>75.599999999999994</v>
      </c>
      <c r="AA2878" s="11" t="s">
        <v>2325</v>
      </c>
      <c r="AB2878" s="11">
        <f>$AM$27</f>
        <v>75.599999999999994</v>
      </c>
    </row>
    <row r="2879" spans="4:31" s="29" customFormat="1" x14ac:dyDescent="0.25">
      <c r="D2879" s="955"/>
      <c r="E2879" s="955"/>
      <c r="F2879" s="955"/>
      <c r="G2879" s="956"/>
      <c r="H2879" s="956"/>
      <c r="I2879" s="956"/>
      <c r="J2879" s="956"/>
      <c r="K2879" s="956"/>
      <c r="Q2879" s="11" t="s">
        <v>1684</v>
      </c>
      <c r="R2879" s="11">
        <f>$AM$29</f>
        <v>140.66759979375703</v>
      </c>
      <c r="AA2879" s="11" t="s">
        <v>1684</v>
      </c>
      <c r="AB2879" s="11">
        <f>$AM$29</f>
        <v>140.66759979375703</v>
      </c>
    </row>
    <row r="2880" spans="4:31" s="29" customFormat="1" x14ac:dyDescent="0.25">
      <c r="D2880" s="955" t="s">
        <v>7</v>
      </c>
      <c r="E2880" s="955"/>
      <c r="F2880" s="955"/>
      <c r="G2880" s="956" t="s">
        <v>864</v>
      </c>
      <c r="H2880" s="956"/>
      <c r="I2880" s="956"/>
      <c r="J2880" s="956"/>
      <c r="K2880" s="956"/>
      <c r="Q2880" s="11" t="s">
        <v>1685</v>
      </c>
      <c r="R2880" s="11">
        <v>0.6</v>
      </c>
      <c r="AA2880" s="11" t="s">
        <v>1685</v>
      </c>
      <c r="AB2880" s="11">
        <v>0.6</v>
      </c>
    </row>
    <row r="2881" spans="4:31" s="29" customFormat="1" x14ac:dyDescent="0.25">
      <c r="D2881" s="955"/>
      <c r="E2881" s="955"/>
      <c r="F2881" s="955"/>
      <c r="G2881" s="956"/>
      <c r="H2881" s="956"/>
      <c r="I2881" s="956"/>
      <c r="J2881" s="956"/>
      <c r="K2881" s="956"/>
      <c r="Q2881" s="11" t="s">
        <v>1708</v>
      </c>
      <c r="R2881" s="11">
        <f>(SUM(R2876:R2879)*R2880)+SUM(R2876:R2879)</f>
        <v>1147.2464969040147</v>
      </c>
      <c r="AA2881" s="11" t="s">
        <v>1708</v>
      </c>
      <c r="AB2881" s="11">
        <f>(SUM(AB2876:AB2879)*AB2880)+SUM(AB2876:AB2879)</f>
        <v>2628.2064969040143</v>
      </c>
    </row>
    <row r="2882" spans="4:31" s="29" customFormat="1" x14ac:dyDescent="0.25">
      <c r="D2882" s="955"/>
      <c r="E2882" s="955"/>
      <c r="F2882" s="955"/>
      <c r="G2882" s="956"/>
      <c r="H2882" s="956"/>
      <c r="I2882" s="956"/>
      <c r="J2882" s="956"/>
      <c r="K2882" s="956"/>
      <c r="Q2882" s="11" t="s">
        <v>2130</v>
      </c>
      <c r="R2882" s="11">
        <f>R2881*0.08</f>
        <v>91.779719752321185</v>
      </c>
      <c r="AA2882" s="11" t="s">
        <v>2130</v>
      </c>
      <c r="AB2882" s="11">
        <f>AB2881*0.08</f>
        <v>210.25651975232114</v>
      </c>
    </row>
    <row r="2883" spans="4:31" s="29" customFormat="1" x14ac:dyDescent="0.25">
      <c r="Q2883" s="11" t="s">
        <v>1686</v>
      </c>
      <c r="R2883" s="11">
        <f>SUM(R2881+R2882)</f>
        <v>1239.0262166563359</v>
      </c>
      <c r="AA2883" s="11" t="s">
        <v>1686</v>
      </c>
      <c r="AB2883" s="11">
        <f>SUM(AB2881+AB2882)</f>
        <v>2838.4630166563356</v>
      </c>
    </row>
    <row r="2884" spans="4:31" s="29" customFormat="1" x14ac:dyDescent="0.25"/>
    <row r="2885" spans="4:31" s="29" customFormat="1" x14ac:dyDescent="0.25">
      <c r="D2885" s="953" t="s">
        <v>8</v>
      </c>
      <c r="E2885" s="953"/>
      <c r="F2885" s="953"/>
      <c r="G2885" s="953"/>
      <c r="H2885" s="953"/>
      <c r="I2885" s="953"/>
      <c r="J2885" s="953"/>
      <c r="K2885" s="953"/>
    </row>
    <row r="2886" spans="4:31" s="29" customFormat="1" x14ac:dyDescent="0.25">
      <c r="D2886" s="954" t="s">
        <v>0</v>
      </c>
      <c r="E2886" s="954"/>
      <c r="F2886" s="954"/>
      <c r="G2886" s="954" t="s">
        <v>1</v>
      </c>
      <c r="H2886" s="954"/>
      <c r="I2886" s="954"/>
      <c r="J2886" s="954"/>
      <c r="K2886" s="954"/>
    </row>
    <row r="2887" spans="4:31" s="29" customFormat="1" ht="15.75" customHeight="1" x14ac:dyDescent="0.25">
      <c r="D2887" s="955" t="s">
        <v>2</v>
      </c>
      <c r="E2887" s="955"/>
      <c r="F2887" s="955"/>
      <c r="G2887" s="956" t="s">
        <v>866</v>
      </c>
      <c r="H2887" s="956"/>
      <c r="I2887" s="956"/>
      <c r="J2887" s="956"/>
      <c r="K2887" s="956"/>
    </row>
    <row r="2888" spans="4:31" s="29" customFormat="1" x14ac:dyDescent="0.25">
      <c r="D2888" s="955"/>
      <c r="E2888" s="955"/>
      <c r="F2888" s="955"/>
      <c r="G2888" s="956"/>
      <c r="H2888" s="956"/>
      <c r="I2888" s="956"/>
      <c r="J2888" s="956"/>
      <c r="K2888" s="956"/>
      <c r="M2888" s="10" t="s">
        <v>336</v>
      </c>
      <c r="N2888" s="10" t="s">
        <v>174</v>
      </c>
      <c r="O2888" s="10" t="s">
        <v>248</v>
      </c>
      <c r="P2888" s="10" t="s">
        <v>176</v>
      </c>
      <c r="Q2888" s="10" t="s">
        <v>337</v>
      </c>
      <c r="R2888" s="10" t="s">
        <v>1641</v>
      </c>
      <c r="S2888" s="10" t="s">
        <v>1642</v>
      </c>
      <c r="T2888" s="10" t="s">
        <v>1643</v>
      </c>
      <c r="U2888" s="10" t="s">
        <v>1644</v>
      </c>
      <c r="W2888" s="10" t="s">
        <v>336</v>
      </c>
      <c r="X2888" s="10" t="s">
        <v>174</v>
      </c>
      <c r="Y2888" s="10" t="s">
        <v>248</v>
      </c>
      <c r="Z2888" s="10" t="s">
        <v>176</v>
      </c>
      <c r="AA2888" s="10" t="s">
        <v>337</v>
      </c>
      <c r="AB2888" s="10" t="s">
        <v>1641</v>
      </c>
      <c r="AC2888" s="10" t="s">
        <v>1642</v>
      </c>
      <c r="AD2888" s="10" t="s">
        <v>1643</v>
      </c>
      <c r="AE2888" s="10" t="s">
        <v>1644</v>
      </c>
    </row>
    <row r="2889" spans="4:31" s="29" customFormat="1" x14ac:dyDescent="0.25">
      <c r="D2889" s="955"/>
      <c r="E2889" s="955"/>
      <c r="F2889" s="955"/>
      <c r="G2889" s="956"/>
      <c r="H2889" s="956"/>
      <c r="I2889" s="956"/>
      <c r="J2889" s="956"/>
      <c r="K2889" s="956"/>
      <c r="M2889" s="11" t="s">
        <v>745</v>
      </c>
      <c r="N2889" s="11">
        <f>M10</f>
        <v>4.5</v>
      </c>
      <c r="O2889" s="11" t="str">
        <f>L10</f>
        <v>g</v>
      </c>
      <c r="P2889" s="11">
        <v>20</v>
      </c>
      <c r="Q2889" s="11">
        <f t="shared" ref="Q2889:Q2894" si="988">N2889*P2889</f>
        <v>90</v>
      </c>
      <c r="R2889" s="11">
        <v>0</v>
      </c>
      <c r="S2889" s="11">
        <f>P2889*R2889</f>
        <v>0</v>
      </c>
      <c r="T2889" s="11">
        <f>P2889-S2889</f>
        <v>20</v>
      </c>
      <c r="U2889" s="11">
        <f>Q2889+((S2889*Q2889)/P2889)</f>
        <v>90</v>
      </c>
      <c r="W2889" s="11" t="s">
        <v>745</v>
      </c>
      <c r="X2889" s="307">
        <f>M10</f>
        <v>4.5</v>
      </c>
      <c r="Y2889" s="11" t="str">
        <f>L10</f>
        <v>g</v>
      </c>
      <c r="Z2889" s="11">
        <v>20</v>
      </c>
      <c r="AA2889" s="11">
        <f t="shared" ref="AA2889:AA2894" si="989">X2889*Z2889</f>
        <v>90</v>
      </c>
      <c r="AB2889" s="11">
        <v>0</v>
      </c>
      <c r="AC2889" s="11">
        <f>Z2889*AB2889</f>
        <v>0</v>
      </c>
      <c r="AD2889" s="11">
        <f>Z2889-AC2889</f>
        <v>20</v>
      </c>
      <c r="AE2889" s="11">
        <f>AA2889+((AC2889*AA2889)/Z2889)</f>
        <v>90</v>
      </c>
    </row>
    <row r="2890" spans="4:31" s="29" customFormat="1" x14ac:dyDescent="0.25">
      <c r="D2890" s="954" t="s">
        <v>0</v>
      </c>
      <c r="E2890" s="954"/>
      <c r="F2890" s="954"/>
      <c r="G2890" s="954" t="s">
        <v>1</v>
      </c>
      <c r="H2890" s="954"/>
      <c r="I2890" s="954"/>
      <c r="J2890" s="954"/>
      <c r="K2890" s="954"/>
      <c r="M2890" s="11" t="s">
        <v>925</v>
      </c>
      <c r="N2890" s="11">
        <f>AE20</f>
        <v>276.5</v>
      </c>
      <c r="O2890" s="11" t="str">
        <f>AD20</f>
        <v>g</v>
      </c>
      <c r="P2890" s="11">
        <v>5</v>
      </c>
      <c r="Q2890" s="11">
        <f t="shared" si="988"/>
        <v>1382.5</v>
      </c>
      <c r="R2890" s="11">
        <v>0</v>
      </c>
      <c r="S2890" s="11">
        <f t="shared" ref="S2890:S2894" si="990">P2890*R2890</f>
        <v>0</v>
      </c>
      <c r="T2890" s="11">
        <f t="shared" ref="T2890:T2894" si="991">P2890-S2890</f>
        <v>5</v>
      </c>
      <c r="U2890" s="11">
        <f t="shared" ref="U2890:U2894" si="992">Q2890+((S2890*Q2890)/P2890)</f>
        <v>1382.5</v>
      </c>
      <c r="W2890" s="11" t="s">
        <v>925</v>
      </c>
      <c r="X2890" s="307">
        <f>AE20</f>
        <v>276.5</v>
      </c>
      <c r="Y2890" s="11" t="str">
        <f>AD20</f>
        <v>g</v>
      </c>
      <c r="Z2890" s="11">
        <v>5</v>
      </c>
      <c r="AA2890" s="11">
        <f t="shared" si="989"/>
        <v>1382.5</v>
      </c>
      <c r="AB2890" s="11">
        <v>0</v>
      </c>
      <c r="AC2890" s="11">
        <f t="shared" ref="AC2890:AC2894" si="993">Z2890*AB2890</f>
        <v>0</v>
      </c>
      <c r="AD2890" s="11">
        <f t="shared" ref="AD2890:AD2894" si="994">Z2890-AC2890</f>
        <v>5</v>
      </c>
      <c r="AE2890" s="11">
        <f t="shared" ref="AE2890:AE2894" si="995">AA2890+((AC2890*AA2890)/Z2890)</f>
        <v>1382.5</v>
      </c>
    </row>
    <row r="2891" spans="4:31" s="29" customFormat="1" x14ac:dyDescent="0.25">
      <c r="D2891" s="955" t="s">
        <v>3</v>
      </c>
      <c r="E2891" s="955"/>
      <c r="F2891" s="955"/>
      <c r="G2891" s="957" t="s">
        <v>865</v>
      </c>
      <c r="H2891" s="956"/>
      <c r="I2891" s="956"/>
      <c r="J2891" s="956"/>
      <c r="K2891" s="956"/>
      <c r="M2891" s="11" t="s">
        <v>741</v>
      </c>
      <c r="N2891" s="11">
        <f>M7</f>
        <v>1.1419999999999999</v>
      </c>
      <c r="O2891" s="11" t="str">
        <f>L7</f>
        <v>g</v>
      </c>
      <c r="P2891" s="11">
        <v>20</v>
      </c>
      <c r="Q2891" s="11">
        <f t="shared" si="988"/>
        <v>22.839999999999996</v>
      </c>
      <c r="R2891" s="11">
        <f>AL8</f>
        <v>0.36</v>
      </c>
      <c r="S2891" s="11">
        <f t="shared" si="990"/>
        <v>7.1999999999999993</v>
      </c>
      <c r="T2891" s="11">
        <f t="shared" si="991"/>
        <v>12.8</v>
      </c>
      <c r="U2891" s="11">
        <f t="shared" si="992"/>
        <v>31.062399999999993</v>
      </c>
      <c r="W2891" s="11" t="s">
        <v>741</v>
      </c>
      <c r="X2891" s="307">
        <f>M7</f>
        <v>1.1419999999999999</v>
      </c>
      <c r="Y2891" s="11" t="str">
        <f>L7</f>
        <v>g</v>
      </c>
      <c r="Z2891" s="11">
        <v>20</v>
      </c>
      <c r="AA2891" s="11">
        <f t="shared" si="989"/>
        <v>22.839999999999996</v>
      </c>
      <c r="AB2891" s="11">
        <f>AL8</f>
        <v>0.36</v>
      </c>
      <c r="AC2891" s="11">
        <f t="shared" si="993"/>
        <v>7.1999999999999993</v>
      </c>
      <c r="AD2891" s="11">
        <f t="shared" si="994"/>
        <v>12.8</v>
      </c>
      <c r="AE2891" s="11">
        <f t="shared" si="995"/>
        <v>31.062399999999993</v>
      </c>
    </row>
    <row r="2892" spans="4:31" s="29" customFormat="1" x14ac:dyDescent="0.25">
      <c r="D2892" s="955"/>
      <c r="E2892" s="955"/>
      <c r="F2892" s="955"/>
      <c r="G2892" s="956"/>
      <c r="H2892" s="956"/>
      <c r="I2892" s="956"/>
      <c r="J2892" s="956"/>
      <c r="K2892" s="956"/>
      <c r="M2892" s="11" t="s">
        <v>436</v>
      </c>
      <c r="N2892" s="11">
        <f>P31</f>
        <v>2.6</v>
      </c>
      <c r="O2892" s="11" t="str">
        <f>O31</f>
        <v>g</v>
      </c>
      <c r="P2892" s="11">
        <v>20</v>
      </c>
      <c r="Q2892" s="11">
        <f t="shared" si="988"/>
        <v>52</v>
      </c>
      <c r="R2892" s="11">
        <f>AJ19</f>
        <v>0.37</v>
      </c>
      <c r="S2892" s="11">
        <f t="shared" si="990"/>
        <v>7.4</v>
      </c>
      <c r="T2892" s="11">
        <f t="shared" si="991"/>
        <v>12.6</v>
      </c>
      <c r="U2892" s="11">
        <f t="shared" si="992"/>
        <v>71.240000000000009</v>
      </c>
      <c r="W2892" s="11" t="s">
        <v>436</v>
      </c>
      <c r="X2892" s="307">
        <f>P31</f>
        <v>2.6</v>
      </c>
      <c r="Y2892" s="11" t="str">
        <f>O31</f>
        <v>g</v>
      </c>
      <c r="Z2892" s="11">
        <v>20</v>
      </c>
      <c r="AA2892" s="11">
        <f t="shared" si="989"/>
        <v>52</v>
      </c>
      <c r="AB2892" s="11">
        <f>AJ19</f>
        <v>0.37</v>
      </c>
      <c r="AC2892" s="11">
        <f t="shared" si="993"/>
        <v>7.4</v>
      </c>
      <c r="AD2892" s="11">
        <f t="shared" si="994"/>
        <v>12.6</v>
      </c>
      <c r="AE2892" s="11">
        <f t="shared" si="995"/>
        <v>71.240000000000009</v>
      </c>
    </row>
    <row r="2893" spans="4:31" s="29" customFormat="1" x14ac:dyDescent="0.25">
      <c r="D2893" s="955"/>
      <c r="E2893" s="955"/>
      <c r="F2893" s="955"/>
      <c r="G2893" s="956"/>
      <c r="H2893" s="956"/>
      <c r="I2893" s="956"/>
      <c r="J2893" s="956"/>
      <c r="K2893" s="956"/>
      <c r="M2893" s="11" t="s">
        <v>926</v>
      </c>
      <c r="N2893" s="11">
        <f>AE21</f>
        <v>4.22</v>
      </c>
      <c r="O2893" s="11" t="str">
        <f>AD21</f>
        <v>mL</v>
      </c>
      <c r="P2893" s="11">
        <v>20</v>
      </c>
      <c r="Q2893" s="11">
        <f t="shared" si="988"/>
        <v>84.399999999999991</v>
      </c>
      <c r="R2893" s="11">
        <v>0</v>
      </c>
      <c r="S2893" s="11">
        <f t="shared" si="990"/>
        <v>0</v>
      </c>
      <c r="T2893" s="11">
        <f t="shared" si="991"/>
        <v>20</v>
      </c>
      <c r="U2893" s="11">
        <f t="shared" si="992"/>
        <v>84.399999999999991</v>
      </c>
      <c r="W2893" s="11" t="s">
        <v>926</v>
      </c>
      <c r="X2893" s="307">
        <f>AE21</f>
        <v>4.22</v>
      </c>
      <c r="Y2893" s="11" t="str">
        <f>AD21</f>
        <v>mL</v>
      </c>
      <c r="Z2893" s="11">
        <v>20</v>
      </c>
      <c r="AA2893" s="11">
        <f t="shared" si="989"/>
        <v>84.399999999999991</v>
      </c>
      <c r="AB2893" s="11">
        <v>0</v>
      </c>
      <c r="AC2893" s="11">
        <f t="shared" si="993"/>
        <v>0</v>
      </c>
      <c r="AD2893" s="11">
        <f t="shared" si="994"/>
        <v>20</v>
      </c>
      <c r="AE2893" s="11">
        <f t="shared" si="995"/>
        <v>84.399999999999991</v>
      </c>
    </row>
    <row r="2894" spans="4:31" s="29" customFormat="1" x14ac:dyDescent="0.25">
      <c r="D2894" s="955" t="s">
        <v>4</v>
      </c>
      <c r="E2894" s="955"/>
      <c r="F2894" s="955"/>
      <c r="G2894" s="956" t="s">
        <v>825</v>
      </c>
      <c r="H2894" s="956"/>
      <c r="I2894" s="956"/>
      <c r="J2894" s="956"/>
      <c r="K2894" s="956"/>
      <c r="M2894" s="11" t="s">
        <v>443</v>
      </c>
      <c r="N2894" s="11">
        <f>Y7</f>
        <v>3.6</v>
      </c>
      <c r="O2894" s="11" t="str">
        <f>X7</f>
        <v>g</v>
      </c>
      <c r="P2894" s="11">
        <v>4</v>
      </c>
      <c r="Q2894" s="11">
        <f t="shared" si="988"/>
        <v>14.4</v>
      </c>
      <c r="R2894" s="11">
        <v>0</v>
      </c>
      <c r="S2894" s="11">
        <f t="shared" si="990"/>
        <v>0</v>
      </c>
      <c r="T2894" s="11">
        <f t="shared" si="991"/>
        <v>4</v>
      </c>
      <c r="U2894" s="11">
        <f t="shared" si="992"/>
        <v>14.4</v>
      </c>
      <c r="W2894" s="11" t="s">
        <v>1882</v>
      </c>
      <c r="X2894" s="307">
        <f>AE34</f>
        <v>235</v>
      </c>
      <c r="Y2894" s="11" t="str">
        <f>AD34</f>
        <v>g</v>
      </c>
      <c r="Z2894" s="11">
        <v>4</v>
      </c>
      <c r="AA2894" s="11">
        <f t="shared" si="989"/>
        <v>940</v>
      </c>
      <c r="AB2894" s="11">
        <v>0</v>
      </c>
      <c r="AC2894" s="11">
        <f t="shared" si="993"/>
        <v>0</v>
      </c>
      <c r="AD2894" s="11">
        <f t="shared" si="994"/>
        <v>4</v>
      </c>
      <c r="AE2894" s="11">
        <f t="shared" si="995"/>
        <v>940</v>
      </c>
    </row>
    <row r="2895" spans="4:31" s="29" customFormat="1" x14ac:dyDescent="0.25">
      <c r="D2895" s="955"/>
      <c r="E2895" s="955"/>
      <c r="F2895" s="955"/>
      <c r="G2895" s="956"/>
      <c r="H2895" s="956"/>
      <c r="I2895" s="956"/>
      <c r="J2895" s="956"/>
      <c r="K2895" s="956"/>
      <c r="M2895" s="11"/>
      <c r="N2895" s="11"/>
      <c r="O2895" s="11"/>
      <c r="P2895" s="11"/>
      <c r="Q2895" s="11"/>
      <c r="R2895" s="11"/>
      <c r="S2895" s="11"/>
      <c r="T2895" s="11"/>
      <c r="U2895" s="11"/>
      <c r="W2895" s="11"/>
      <c r="X2895" s="11"/>
      <c r="Y2895" s="11"/>
      <c r="Z2895" s="11"/>
      <c r="AA2895" s="11"/>
      <c r="AB2895" s="11"/>
      <c r="AC2895" s="11"/>
      <c r="AD2895" s="11"/>
      <c r="AE2895" s="11"/>
    </row>
    <row r="2896" spans="4:31" s="29" customFormat="1" x14ac:dyDescent="0.25">
      <c r="D2896" s="955"/>
      <c r="E2896" s="955"/>
      <c r="F2896" s="955"/>
      <c r="G2896" s="956"/>
      <c r="H2896" s="956"/>
      <c r="I2896" s="956"/>
      <c r="J2896" s="956"/>
      <c r="K2896" s="956"/>
      <c r="M2896" s="11"/>
      <c r="N2896" s="11"/>
      <c r="O2896" s="11"/>
      <c r="P2896" s="11"/>
      <c r="Q2896" s="11"/>
      <c r="R2896" s="11"/>
      <c r="S2896" s="11"/>
      <c r="T2896" s="11"/>
      <c r="U2896" s="11"/>
      <c r="W2896" s="11"/>
      <c r="X2896" s="11"/>
      <c r="Y2896" s="11"/>
      <c r="Z2896" s="11"/>
      <c r="AA2896" s="11"/>
      <c r="AB2896" s="11"/>
      <c r="AC2896" s="11"/>
      <c r="AD2896" s="11"/>
      <c r="AE2896" s="11"/>
    </row>
    <row r="2897" spans="4:31" s="29" customFormat="1" x14ac:dyDescent="0.25">
      <c r="D2897" s="955" t="s">
        <v>5</v>
      </c>
      <c r="E2897" s="955"/>
      <c r="F2897" s="955"/>
      <c r="G2897" s="956" t="s">
        <v>867</v>
      </c>
      <c r="H2897" s="956"/>
      <c r="I2897" s="956"/>
      <c r="J2897" s="956"/>
      <c r="K2897" s="956"/>
      <c r="M2897" s="11" t="s">
        <v>337</v>
      </c>
      <c r="N2897" s="11">
        <f>SUM(N2889:N2896)</f>
        <v>292.56200000000007</v>
      </c>
      <c r="O2897" s="11"/>
      <c r="P2897" s="11">
        <f>SUM(P2889:P2896)</f>
        <v>89</v>
      </c>
      <c r="Q2897" s="11">
        <f>SUM(Q2889:Q2896)</f>
        <v>1646.14</v>
      </c>
      <c r="R2897" s="11"/>
      <c r="S2897" s="11"/>
      <c r="T2897" s="11"/>
      <c r="U2897" s="11">
        <f>SUM(U2889:U2896)</f>
        <v>1673.6024000000002</v>
      </c>
      <c r="W2897" s="11" t="s">
        <v>337</v>
      </c>
      <c r="X2897" s="11">
        <f>SUM(X2889:X2896)</f>
        <v>523.96199999999999</v>
      </c>
      <c r="Y2897" s="11"/>
      <c r="Z2897" s="11">
        <f>SUM(Z2889:Z2896)</f>
        <v>89</v>
      </c>
      <c r="AA2897" s="11">
        <f>SUM(AA2889:AA2896)</f>
        <v>2571.7399999999998</v>
      </c>
      <c r="AB2897" s="11"/>
      <c r="AC2897" s="11"/>
      <c r="AD2897" s="11"/>
      <c r="AE2897" s="11">
        <f>SUM(AE2889:AE2896)</f>
        <v>2599.2024000000001</v>
      </c>
    </row>
    <row r="2898" spans="4:31" s="29" customFormat="1" x14ac:dyDescent="0.25">
      <c r="D2898" s="955"/>
      <c r="E2898" s="955"/>
      <c r="F2898" s="955"/>
      <c r="G2898" s="956"/>
      <c r="H2898" s="956"/>
      <c r="I2898" s="956"/>
      <c r="J2898" s="956"/>
      <c r="K2898" s="956"/>
    </row>
    <row r="2899" spans="4:31" s="29" customFormat="1" x14ac:dyDescent="0.25">
      <c r="D2899" s="955"/>
      <c r="E2899" s="955"/>
      <c r="F2899" s="955"/>
      <c r="G2899" s="956"/>
      <c r="H2899" s="956"/>
      <c r="I2899" s="956"/>
      <c r="J2899" s="956"/>
      <c r="K2899" s="956"/>
      <c r="Q2899" s="11" t="s">
        <v>1681</v>
      </c>
      <c r="R2899" s="11">
        <f>U2897</f>
        <v>1673.6024000000002</v>
      </c>
      <c r="S2899" s="608" t="s">
        <v>2142</v>
      </c>
      <c r="T2899" s="608">
        <f>(R2899*100)/R2906</f>
        <v>47.906415311104489</v>
      </c>
      <c r="AA2899" s="11" t="s">
        <v>1681</v>
      </c>
      <c r="AB2899" s="11">
        <f>AE2897</f>
        <v>2599.2024000000001</v>
      </c>
      <c r="AC2899" s="608" t="s">
        <v>2142</v>
      </c>
      <c r="AD2899" s="608">
        <f>(AB2899*100)/AB2906</f>
        <v>51.035605934514528</v>
      </c>
    </row>
    <row r="2900" spans="4:31" s="29" customFormat="1" x14ac:dyDescent="0.25">
      <c r="D2900" s="955" t="s">
        <v>6</v>
      </c>
      <c r="E2900" s="955"/>
      <c r="F2900" s="955"/>
      <c r="G2900" s="956" t="s">
        <v>9</v>
      </c>
      <c r="H2900" s="956"/>
      <c r="I2900" s="956"/>
      <c r="J2900" s="956"/>
      <c r="K2900" s="956"/>
      <c r="Q2900" s="11" t="s">
        <v>2326</v>
      </c>
      <c r="R2900" s="11">
        <f>$AM$26</f>
        <v>131.82146077125219</v>
      </c>
      <c r="AA2900" s="11" t="s">
        <v>2326</v>
      </c>
      <c r="AB2900" s="11">
        <f>$AM$26</f>
        <v>131.82146077125219</v>
      </c>
    </row>
    <row r="2901" spans="4:31" s="29" customFormat="1" x14ac:dyDescent="0.25">
      <c r="D2901" s="955"/>
      <c r="E2901" s="955"/>
      <c r="F2901" s="955"/>
      <c r="G2901" s="956"/>
      <c r="H2901" s="956"/>
      <c r="I2901" s="956"/>
      <c r="J2901" s="956"/>
      <c r="K2901" s="956"/>
      <c r="Q2901" s="11" t="s">
        <v>2325</v>
      </c>
      <c r="R2901" s="11">
        <f>$AM$27</f>
        <v>75.599999999999994</v>
      </c>
      <c r="AA2901" s="11" t="s">
        <v>2325</v>
      </c>
      <c r="AB2901" s="11">
        <f>$AM$27</f>
        <v>75.599999999999994</v>
      </c>
    </row>
    <row r="2902" spans="4:31" s="29" customFormat="1" x14ac:dyDescent="0.25">
      <c r="D2902" s="955"/>
      <c r="E2902" s="955"/>
      <c r="F2902" s="955"/>
      <c r="G2902" s="956"/>
      <c r="H2902" s="956"/>
      <c r="I2902" s="956"/>
      <c r="J2902" s="956"/>
      <c r="K2902" s="956"/>
      <c r="Q2902" s="11" t="s">
        <v>1684</v>
      </c>
      <c r="R2902" s="11">
        <f>$AM$29</f>
        <v>140.66759979375703</v>
      </c>
      <c r="AA2902" s="11" t="s">
        <v>1684</v>
      </c>
      <c r="AB2902" s="11">
        <f>$AM$29</f>
        <v>140.66759979375703</v>
      </c>
    </row>
    <row r="2903" spans="4:31" s="29" customFormat="1" x14ac:dyDescent="0.25">
      <c r="D2903" s="955" t="s">
        <v>7</v>
      </c>
      <c r="E2903" s="955"/>
      <c r="F2903" s="955"/>
      <c r="G2903" s="956" t="s">
        <v>868</v>
      </c>
      <c r="H2903" s="956"/>
      <c r="I2903" s="956"/>
      <c r="J2903" s="956"/>
      <c r="K2903" s="956"/>
      <c r="Q2903" s="11" t="s">
        <v>1685</v>
      </c>
      <c r="R2903" s="11">
        <v>0.6</v>
      </c>
      <c r="AA2903" s="11" t="s">
        <v>1685</v>
      </c>
      <c r="AB2903" s="11">
        <v>0.6</v>
      </c>
    </row>
    <row r="2904" spans="4:31" s="29" customFormat="1" x14ac:dyDescent="0.25">
      <c r="D2904" s="955"/>
      <c r="E2904" s="955"/>
      <c r="F2904" s="955"/>
      <c r="G2904" s="956"/>
      <c r="H2904" s="956"/>
      <c r="I2904" s="956"/>
      <c r="J2904" s="956"/>
      <c r="K2904" s="956"/>
      <c r="Q2904" s="11" t="s">
        <v>1708</v>
      </c>
      <c r="R2904" s="11">
        <f>(SUM(R2899:R2902)*R2903)+SUM(R2899:R2902)</f>
        <v>3234.7063369040147</v>
      </c>
      <c r="AA2904" s="11" t="s">
        <v>1708</v>
      </c>
      <c r="AB2904" s="11">
        <f>(SUM(AB2899:AB2902)*AB2903)+SUM(AB2899:AB2902)</f>
        <v>4715.6663369040143</v>
      </c>
    </row>
    <row r="2905" spans="4:31" s="29" customFormat="1" x14ac:dyDescent="0.25">
      <c r="D2905" s="955"/>
      <c r="E2905" s="955"/>
      <c r="F2905" s="955"/>
      <c r="G2905" s="956"/>
      <c r="H2905" s="956"/>
      <c r="I2905" s="956"/>
      <c r="J2905" s="956"/>
      <c r="K2905" s="956"/>
      <c r="Q2905" s="11" t="s">
        <v>2130</v>
      </c>
      <c r="R2905" s="11">
        <f>R2904*0.08</f>
        <v>258.7765069523212</v>
      </c>
      <c r="AA2905" s="11" t="s">
        <v>2130</v>
      </c>
      <c r="AB2905" s="11">
        <f>AB2904*0.08</f>
        <v>377.25330695232117</v>
      </c>
    </row>
    <row r="2906" spans="4:31" s="29" customFormat="1" x14ac:dyDescent="0.25">
      <c r="Q2906" s="11" t="s">
        <v>1686</v>
      </c>
      <c r="R2906" s="11">
        <f>SUM(R2904+R2905)</f>
        <v>3493.4828438563359</v>
      </c>
      <c r="AA2906" s="11" t="s">
        <v>1686</v>
      </c>
      <c r="AB2906" s="11">
        <f>SUM(AB2904+AB2905)</f>
        <v>5092.9196438563358</v>
      </c>
    </row>
    <row r="2907" spans="4:31" s="29" customFormat="1" x14ac:dyDescent="0.25"/>
    <row r="2908" spans="4:31" s="29" customFormat="1" x14ac:dyDescent="0.25">
      <c r="D2908" s="953" t="s">
        <v>8</v>
      </c>
      <c r="E2908" s="953"/>
      <c r="F2908" s="953"/>
      <c r="G2908" s="953"/>
      <c r="H2908" s="953"/>
      <c r="I2908" s="953"/>
      <c r="J2908" s="953"/>
      <c r="K2908" s="953"/>
    </row>
    <row r="2909" spans="4:31" s="29" customFormat="1" x14ac:dyDescent="0.25">
      <c r="D2909" s="954" t="s">
        <v>0</v>
      </c>
      <c r="E2909" s="954"/>
      <c r="F2909" s="954"/>
      <c r="G2909" s="954" t="s">
        <v>1</v>
      </c>
      <c r="H2909" s="954"/>
      <c r="I2909" s="954"/>
      <c r="J2909" s="954"/>
      <c r="K2909" s="954"/>
    </row>
    <row r="2910" spans="4:31" s="29" customFormat="1" x14ac:dyDescent="0.25">
      <c r="D2910" s="955" t="s">
        <v>2</v>
      </c>
      <c r="E2910" s="955"/>
      <c r="F2910" s="955"/>
      <c r="G2910" s="956" t="s">
        <v>869</v>
      </c>
      <c r="H2910" s="956"/>
      <c r="I2910" s="956"/>
      <c r="J2910" s="956"/>
      <c r="K2910" s="956"/>
    </row>
    <row r="2911" spans="4:31" s="29" customFormat="1" x14ac:dyDescent="0.25">
      <c r="D2911" s="955"/>
      <c r="E2911" s="955"/>
      <c r="F2911" s="955"/>
      <c r="G2911" s="956"/>
      <c r="H2911" s="956"/>
      <c r="I2911" s="956"/>
      <c r="J2911" s="956"/>
      <c r="K2911" s="956"/>
      <c r="M2911" s="10" t="s">
        <v>336</v>
      </c>
      <c r="N2911" s="10" t="s">
        <v>174</v>
      </c>
      <c r="O2911" s="10" t="s">
        <v>248</v>
      </c>
      <c r="P2911" s="10" t="s">
        <v>176</v>
      </c>
      <c r="Q2911" s="10" t="s">
        <v>337</v>
      </c>
      <c r="R2911" s="10" t="s">
        <v>1641</v>
      </c>
      <c r="S2911" s="10" t="s">
        <v>1642</v>
      </c>
      <c r="T2911" s="10" t="s">
        <v>1643</v>
      </c>
      <c r="U2911" s="10" t="s">
        <v>1644</v>
      </c>
      <c r="W2911" s="10" t="s">
        <v>336</v>
      </c>
      <c r="X2911" s="10" t="s">
        <v>174</v>
      </c>
      <c r="Y2911" s="10" t="s">
        <v>248</v>
      </c>
      <c r="Z2911" s="10" t="s">
        <v>176</v>
      </c>
      <c r="AA2911" s="10" t="s">
        <v>337</v>
      </c>
      <c r="AB2911" s="10" t="s">
        <v>1641</v>
      </c>
      <c r="AC2911" s="10" t="s">
        <v>1642</v>
      </c>
      <c r="AD2911" s="10" t="s">
        <v>1643</v>
      </c>
      <c r="AE2911" s="10" t="s">
        <v>1644</v>
      </c>
    </row>
    <row r="2912" spans="4:31" s="29" customFormat="1" x14ac:dyDescent="0.25">
      <c r="D2912" s="955"/>
      <c r="E2912" s="955"/>
      <c r="F2912" s="955"/>
      <c r="G2912" s="956"/>
      <c r="H2912" s="956"/>
      <c r="I2912" s="956"/>
      <c r="J2912" s="956"/>
      <c r="K2912" s="956"/>
      <c r="M2912" s="11" t="s">
        <v>928</v>
      </c>
      <c r="N2912" s="11">
        <f>M25</f>
        <v>16.5</v>
      </c>
      <c r="O2912" s="11" t="str">
        <f>L25</f>
        <v>g</v>
      </c>
      <c r="P2912" s="11">
        <v>20</v>
      </c>
      <c r="Q2912" s="11">
        <f>N2912*P2912</f>
        <v>330</v>
      </c>
      <c r="R2912" s="11">
        <f>AL6</f>
        <v>0.19</v>
      </c>
      <c r="S2912" s="11">
        <f>P2912*R2912</f>
        <v>3.8</v>
      </c>
      <c r="T2912" s="11">
        <f>P2912-S2912</f>
        <v>16.2</v>
      </c>
      <c r="U2912" s="11">
        <f>Q2912+((S2912*Q2912)/P2912)</f>
        <v>392.7</v>
      </c>
      <c r="W2912" s="11" t="s">
        <v>928</v>
      </c>
      <c r="X2912" s="307">
        <f>M25</f>
        <v>16.5</v>
      </c>
      <c r="Y2912" s="11" t="str">
        <f>L25</f>
        <v>g</v>
      </c>
      <c r="Z2912" s="11">
        <v>20</v>
      </c>
      <c r="AA2912" s="11">
        <f>X2912*Z2912</f>
        <v>330</v>
      </c>
      <c r="AB2912" s="11">
        <f>AL6</f>
        <v>0.19</v>
      </c>
      <c r="AC2912" s="11">
        <f>Z2912*AB2912</f>
        <v>3.8</v>
      </c>
      <c r="AD2912" s="11">
        <f>Z2912-AC2912</f>
        <v>16.2</v>
      </c>
      <c r="AE2912" s="11">
        <f>AA2912+((AC2912*AA2912)/Z2912)</f>
        <v>392.7</v>
      </c>
    </row>
    <row r="2913" spans="4:31" s="29" customFormat="1" x14ac:dyDescent="0.25">
      <c r="D2913" s="954" t="s">
        <v>0</v>
      </c>
      <c r="E2913" s="954"/>
      <c r="F2913" s="954"/>
      <c r="G2913" s="954" t="s">
        <v>1</v>
      </c>
      <c r="H2913" s="954"/>
      <c r="I2913" s="954"/>
      <c r="J2913" s="954"/>
      <c r="K2913" s="954"/>
      <c r="M2913" s="11" t="s">
        <v>917</v>
      </c>
      <c r="N2913" s="11">
        <f>M23</f>
        <v>1.8</v>
      </c>
      <c r="O2913" s="11" t="str">
        <f>L23</f>
        <v>g</v>
      </c>
      <c r="P2913" s="11">
        <v>20</v>
      </c>
      <c r="Q2913" s="11">
        <f t="shared" ref="Q2913:Q2915" si="996">N2913*P2913</f>
        <v>36</v>
      </c>
      <c r="R2913" s="11">
        <f>AL11</f>
        <v>0.33</v>
      </c>
      <c r="S2913" s="11">
        <f t="shared" ref="S2913:S2916" si="997">P2913*R2913</f>
        <v>6.6000000000000005</v>
      </c>
      <c r="T2913" s="11">
        <f t="shared" ref="T2913:T2916" si="998">P2913-S2913</f>
        <v>13.399999999999999</v>
      </c>
      <c r="U2913" s="11">
        <f t="shared" ref="U2913:U2916" si="999">Q2913+((S2913*Q2913)/P2913)</f>
        <v>47.88</v>
      </c>
      <c r="W2913" s="11" t="s">
        <v>917</v>
      </c>
      <c r="X2913" s="307">
        <f>M23</f>
        <v>1.8</v>
      </c>
      <c r="Y2913" s="11" t="str">
        <f>L23</f>
        <v>g</v>
      </c>
      <c r="Z2913" s="11">
        <v>20</v>
      </c>
      <c r="AA2913" s="11">
        <f t="shared" ref="AA2913:AA2915" si="1000">X2913*Z2913</f>
        <v>36</v>
      </c>
      <c r="AB2913" s="11">
        <f>AL11</f>
        <v>0.33</v>
      </c>
      <c r="AC2913" s="11">
        <f t="shared" ref="AC2913:AC2916" si="1001">Z2913*AB2913</f>
        <v>6.6000000000000005</v>
      </c>
      <c r="AD2913" s="11">
        <f t="shared" ref="AD2913:AD2916" si="1002">Z2913-AC2913</f>
        <v>13.399999999999999</v>
      </c>
      <c r="AE2913" s="11">
        <f t="shared" ref="AE2913:AE2916" si="1003">AA2913+((AC2913*AA2913)/Z2913)</f>
        <v>47.88</v>
      </c>
    </row>
    <row r="2914" spans="4:31" s="29" customFormat="1" x14ac:dyDescent="0.25">
      <c r="D2914" s="955" t="s">
        <v>3</v>
      </c>
      <c r="E2914" s="955"/>
      <c r="F2914" s="955"/>
      <c r="G2914" s="957" t="s">
        <v>870</v>
      </c>
      <c r="H2914" s="956"/>
      <c r="I2914" s="956"/>
      <c r="J2914" s="956"/>
      <c r="K2914" s="956"/>
      <c r="M2914" s="11" t="s">
        <v>927</v>
      </c>
      <c r="N2914" s="11">
        <f>V19</f>
        <v>11.99</v>
      </c>
      <c r="O2914" s="11" t="str">
        <f>U19</f>
        <v>g</v>
      </c>
      <c r="P2914" s="11">
        <v>20</v>
      </c>
      <c r="Q2914" s="11">
        <f t="shared" si="996"/>
        <v>239.8</v>
      </c>
      <c r="R2914" s="11">
        <v>0</v>
      </c>
      <c r="S2914" s="11">
        <f t="shared" si="997"/>
        <v>0</v>
      </c>
      <c r="T2914" s="11">
        <f t="shared" si="998"/>
        <v>20</v>
      </c>
      <c r="U2914" s="11">
        <f t="shared" si="999"/>
        <v>239.8</v>
      </c>
      <c r="W2914" s="11"/>
      <c r="X2914" s="11"/>
      <c r="Y2914" s="11"/>
      <c r="Z2914" s="11"/>
      <c r="AA2914" s="11"/>
      <c r="AB2914" s="11"/>
      <c r="AC2914" s="11"/>
      <c r="AD2914" s="11"/>
      <c r="AE2914" s="11"/>
    </row>
    <row r="2915" spans="4:31" s="29" customFormat="1" x14ac:dyDescent="0.25">
      <c r="D2915" s="955"/>
      <c r="E2915" s="955"/>
      <c r="F2915" s="955"/>
      <c r="G2915" s="956"/>
      <c r="H2915" s="956"/>
      <c r="I2915" s="956"/>
      <c r="J2915" s="956"/>
      <c r="K2915" s="956"/>
      <c r="M2915" s="11" t="s">
        <v>759</v>
      </c>
      <c r="N2915" s="11">
        <f>V5</f>
        <v>8.99</v>
      </c>
      <c r="O2915" s="11" t="str">
        <f>U5</f>
        <v>mL</v>
      </c>
      <c r="P2915" s="11">
        <v>20</v>
      </c>
      <c r="Q2915" s="11">
        <f t="shared" si="996"/>
        <v>179.8</v>
      </c>
      <c r="R2915" s="11">
        <v>0</v>
      </c>
      <c r="S2915" s="11">
        <f t="shared" si="997"/>
        <v>0</v>
      </c>
      <c r="T2915" s="11">
        <f t="shared" si="998"/>
        <v>20</v>
      </c>
      <c r="U2915" s="11">
        <f t="shared" si="999"/>
        <v>179.8</v>
      </c>
      <c r="W2915" s="11" t="s">
        <v>759</v>
      </c>
      <c r="X2915" s="307">
        <f>V5</f>
        <v>8.99</v>
      </c>
      <c r="Y2915" s="11" t="str">
        <f>U5</f>
        <v>mL</v>
      </c>
      <c r="Z2915" s="11">
        <v>20</v>
      </c>
      <c r="AA2915" s="11">
        <f t="shared" si="1000"/>
        <v>179.8</v>
      </c>
      <c r="AB2915" s="11">
        <v>0</v>
      </c>
      <c r="AC2915" s="11">
        <f t="shared" si="1001"/>
        <v>0</v>
      </c>
      <c r="AD2915" s="11">
        <f t="shared" si="1002"/>
        <v>20</v>
      </c>
      <c r="AE2915" s="11">
        <f t="shared" si="1003"/>
        <v>179.8</v>
      </c>
    </row>
    <row r="2916" spans="4:31" s="29" customFormat="1" x14ac:dyDescent="0.25">
      <c r="D2916" s="955"/>
      <c r="E2916" s="955"/>
      <c r="F2916" s="955"/>
      <c r="G2916" s="956"/>
      <c r="H2916" s="956"/>
      <c r="I2916" s="956"/>
      <c r="J2916" s="956"/>
      <c r="K2916" s="956"/>
      <c r="M2916" s="11" t="s">
        <v>443</v>
      </c>
      <c r="N2916" s="11">
        <f>Y7</f>
        <v>3.6</v>
      </c>
      <c r="O2916" s="11" t="str">
        <f>X7</f>
        <v>g</v>
      </c>
      <c r="P2916" s="11">
        <v>4</v>
      </c>
      <c r="Q2916" s="11">
        <f>N2916*P2916</f>
        <v>14.4</v>
      </c>
      <c r="R2916" s="11">
        <v>0</v>
      </c>
      <c r="S2916" s="11">
        <f t="shared" si="997"/>
        <v>0</v>
      </c>
      <c r="T2916" s="11">
        <f t="shared" si="998"/>
        <v>4</v>
      </c>
      <c r="U2916" s="11">
        <f t="shared" si="999"/>
        <v>14.4</v>
      </c>
      <c r="W2916" s="11" t="s">
        <v>1882</v>
      </c>
      <c r="X2916" s="307">
        <f>AE34</f>
        <v>235</v>
      </c>
      <c r="Y2916" s="11" t="str">
        <f>AD34</f>
        <v>g</v>
      </c>
      <c r="Z2916" s="11">
        <v>4</v>
      </c>
      <c r="AA2916" s="11">
        <f>X2916*Z2916</f>
        <v>940</v>
      </c>
      <c r="AB2916" s="11">
        <v>0</v>
      </c>
      <c r="AC2916" s="11">
        <f t="shared" si="1001"/>
        <v>0</v>
      </c>
      <c r="AD2916" s="11">
        <f t="shared" si="1002"/>
        <v>4</v>
      </c>
      <c r="AE2916" s="11">
        <f t="shared" si="1003"/>
        <v>940</v>
      </c>
    </row>
    <row r="2917" spans="4:31" s="29" customFormat="1" x14ac:dyDescent="0.25">
      <c r="D2917" s="955" t="s">
        <v>4</v>
      </c>
      <c r="E2917" s="955"/>
      <c r="F2917" s="955"/>
      <c r="G2917" s="956" t="s">
        <v>825</v>
      </c>
      <c r="H2917" s="956"/>
      <c r="I2917" s="956"/>
      <c r="J2917" s="956"/>
      <c r="K2917" s="956"/>
      <c r="M2917" s="11"/>
      <c r="N2917" s="11"/>
      <c r="O2917" s="11"/>
      <c r="P2917" s="11"/>
      <c r="Q2917" s="11"/>
      <c r="R2917" s="11"/>
      <c r="S2917" s="11"/>
      <c r="T2917" s="11"/>
      <c r="U2917" s="11"/>
      <c r="W2917" s="11"/>
      <c r="X2917" s="11"/>
      <c r="Y2917" s="11"/>
      <c r="Z2917" s="11"/>
      <c r="AA2917" s="11"/>
      <c r="AB2917" s="11"/>
      <c r="AC2917" s="11"/>
      <c r="AD2917" s="11"/>
      <c r="AE2917" s="11"/>
    </row>
    <row r="2918" spans="4:31" s="29" customFormat="1" x14ac:dyDescent="0.25">
      <c r="D2918" s="955"/>
      <c r="E2918" s="955"/>
      <c r="F2918" s="955"/>
      <c r="G2918" s="956"/>
      <c r="H2918" s="956"/>
      <c r="I2918" s="956"/>
      <c r="J2918" s="956"/>
      <c r="K2918" s="956"/>
      <c r="M2918" s="11"/>
      <c r="N2918" s="11"/>
      <c r="O2918" s="11"/>
      <c r="P2918" s="11"/>
      <c r="Q2918" s="11"/>
      <c r="R2918" s="11"/>
      <c r="S2918" s="11"/>
      <c r="T2918" s="11"/>
      <c r="U2918" s="11"/>
      <c r="W2918" s="11"/>
      <c r="X2918" s="11"/>
      <c r="Y2918" s="11"/>
      <c r="Z2918" s="11"/>
      <c r="AA2918" s="11"/>
      <c r="AB2918" s="11"/>
      <c r="AC2918" s="11"/>
      <c r="AD2918" s="11"/>
      <c r="AE2918" s="11"/>
    </row>
    <row r="2919" spans="4:31" s="29" customFormat="1" x14ac:dyDescent="0.25">
      <c r="D2919" s="955"/>
      <c r="E2919" s="955"/>
      <c r="F2919" s="955"/>
      <c r="G2919" s="956"/>
      <c r="H2919" s="956"/>
      <c r="I2919" s="956"/>
      <c r="J2919" s="956"/>
      <c r="K2919" s="956"/>
      <c r="M2919" s="11"/>
      <c r="N2919" s="11"/>
      <c r="O2919" s="11"/>
      <c r="P2919" s="11"/>
      <c r="Q2919" s="11"/>
      <c r="R2919" s="11"/>
      <c r="S2919" s="11"/>
      <c r="T2919" s="11"/>
      <c r="U2919" s="11"/>
      <c r="W2919" s="11"/>
      <c r="X2919" s="11"/>
      <c r="Y2919" s="11"/>
      <c r="Z2919" s="11"/>
      <c r="AA2919" s="11"/>
      <c r="AB2919" s="11"/>
      <c r="AC2919" s="11"/>
      <c r="AD2919" s="11"/>
      <c r="AE2919" s="11"/>
    </row>
    <row r="2920" spans="4:31" s="29" customFormat="1" x14ac:dyDescent="0.25">
      <c r="D2920" s="955" t="s">
        <v>5</v>
      </c>
      <c r="E2920" s="955"/>
      <c r="F2920" s="955"/>
      <c r="G2920" s="956" t="s">
        <v>929</v>
      </c>
      <c r="H2920" s="956"/>
      <c r="I2920" s="956"/>
      <c r="J2920" s="956"/>
      <c r="K2920" s="956"/>
      <c r="M2920" s="11" t="s">
        <v>337</v>
      </c>
      <c r="N2920" s="11">
        <f>SUM(N2912:N2919)</f>
        <v>42.88</v>
      </c>
      <c r="O2920" s="11"/>
      <c r="P2920" s="11">
        <f>SUM(P2912:P2919)</f>
        <v>84</v>
      </c>
      <c r="Q2920" s="11">
        <f>SUM(Q2912:Q2919)</f>
        <v>799.99999999999989</v>
      </c>
      <c r="R2920" s="11"/>
      <c r="S2920" s="11"/>
      <c r="T2920" s="11"/>
      <c r="U2920" s="11">
        <f>SUM(U2912:U2919)</f>
        <v>874.58</v>
      </c>
      <c r="W2920" s="11" t="s">
        <v>337</v>
      </c>
      <c r="X2920" s="11">
        <f>SUM(X2912:X2919)</f>
        <v>262.29000000000002</v>
      </c>
      <c r="Y2920" s="11"/>
      <c r="Z2920" s="11">
        <f>SUM(Z2912:Z2919)</f>
        <v>64</v>
      </c>
      <c r="AA2920" s="11">
        <f>SUM(AA2912:AA2919)</f>
        <v>1485.8</v>
      </c>
      <c r="AB2920" s="11"/>
      <c r="AC2920" s="11"/>
      <c r="AD2920" s="11"/>
      <c r="AE2920" s="11">
        <f>SUM(AE2912:AE2919)</f>
        <v>1560.38</v>
      </c>
    </row>
    <row r="2921" spans="4:31" s="29" customFormat="1" x14ac:dyDescent="0.25">
      <c r="D2921" s="955"/>
      <c r="E2921" s="955"/>
      <c r="F2921" s="955"/>
      <c r="G2921" s="956"/>
      <c r="H2921" s="956"/>
      <c r="I2921" s="956"/>
      <c r="J2921" s="956"/>
      <c r="K2921" s="956"/>
    </row>
    <row r="2922" spans="4:31" s="29" customFormat="1" x14ac:dyDescent="0.25">
      <c r="D2922" s="955"/>
      <c r="E2922" s="955"/>
      <c r="F2922" s="955"/>
      <c r="G2922" s="956"/>
      <c r="H2922" s="956"/>
      <c r="I2922" s="956"/>
      <c r="J2922" s="956"/>
      <c r="K2922" s="956"/>
      <c r="Q2922" s="11" t="s">
        <v>1681</v>
      </c>
      <c r="R2922" s="11">
        <f>U2920</f>
        <v>874.58</v>
      </c>
      <c r="S2922" s="608" t="s">
        <v>2142</v>
      </c>
      <c r="T2922" s="608">
        <f>(R2922*100)/R2929</f>
        <v>41.39490410850015</v>
      </c>
      <c r="AA2922" s="11" t="s">
        <v>1681</v>
      </c>
      <c r="AB2922" s="11">
        <f>AE2920</f>
        <v>1560.38</v>
      </c>
      <c r="AC2922" s="608" t="s">
        <v>2142</v>
      </c>
      <c r="AD2922" s="608">
        <f>(AB2922*100)/AB2929</f>
        <v>47.3152907659844</v>
      </c>
    </row>
    <row r="2923" spans="4:31" s="29" customFormat="1" x14ac:dyDescent="0.25">
      <c r="D2923" s="955" t="s">
        <v>6</v>
      </c>
      <c r="E2923" s="955"/>
      <c r="F2923" s="955"/>
      <c r="G2923" s="956" t="s">
        <v>9</v>
      </c>
      <c r="H2923" s="956"/>
      <c r="I2923" s="956"/>
      <c r="J2923" s="956"/>
      <c r="K2923" s="956"/>
      <c r="Q2923" s="11" t="s">
        <v>2326</v>
      </c>
      <c r="R2923" s="11">
        <f>$AM$26</f>
        <v>131.82146077125219</v>
      </c>
      <c r="AA2923" s="11" t="s">
        <v>2326</v>
      </c>
      <c r="AB2923" s="11">
        <f>$AM$26</f>
        <v>131.82146077125219</v>
      </c>
    </row>
    <row r="2924" spans="4:31" s="29" customFormat="1" x14ac:dyDescent="0.25">
      <c r="D2924" s="955"/>
      <c r="E2924" s="955"/>
      <c r="F2924" s="955"/>
      <c r="G2924" s="956"/>
      <c r="H2924" s="956"/>
      <c r="I2924" s="956"/>
      <c r="J2924" s="956"/>
      <c r="K2924" s="956"/>
      <c r="Q2924" s="11" t="s">
        <v>2325</v>
      </c>
      <c r="R2924" s="11">
        <f>$AM$27</f>
        <v>75.599999999999994</v>
      </c>
      <c r="AA2924" s="11" t="s">
        <v>2325</v>
      </c>
      <c r="AB2924" s="11">
        <f>$AM$27</f>
        <v>75.599999999999994</v>
      </c>
    </row>
    <row r="2925" spans="4:31" s="29" customFormat="1" x14ac:dyDescent="0.25">
      <c r="D2925" s="955"/>
      <c r="E2925" s="955"/>
      <c r="F2925" s="955"/>
      <c r="G2925" s="956"/>
      <c r="H2925" s="956"/>
      <c r="I2925" s="956"/>
      <c r="J2925" s="956"/>
      <c r="K2925" s="956"/>
      <c r="Q2925" s="11" t="s">
        <v>1684</v>
      </c>
      <c r="R2925" s="11">
        <f>$AM$29</f>
        <v>140.66759979375703</v>
      </c>
      <c r="AA2925" s="11" t="s">
        <v>1684</v>
      </c>
      <c r="AB2925" s="11">
        <f>$AM$29</f>
        <v>140.66759979375703</v>
      </c>
    </row>
    <row r="2926" spans="4:31" s="29" customFormat="1" x14ac:dyDescent="0.25">
      <c r="D2926" s="955" t="s">
        <v>7</v>
      </c>
      <c r="E2926" s="955"/>
      <c r="F2926" s="955"/>
      <c r="G2926" s="956" t="s">
        <v>930</v>
      </c>
      <c r="H2926" s="956"/>
      <c r="I2926" s="956"/>
      <c r="J2926" s="956"/>
      <c r="K2926" s="956"/>
      <c r="Q2926" s="11" t="s">
        <v>1685</v>
      </c>
      <c r="R2926" s="11">
        <v>0.6</v>
      </c>
      <c r="AA2926" s="11" t="s">
        <v>1685</v>
      </c>
      <c r="AB2926" s="11">
        <v>0.6</v>
      </c>
    </row>
    <row r="2927" spans="4:31" s="29" customFormat="1" x14ac:dyDescent="0.25">
      <c r="D2927" s="955"/>
      <c r="E2927" s="955"/>
      <c r="F2927" s="955"/>
      <c r="G2927" s="956"/>
      <c r="H2927" s="956"/>
      <c r="I2927" s="956"/>
      <c r="J2927" s="956"/>
      <c r="K2927" s="956"/>
      <c r="Q2927" s="11" t="s">
        <v>1708</v>
      </c>
      <c r="R2927" s="11">
        <f>(SUM(R2922:R2925)*R2926)+SUM(R2922:R2925)</f>
        <v>1956.2704969040146</v>
      </c>
      <c r="AA2927" s="11" t="s">
        <v>1708</v>
      </c>
      <c r="AB2927" s="11">
        <f>(SUM(AB2922:AB2925)*AB2926)+SUM(AB2922:AB2925)</f>
        <v>3053.5504969040148</v>
      </c>
    </row>
    <row r="2928" spans="4:31" s="29" customFormat="1" x14ac:dyDescent="0.25">
      <c r="D2928" s="955"/>
      <c r="E2928" s="955"/>
      <c r="F2928" s="955"/>
      <c r="G2928" s="956"/>
      <c r="H2928" s="956"/>
      <c r="I2928" s="956"/>
      <c r="J2928" s="956"/>
      <c r="K2928" s="956"/>
      <c r="Q2928" s="11" t="s">
        <v>2130</v>
      </c>
      <c r="R2928" s="11">
        <f>R2927*0.08</f>
        <v>156.50163975232118</v>
      </c>
      <c r="AA2928" s="11" t="s">
        <v>2130</v>
      </c>
      <c r="AB2928" s="11">
        <f>AB2927*0.08</f>
        <v>244.28403975232118</v>
      </c>
    </row>
    <row r="2929" spans="4:31" s="29" customFormat="1" x14ac:dyDescent="0.25">
      <c r="D2929" s="29" t="s">
        <v>871</v>
      </c>
      <c r="Q2929" s="11" t="s">
        <v>1686</v>
      </c>
      <c r="R2929" s="11">
        <f>SUM(R2927+R2928)</f>
        <v>2112.772136656336</v>
      </c>
      <c r="AA2929" s="11" t="s">
        <v>1686</v>
      </c>
      <c r="AB2929" s="11">
        <f>SUM(AB2927+AB2928)</f>
        <v>3297.8345366563362</v>
      </c>
    </row>
    <row r="2930" spans="4:31" s="29" customFormat="1" x14ac:dyDescent="0.25"/>
    <row r="2931" spans="4:31" s="29" customFormat="1" x14ac:dyDescent="0.25">
      <c r="D2931" s="953" t="s">
        <v>8</v>
      </c>
      <c r="E2931" s="953"/>
      <c r="F2931" s="953"/>
      <c r="G2931" s="953"/>
      <c r="H2931" s="953"/>
      <c r="I2931" s="953"/>
      <c r="J2931" s="953"/>
      <c r="K2931" s="953"/>
    </row>
    <row r="2932" spans="4:31" s="29" customFormat="1" x14ac:dyDescent="0.25">
      <c r="D2932" s="954" t="s">
        <v>0</v>
      </c>
      <c r="E2932" s="954"/>
      <c r="F2932" s="954"/>
      <c r="G2932" s="954" t="s">
        <v>1</v>
      </c>
      <c r="H2932" s="954"/>
      <c r="I2932" s="954"/>
      <c r="J2932" s="954"/>
      <c r="K2932" s="954"/>
    </row>
    <row r="2933" spans="4:31" s="29" customFormat="1" x14ac:dyDescent="0.25">
      <c r="D2933" s="955" t="s">
        <v>2</v>
      </c>
      <c r="E2933" s="955"/>
      <c r="F2933" s="955"/>
      <c r="G2933" s="956" t="s">
        <v>873</v>
      </c>
      <c r="H2933" s="956"/>
      <c r="I2933" s="956"/>
      <c r="J2933" s="956"/>
      <c r="K2933" s="956"/>
      <c r="M2933" s="10" t="s">
        <v>336</v>
      </c>
      <c r="N2933" s="10" t="s">
        <v>174</v>
      </c>
      <c r="O2933" s="10" t="s">
        <v>248</v>
      </c>
      <c r="P2933" s="10" t="s">
        <v>176</v>
      </c>
      <c r="Q2933" s="10" t="s">
        <v>337</v>
      </c>
      <c r="R2933" s="10" t="s">
        <v>1641</v>
      </c>
      <c r="S2933" s="10" t="s">
        <v>1642</v>
      </c>
      <c r="T2933" s="10" t="s">
        <v>1643</v>
      </c>
      <c r="U2933" s="10" t="s">
        <v>1644</v>
      </c>
      <c r="W2933" s="10" t="s">
        <v>336</v>
      </c>
      <c r="X2933" s="10" t="s">
        <v>174</v>
      </c>
      <c r="Y2933" s="10" t="s">
        <v>248</v>
      </c>
      <c r="Z2933" s="10" t="s">
        <v>176</v>
      </c>
      <c r="AA2933" s="10" t="s">
        <v>337</v>
      </c>
      <c r="AB2933" s="10" t="s">
        <v>1641</v>
      </c>
      <c r="AC2933" s="10" t="s">
        <v>1642</v>
      </c>
      <c r="AD2933" s="10" t="s">
        <v>1643</v>
      </c>
      <c r="AE2933" s="10" t="s">
        <v>1644</v>
      </c>
    </row>
    <row r="2934" spans="4:31" s="29" customFormat="1" x14ac:dyDescent="0.25">
      <c r="D2934" s="955"/>
      <c r="E2934" s="955"/>
      <c r="F2934" s="955"/>
      <c r="G2934" s="956"/>
      <c r="H2934" s="956"/>
      <c r="I2934" s="956"/>
      <c r="J2934" s="956"/>
      <c r="K2934" s="956"/>
      <c r="M2934" s="11" t="s">
        <v>932</v>
      </c>
      <c r="N2934" s="307">
        <f>P34</f>
        <v>1.6</v>
      </c>
      <c r="O2934" s="11" t="str">
        <f>O34</f>
        <v>g</v>
      </c>
      <c r="P2934" s="11">
        <v>10</v>
      </c>
      <c r="Q2934" s="11">
        <f>N2934*P2934</f>
        <v>16</v>
      </c>
      <c r="R2934" s="11">
        <v>0</v>
      </c>
      <c r="S2934" s="11">
        <f>P2934*R2934</f>
        <v>0</v>
      </c>
      <c r="T2934" s="11">
        <f>P2934-S2934</f>
        <v>10</v>
      </c>
      <c r="U2934" s="11">
        <f>Q2934+((S2934*Q2934)/P2934)</f>
        <v>16</v>
      </c>
      <c r="W2934" s="11" t="s">
        <v>932</v>
      </c>
      <c r="X2934" s="307">
        <f>P34</f>
        <v>1.6</v>
      </c>
      <c r="Y2934" s="11" t="str">
        <f>O34</f>
        <v>g</v>
      </c>
      <c r="Z2934" s="11">
        <v>10</v>
      </c>
      <c r="AA2934" s="11">
        <f>X2934*Z2934</f>
        <v>16</v>
      </c>
      <c r="AB2934" s="11">
        <v>0</v>
      </c>
      <c r="AC2934" s="11">
        <f>Z2934*AB2934</f>
        <v>0</v>
      </c>
      <c r="AD2934" s="11">
        <f>Z2934-AC2934</f>
        <v>10</v>
      </c>
      <c r="AE2934" s="11">
        <f>AA2934+((AC2934*AA2934)/Z2934)</f>
        <v>16</v>
      </c>
    </row>
    <row r="2935" spans="4:31" s="29" customFormat="1" x14ac:dyDescent="0.25">
      <c r="D2935" s="955"/>
      <c r="E2935" s="955"/>
      <c r="F2935" s="955"/>
      <c r="G2935" s="956"/>
      <c r="H2935" s="956"/>
      <c r="I2935" s="956"/>
      <c r="J2935" s="956"/>
      <c r="K2935" s="956"/>
      <c r="M2935" s="11" t="s">
        <v>734</v>
      </c>
      <c r="N2935" s="11">
        <f>M9</f>
        <v>4</v>
      </c>
      <c r="O2935" s="11" t="str">
        <f>L9</f>
        <v>g</v>
      </c>
      <c r="P2935" s="11">
        <v>30</v>
      </c>
      <c r="Q2935" s="11">
        <f t="shared" ref="Q2935:Q2938" si="1004">N2935*P2935</f>
        <v>120</v>
      </c>
      <c r="R2935" s="11">
        <f>AL10</f>
        <v>0.14000000000000001</v>
      </c>
      <c r="S2935" s="11">
        <f t="shared" ref="S2935:S2938" si="1005">P2935*R2935</f>
        <v>4.2</v>
      </c>
      <c r="T2935" s="11">
        <f t="shared" ref="T2935:T2938" si="1006">P2935-S2935</f>
        <v>25.8</v>
      </c>
      <c r="U2935" s="11">
        <f t="shared" ref="U2935:U2938" si="1007">Q2935+((S2935*Q2935)/P2935)</f>
        <v>136.80000000000001</v>
      </c>
      <c r="W2935" s="11" t="s">
        <v>734</v>
      </c>
      <c r="X2935" s="307">
        <f>M9</f>
        <v>4</v>
      </c>
      <c r="Y2935" s="11" t="str">
        <f>L9</f>
        <v>g</v>
      </c>
      <c r="Z2935" s="11">
        <v>30</v>
      </c>
      <c r="AA2935" s="11">
        <f t="shared" ref="AA2935:AA2937" si="1008">X2935*Z2935</f>
        <v>120</v>
      </c>
      <c r="AB2935" s="11">
        <f>AL10</f>
        <v>0.14000000000000001</v>
      </c>
      <c r="AC2935" s="11">
        <f t="shared" ref="AC2935:AC2937" si="1009">Z2935*AB2935</f>
        <v>4.2</v>
      </c>
      <c r="AD2935" s="11">
        <f t="shared" ref="AD2935:AD2937" si="1010">Z2935-AC2935</f>
        <v>25.8</v>
      </c>
      <c r="AE2935" s="11">
        <f t="shared" ref="AE2935:AE2937" si="1011">AA2935+((AC2935*AA2935)/Z2935)</f>
        <v>136.80000000000001</v>
      </c>
    </row>
    <row r="2936" spans="4:31" s="29" customFormat="1" x14ac:dyDescent="0.25">
      <c r="D2936" s="954" t="s">
        <v>0</v>
      </c>
      <c r="E2936" s="954"/>
      <c r="F2936" s="954"/>
      <c r="G2936" s="954" t="s">
        <v>1</v>
      </c>
      <c r="H2936" s="954"/>
      <c r="I2936" s="954"/>
      <c r="J2936" s="954"/>
      <c r="K2936" s="954"/>
      <c r="M2936" s="11" t="s">
        <v>745</v>
      </c>
      <c r="N2936" s="11">
        <f>M10</f>
        <v>4.5</v>
      </c>
      <c r="O2936" s="11" t="str">
        <f>L10</f>
        <v>g</v>
      </c>
      <c r="P2936" s="11">
        <v>20</v>
      </c>
      <c r="Q2936" s="11">
        <f t="shared" si="1004"/>
        <v>90</v>
      </c>
      <c r="R2936" s="11">
        <v>0</v>
      </c>
      <c r="S2936" s="11">
        <f t="shared" si="1005"/>
        <v>0</v>
      </c>
      <c r="T2936" s="11">
        <f t="shared" si="1006"/>
        <v>20</v>
      </c>
      <c r="U2936" s="11">
        <f t="shared" si="1007"/>
        <v>90</v>
      </c>
      <c r="W2936" s="11" t="s">
        <v>745</v>
      </c>
      <c r="X2936" s="307">
        <f>M10</f>
        <v>4.5</v>
      </c>
      <c r="Y2936" s="11" t="str">
        <f>L10</f>
        <v>g</v>
      </c>
      <c r="Z2936" s="11">
        <v>20</v>
      </c>
      <c r="AA2936" s="11">
        <f t="shared" si="1008"/>
        <v>90</v>
      </c>
      <c r="AB2936" s="11">
        <v>0</v>
      </c>
      <c r="AC2936" s="11">
        <f t="shared" si="1009"/>
        <v>0</v>
      </c>
      <c r="AD2936" s="11">
        <f t="shared" si="1010"/>
        <v>20</v>
      </c>
      <c r="AE2936" s="11">
        <f t="shared" si="1011"/>
        <v>90</v>
      </c>
    </row>
    <row r="2937" spans="4:31" s="29" customFormat="1" x14ac:dyDescent="0.25">
      <c r="D2937" s="955" t="s">
        <v>3</v>
      </c>
      <c r="E2937" s="955"/>
      <c r="F2937" s="955"/>
      <c r="G2937" s="957" t="s">
        <v>872</v>
      </c>
      <c r="H2937" s="956"/>
      <c r="I2937" s="956"/>
      <c r="J2937" s="956"/>
      <c r="K2937" s="956"/>
      <c r="M2937" s="11" t="s">
        <v>443</v>
      </c>
      <c r="N2937" s="11">
        <f>Y7</f>
        <v>3.6</v>
      </c>
      <c r="O2937" s="11" t="str">
        <f>X7</f>
        <v>g</v>
      </c>
      <c r="P2937" s="11">
        <v>4</v>
      </c>
      <c r="Q2937" s="11">
        <f t="shared" si="1004"/>
        <v>14.4</v>
      </c>
      <c r="R2937" s="11">
        <v>0</v>
      </c>
      <c r="S2937" s="11">
        <f t="shared" si="1005"/>
        <v>0</v>
      </c>
      <c r="T2937" s="11">
        <f t="shared" si="1006"/>
        <v>4</v>
      </c>
      <c r="U2937" s="11">
        <f t="shared" si="1007"/>
        <v>14.4</v>
      </c>
      <c r="W2937" s="11" t="s">
        <v>1882</v>
      </c>
      <c r="X2937" s="307">
        <f>AE34</f>
        <v>235</v>
      </c>
      <c r="Y2937" s="11" t="str">
        <f>AD34</f>
        <v>g</v>
      </c>
      <c r="Z2937" s="11">
        <v>4</v>
      </c>
      <c r="AA2937" s="11">
        <f t="shared" si="1008"/>
        <v>940</v>
      </c>
      <c r="AB2937" s="11">
        <v>0</v>
      </c>
      <c r="AC2937" s="11">
        <f t="shared" si="1009"/>
        <v>0</v>
      </c>
      <c r="AD2937" s="11">
        <f t="shared" si="1010"/>
        <v>4</v>
      </c>
      <c r="AE2937" s="11">
        <f t="shared" si="1011"/>
        <v>940</v>
      </c>
    </row>
    <row r="2938" spans="4:31" s="29" customFormat="1" x14ac:dyDescent="0.25">
      <c r="D2938" s="955"/>
      <c r="E2938" s="955"/>
      <c r="F2938" s="955"/>
      <c r="G2938" s="956"/>
      <c r="H2938" s="956"/>
      <c r="I2938" s="956"/>
      <c r="J2938" s="956"/>
      <c r="K2938" s="956"/>
      <c r="M2938" s="11" t="s">
        <v>2147</v>
      </c>
      <c r="N2938" s="307">
        <f>V18</f>
        <v>4.24</v>
      </c>
      <c r="O2938" s="11" t="str">
        <f>U18</f>
        <v>mL</v>
      </c>
      <c r="P2938" s="11">
        <v>70</v>
      </c>
      <c r="Q2938" s="11">
        <f t="shared" si="1004"/>
        <v>296.8</v>
      </c>
      <c r="R2938" s="11">
        <v>0</v>
      </c>
      <c r="S2938" s="11">
        <f t="shared" si="1005"/>
        <v>0</v>
      </c>
      <c r="T2938" s="11">
        <f t="shared" si="1006"/>
        <v>70</v>
      </c>
      <c r="U2938" s="11">
        <f t="shared" si="1007"/>
        <v>296.8</v>
      </c>
      <c r="W2938" s="11"/>
      <c r="X2938" s="11"/>
      <c r="Y2938" s="11"/>
      <c r="Z2938" s="11"/>
      <c r="AA2938" s="11"/>
      <c r="AB2938" s="11"/>
      <c r="AC2938" s="11"/>
      <c r="AD2938" s="11"/>
      <c r="AE2938" s="11"/>
    </row>
    <row r="2939" spans="4:31" s="29" customFormat="1" x14ac:dyDescent="0.25">
      <c r="D2939" s="955"/>
      <c r="E2939" s="955"/>
      <c r="F2939" s="955"/>
      <c r="G2939" s="956"/>
      <c r="H2939" s="956"/>
      <c r="I2939" s="956"/>
      <c r="J2939" s="956"/>
      <c r="K2939" s="956"/>
      <c r="M2939" s="11"/>
      <c r="N2939" s="11"/>
      <c r="O2939" s="11"/>
      <c r="P2939" s="11"/>
      <c r="Q2939" s="11"/>
      <c r="R2939" s="11"/>
      <c r="S2939" s="11"/>
      <c r="T2939" s="11"/>
      <c r="U2939" s="11"/>
      <c r="W2939" s="11"/>
      <c r="X2939" s="11"/>
      <c r="Y2939" s="11"/>
      <c r="Z2939" s="11"/>
      <c r="AA2939" s="11"/>
      <c r="AB2939" s="11"/>
      <c r="AC2939" s="11"/>
      <c r="AD2939" s="11"/>
      <c r="AE2939" s="11"/>
    </row>
    <row r="2940" spans="4:31" s="29" customFormat="1" x14ac:dyDescent="0.25">
      <c r="D2940" s="955" t="s">
        <v>4</v>
      </c>
      <c r="E2940" s="955"/>
      <c r="F2940" s="955"/>
      <c r="G2940" s="956" t="s">
        <v>825</v>
      </c>
      <c r="H2940" s="956"/>
      <c r="I2940" s="956"/>
      <c r="J2940" s="956"/>
      <c r="K2940" s="956"/>
      <c r="M2940" s="11" t="s">
        <v>337</v>
      </c>
      <c r="N2940" s="11">
        <f>SUM(N2934:N2939)</f>
        <v>17.939999999999998</v>
      </c>
      <c r="O2940" s="11"/>
      <c r="P2940" s="11">
        <f>SUM(P2934:P2939)</f>
        <v>134</v>
      </c>
      <c r="Q2940" s="11">
        <f>SUM(Q2934:Q2939)</f>
        <v>537.20000000000005</v>
      </c>
      <c r="R2940" s="11"/>
      <c r="S2940" s="11"/>
      <c r="T2940" s="11"/>
      <c r="U2940" s="11">
        <f>SUM(U2934:U2939)</f>
        <v>554</v>
      </c>
      <c r="W2940" s="11" t="s">
        <v>337</v>
      </c>
      <c r="X2940" s="11">
        <f>SUM(X2934:X2939)</f>
        <v>245.1</v>
      </c>
      <c r="Y2940" s="11"/>
      <c r="Z2940" s="11">
        <f>SUM(Z2934:Z2939)</f>
        <v>64</v>
      </c>
      <c r="AA2940" s="11">
        <f>SUM(AA2934:AA2939)</f>
        <v>1166</v>
      </c>
      <c r="AB2940" s="11"/>
      <c r="AC2940" s="11"/>
      <c r="AD2940" s="11"/>
      <c r="AE2940" s="11">
        <f>SUM(AE2934:AE2939)</f>
        <v>1182.8</v>
      </c>
    </row>
    <row r="2941" spans="4:31" s="29" customFormat="1" x14ac:dyDescent="0.25">
      <c r="D2941" s="955"/>
      <c r="E2941" s="955"/>
      <c r="F2941" s="955"/>
      <c r="G2941" s="956"/>
      <c r="H2941" s="956"/>
      <c r="I2941" s="956"/>
      <c r="J2941" s="956"/>
      <c r="K2941" s="956"/>
      <c r="M2941" s="30"/>
      <c r="N2941" s="30"/>
      <c r="O2941" s="30"/>
      <c r="P2941" s="30"/>
      <c r="Q2941" s="30"/>
      <c r="R2941" s="30"/>
      <c r="S2941" s="30"/>
      <c r="T2941" s="30"/>
      <c r="U2941" s="30"/>
      <c r="W2941" s="30"/>
      <c r="X2941" s="30"/>
      <c r="Y2941" s="30"/>
      <c r="Z2941" s="30"/>
      <c r="AA2941" s="30"/>
      <c r="AB2941" s="30"/>
      <c r="AC2941" s="30"/>
      <c r="AD2941" s="30"/>
      <c r="AE2941" s="30"/>
    </row>
    <row r="2942" spans="4:31" s="29" customFormat="1" x14ac:dyDescent="0.25">
      <c r="D2942" s="955"/>
      <c r="E2942" s="955"/>
      <c r="F2942" s="955"/>
      <c r="G2942" s="956"/>
      <c r="H2942" s="956"/>
      <c r="I2942" s="956"/>
      <c r="J2942" s="956"/>
      <c r="K2942" s="956"/>
      <c r="M2942" s="30"/>
      <c r="N2942" s="30"/>
      <c r="O2942" s="30"/>
      <c r="P2942" s="30"/>
      <c r="Q2942" s="11" t="s">
        <v>1681</v>
      </c>
      <c r="R2942" s="11">
        <f>U2940</f>
        <v>554</v>
      </c>
      <c r="S2942" s="608" t="s">
        <v>2142</v>
      </c>
      <c r="T2942" s="608">
        <f>(R2942*100)/R2949</f>
        <v>35.539933457462389</v>
      </c>
      <c r="U2942" s="30"/>
      <c r="W2942" s="30"/>
      <c r="X2942" s="30"/>
      <c r="Y2942" s="30"/>
      <c r="Z2942" s="30"/>
      <c r="AA2942" s="11" t="s">
        <v>1681</v>
      </c>
      <c r="AB2942" s="11">
        <f>AE2940</f>
        <v>1182.8</v>
      </c>
      <c r="AC2942" s="608" t="s">
        <v>2142</v>
      </c>
      <c r="AD2942" s="608">
        <f>(AB2942*100)/AB2949</f>
        <v>44.711975437861838</v>
      </c>
      <c r="AE2942" s="30"/>
    </row>
    <row r="2943" spans="4:31" s="29" customFormat="1" x14ac:dyDescent="0.25">
      <c r="D2943" s="955" t="s">
        <v>5</v>
      </c>
      <c r="E2943" s="955"/>
      <c r="F2943" s="955"/>
      <c r="G2943" s="956" t="s">
        <v>874</v>
      </c>
      <c r="H2943" s="956"/>
      <c r="I2943" s="956"/>
      <c r="J2943" s="956"/>
      <c r="K2943" s="956"/>
      <c r="M2943" s="30"/>
      <c r="N2943" s="30"/>
      <c r="O2943" s="30"/>
      <c r="P2943" s="30"/>
      <c r="Q2943" s="11" t="s">
        <v>2326</v>
      </c>
      <c r="R2943" s="11">
        <f>$AM$26</f>
        <v>131.82146077125219</v>
      </c>
      <c r="S2943" s="30"/>
      <c r="T2943" s="30"/>
      <c r="U2943" s="30"/>
      <c r="W2943" s="30"/>
      <c r="X2943" s="30"/>
      <c r="Y2943" s="30"/>
      <c r="Z2943" s="30"/>
      <c r="AA2943" s="11" t="s">
        <v>2326</v>
      </c>
      <c r="AB2943" s="11">
        <f>$AM$26</f>
        <v>131.82146077125219</v>
      </c>
      <c r="AC2943" s="30"/>
      <c r="AD2943" s="30"/>
      <c r="AE2943" s="30"/>
    </row>
    <row r="2944" spans="4:31" s="29" customFormat="1" x14ac:dyDescent="0.25">
      <c r="D2944" s="955"/>
      <c r="E2944" s="955"/>
      <c r="F2944" s="955"/>
      <c r="G2944" s="956"/>
      <c r="H2944" s="956"/>
      <c r="I2944" s="956"/>
      <c r="J2944" s="956"/>
      <c r="K2944" s="956"/>
      <c r="Q2944" s="11" t="s">
        <v>2325</v>
      </c>
      <c r="R2944" s="11">
        <f>$AM$27</f>
        <v>75.599999999999994</v>
      </c>
      <c r="AA2944" s="11" t="s">
        <v>2325</v>
      </c>
      <c r="AB2944" s="11">
        <f>$AM$27</f>
        <v>75.599999999999994</v>
      </c>
    </row>
    <row r="2945" spans="4:31" s="29" customFormat="1" x14ac:dyDescent="0.25">
      <c r="D2945" s="955"/>
      <c r="E2945" s="955"/>
      <c r="F2945" s="955"/>
      <c r="G2945" s="956"/>
      <c r="H2945" s="956"/>
      <c r="I2945" s="956"/>
      <c r="J2945" s="956"/>
      <c r="K2945" s="956"/>
      <c r="Q2945" s="11" t="s">
        <v>1684</v>
      </c>
      <c r="R2945" s="11">
        <f>$AM$29</f>
        <v>140.66759979375703</v>
      </c>
      <c r="AA2945" s="11" t="s">
        <v>1684</v>
      </c>
      <c r="AB2945" s="11">
        <f>$AM$29</f>
        <v>140.66759979375703</v>
      </c>
    </row>
    <row r="2946" spans="4:31" s="29" customFormat="1" x14ac:dyDescent="0.25">
      <c r="D2946" s="955" t="s">
        <v>6</v>
      </c>
      <c r="E2946" s="955"/>
      <c r="F2946" s="955"/>
      <c r="G2946" s="956" t="s">
        <v>9</v>
      </c>
      <c r="H2946" s="956"/>
      <c r="I2946" s="956"/>
      <c r="J2946" s="956"/>
      <c r="K2946" s="956"/>
      <c r="Q2946" s="11" t="s">
        <v>1685</v>
      </c>
      <c r="R2946" s="11">
        <v>0.6</v>
      </c>
      <c r="AA2946" s="11" t="s">
        <v>1685</v>
      </c>
      <c r="AB2946" s="11">
        <v>0.6</v>
      </c>
    </row>
    <row r="2947" spans="4:31" s="29" customFormat="1" x14ac:dyDescent="0.25">
      <c r="D2947" s="955"/>
      <c r="E2947" s="955"/>
      <c r="F2947" s="955"/>
      <c r="G2947" s="956"/>
      <c r="H2947" s="956"/>
      <c r="I2947" s="956"/>
      <c r="J2947" s="956"/>
      <c r="K2947" s="956"/>
      <c r="Q2947" s="11" t="s">
        <v>1708</v>
      </c>
      <c r="R2947" s="11">
        <f>(SUM(R2942:R2945)*R2946)+SUM(R2942:R2945)</f>
        <v>1443.3424969040148</v>
      </c>
      <c r="AA2947" s="11" t="s">
        <v>1708</v>
      </c>
      <c r="AB2947" s="11">
        <f>(SUM(AB2942:AB2945)*AB2946)+SUM(AB2942:AB2945)</f>
        <v>2449.4224969040147</v>
      </c>
    </row>
    <row r="2948" spans="4:31" s="29" customFormat="1" x14ac:dyDescent="0.25">
      <c r="D2948" s="955"/>
      <c r="E2948" s="955"/>
      <c r="F2948" s="955"/>
      <c r="G2948" s="956"/>
      <c r="H2948" s="956"/>
      <c r="I2948" s="956"/>
      <c r="J2948" s="956"/>
      <c r="K2948" s="956"/>
      <c r="Q2948" s="11" t="s">
        <v>2130</v>
      </c>
      <c r="R2948" s="11">
        <f>R2947*0.08</f>
        <v>115.46739975232119</v>
      </c>
      <c r="AA2948" s="11" t="s">
        <v>2130</v>
      </c>
      <c r="AB2948" s="11">
        <f>AB2947*0.08</f>
        <v>195.95379975232117</v>
      </c>
    </row>
    <row r="2949" spans="4:31" s="29" customFormat="1" x14ac:dyDescent="0.25">
      <c r="D2949" s="955" t="s">
        <v>7</v>
      </c>
      <c r="E2949" s="955"/>
      <c r="F2949" s="955"/>
      <c r="G2949" s="956" t="s">
        <v>2148</v>
      </c>
      <c r="H2949" s="956"/>
      <c r="I2949" s="956"/>
      <c r="J2949" s="956"/>
      <c r="K2949" s="956"/>
      <c r="Q2949" s="11" t="s">
        <v>1686</v>
      </c>
      <c r="R2949" s="11">
        <f>SUM(R2947+R2948)</f>
        <v>1558.8098966563359</v>
      </c>
      <c r="AA2949" s="11" t="s">
        <v>1686</v>
      </c>
      <c r="AB2949" s="11">
        <f>SUM(AB2947+AB2948)</f>
        <v>2645.3762966563359</v>
      </c>
    </row>
    <row r="2950" spans="4:31" s="29" customFormat="1" x14ac:dyDescent="0.25">
      <c r="D2950" s="955"/>
      <c r="E2950" s="955"/>
      <c r="F2950" s="955"/>
      <c r="G2950" s="956"/>
      <c r="H2950" s="956"/>
      <c r="I2950" s="956"/>
      <c r="J2950" s="956"/>
      <c r="K2950" s="956"/>
    </row>
    <row r="2951" spans="4:31" s="29" customFormat="1" x14ac:dyDescent="0.25">
      <c r="D2951" s="955"/>
      <c r="E2951" s="955"/>
      <c r="F2951" s="955"/>
      <c r="G2951" s="956"/>
      <c r="H2951" s="956"/>
      <c r="I2951" s="956"/>
      <c r="J2951" s="956"/>
      <c r="K2951" s="956"/>
    </row>
    <row r="2952" spans="4:31" s="29" customFormat="1" x14ac:dyDescent="0.25"/>
    <row r="2953" spans="4:31" s="29" customFormat="1" x14ac:dyDescent="0.25"/>
    <row r="2954" spans="4:31" s="29" customFormat="1" x14ac:dyDescent="0.25">
      <c r="D2954" s="953" t="s">
        <v>8</v>
      </c>
      <c r="E2954" s="953"/>
      <c r="F2954" s="953"/>
      <c r="G2954" s="953"/>
      <c r="H2954" s="953"/>
      <c r="I2954" s="953"/>
      <c r="J2954" s="953"/>
      <c r="K2954" s="953"/>
    </row>
    <row r="2955" spans="4:31" s="29" customFormat="1" x14ac:dyDescent="0.25">
      <c r="D2955" s="954" t="s">
        <v>0</v>
      </c>
      <c r="E2955" s="954"/>
      <c r="F2955" s="954"/>
      <c r="G2955" s="954" t="s">
        <v>1</v>
      </c>
      <c r="H2955" s="954"/>
      <c r="I2955" s="954"/>
      <c r="J2955" s="954"/>
      <c r="K2955" s="954"/>
    </row>
    <row r="2956" spans="4:31" s="29" customFormat="1" x14ac:dyDescent="0.25">
      <c r="D2956" s="955" t="s">
        <v>2</v>
      </c>
      <c r="E2956" s="955"/>
      <c r="F2956" s="955"/>
      <c r="G2956" s="956" t="s">
        <v>876</v>
      </c>
      <c r="H2956" s="956"/>
      <c r="I2956" s="956"/>
      <c r="J2956" s="956"/>
      <c r="K2956" s="956"/>
      <c r="M2956" s="10" t="s">
        <v>336</v>
      </c>
      <c r="N2956" s="10" t="s">
        <v>174</v>
      </c>
      <c r="O2956" s="10" t="s">
        <v>248</v>
      </c>
      <c r="P2956" s="10" t="s">
        <v>176</v>
      </c>
      <c r="Q2956" s="10" t="s">
        <v>337</v>
      </c>
      <c r="R2956" s="10" t="s">
        <v>1641</v>
      </c>
      <c r="S2956" s="10" t="s">
        <v>1642</v>
      </c>
      <c r="T2956" s="10" t="s">
        <v>1643</v>
      </c>
      <c r="U2956" s="10" t="s">
        <v>1644</v>
      </c>
      <c r="W2956" s="10" t="s">
        <v>336</v>
      </c>
      <c r="X2956" s="10" t="s">
        <v>174</v>
      </c>
      <c r="Y2956" s="10" t="s">
        <v>248</v>
      </c>
      <c r="Z2956" s="10" t="s">
        <v>176</v>
      </c>
      <c r="AA2956" s="10" t="s">
        <v>337</v>
      </c>
      <c r="AB2956" s="10" t="s">
        <v>1641</v>
      </c>
      <c r="AC2956" s="10" t="s">
        <v>1642</v>
      </c>
      <c r="AD2956" s="10" t="s">
        <v>1643</v>
      </c>
      <c r="AE2956" s="10" t="s">
        <v>1644</v>
      </c>
    </row>
    <row r="2957" spans="4:31" s="29" customFormat="1" x14ac:dyDescent="0.25">
      <c r="D2957" s="955"/>
      <c r="E2957" s="955"/>
      <c r="F2957" s="955"/>
      <c r="G2957" s="956"/>
      <c r="H2957" s="956"/>
      <c r="I2957" s="956"/>
      <c r="J2957" s="956"/>
      <c r="K2957" s="956"/>
      <c r="M2957" s="11" t="s">
        <v>704</v>
      </c>
      <c r="N2957" s="11">
        <f>M5</f>
        <v>7</v>
      </c>
      <c r="O2957" s="11" t="str">
        <f>L5</f>
        <v>g</v>
      </c>
      <c r="P2957" s="11">
        <v>20</v>
      </c>
      <c r="Q2957" s="11">
        <f>N2957*P2957</f>
        <v>140</v>
      </c>
      <c r="R2957" s="11">
        <v>0</v>
      </c>
      <c r="S2957" s="11">
        <f>P2957*R2957</f>
        <v>0</v>
      </c>
      <c r="T2957" s="11">
        <f>P2957-S2957</f>
        <v>20</v>
      </c>
      <c r="U2957" s="11">
        <f>Q2957+((S2957*Q2957)/P2957)</f>
        <v>140</v>
      </c>
      <c r="W2957" s="11" t="s">
        <v>704</v>
      </c>
      <c r="X2957" s="307">
        <f>M5</f>
        <v>7</v>
      </c>
      <c r="Y2957" s="11" t="str">
        <f>L5</f>
        <v>g</v>
      </c>
      <c r="Z2957" s="11">
        <v>20</v>
      </c>
      <c r="AA2957" s="11">
        <f>X2957*Z2957</f>
        <v>140</v>
      </c>
      <c r="AB2957" s="11">
        <v>0</v>
      </c>
      <c r="AC2957" s="11">
        <f>Z2957*AB2957</f>
        <v>0</v>
      </c>
      <c r="AD2957" s="11">
        <f>Z2957-AC2957</f>
        <v>20</v>
      </c>
      <c r="AE2957" s="11">
        <f>AA2957+((AC2957*AA2957)/Z2957)</f>
        <v>140</v>
      </c>
    </row>
    <row r="2958" spans="4:31" s="29" customFormat="1" x14ac:dyDescent="0.25">
      <c r="D2958" s="955"/>
      <c r="E2958" s="955"/>
      <c r="F2958" s="955"/>
      <c r="G2958" s="956"/>
      <c r="H2958" s="956"/>
      <c r="I2958" s="956"/>
      <c r="J2958" s="956"/>
      <c r="K2958" s="956"/>
      <c r="M2958" s="11" t="s">
        <v>933</v>
      </c>
      <c r="N2958" s="11">
        <f>M26</f>
        <v>3</v>
      </c>
      <c r="O2958" s="11" t="str">
        <f>L26</f>
        <v>g</v>
      </c>
      <c r="P2958" s="11">
        <v>30</v>
      </c>
      <c r="Q2958" s="11">
        <f t="shared" ref="Q2958:Q2961" si="1012">N2958*P2958</f>
        <v>90</v>
      </c>
      <c r="R2958" s="11">
        <v>0</v>
      </c>
      <c r="S2958" s="11">
        <f t="shared" ref="S2958:S2961" si="1013">P2958*R2958</f>
        <v>0</v>
      </c>
      <c r="T2958" s="11">
        <f t="shared" ref="T2958:T2961" si="1014">P2958-S2958</f>
        <v>30</v>
      </c>
      <c r="U2958" s="11">
        <f t="shared" ref="U2958:U2961" si="1015">Q2958+((S2958*Q2958)/P2958)</f>
        <v>90</v>
      </c>
      <c r="W2958" s="11" t="s">
        <v>933</v>
      </c>
      <c r="X2958" s="307">
        <f>M26</f>
        <v>3</v>
      </c>
      <c r="Y2958" s="11" t="str">
        <f>L26</f>
        <v>g</v>
      </c>
      <c r="Z2958" s="11">
        <v>30</v>
      </c>
      <c r="AA2958" s="11">
        <f t="shared" ref="AA2958:AA2961" si="1016">X2958*Z2958</f>
        <v>90</v>
      </c>
      <c r="AB2958" s="11">
        <v>0</v>
      </c>
      <c r="AC2958" s="11">
        <f t="shared" ref="AC2958:AC2961" si="1017">Z2958*AB2958</f>
        <v>0</v>
      </c>
      <c r="AD2958" s="11">
        <f t="shared" ref="AD2958:AD2961" si="1018">Z2958-AC2958</f>
        <v>30</v>
      </c>
      <c r="AE2958" s="11">
        <f t="shared" ref="AE2958:AE2961" si="1019">AA2958+((AC2958*AA2958)/Z2958)</f>
        <v>90</v>
      </c>
    </row>
    <row r="2959" spans="4:31" s="29" customFormat="1" x14ac:dyDescent="0.25">
      <c r="D2959" s="954" t="s">
        <v>0</v>
      </c>
      <c r="E2959" s="954"/>
      <c r="F2959" s="954"/>
      <c r="G2959" s="954" t="s">
        <v>1</v>
      </c>
      <c r="H2959" s="954"/>
      <c r="I2959" s="954"/>
      <c r="J2959" s="954"/>
      <c r="K2959" s="954"/>
      <c r="M2959" s="11" t="s">
        <v>904</v>
      </c>
      <c r="N2959" s="11">
        <f>M17</f>
        <v>3.5</v>
      </c>
      <c r="O2959" s="11" t="str">
        <f>L17</f>
        <v>g</v>
      </c>
      <c r="P2959" s="11">
        <v>20</v>
      </c>
      <c r="Q2959" s="11">
        <f t="shared" si="1012"/>
        <v>70</v>
      </c>
      <c r="R2959" s="11">
        <v>0</v>
      </c>
      <c r="S2959" s="11">
        <f t="shared" si="1013"/>
        <v>0</v>
      </c>
      <c r="T2959" s="11">
        <f t="shared" si="1014"/>
        <v>20</v>
      </c>
      <c r="U2959" s="11">
        <f t="shared" si="1015"/>
        <v>70</v>
      </c>
      <c r="W2959" s="11" t="s">
        <v>904</v>
      </c>
      <c r="X2959" s="307">
        <f>M17</f>
        <v>3.5</v>
      </c>
      <c r="Y2959" s="11" t="str">
        <f>L17</f>
        <v>g</v>
      </c>
      <c r="Z2959" s="11">
        <v>20</v>
      </c>
      <c r="AA2959" s="11">
        <f t="shared" si="1016"/>
        <v>70</v>
      </c>
      <c r="AB2959" s="11">
        <v>0</v>
      </c>
      <c r="AC2959" s="11">
        <f t="shared" si="1017"/>
        <v>0</v>
      </c>
      <c r="AD2959" s="11">
        <f t="shared" si="1018"/>
        <v>20</v>
      </c>
      <c r="AE2959" s="11">
        <f t="shared" si="1019"/>
        <v>70</v>
      </c>
    </row>
    <row r="2960" spans="4:31" s="29" customFormat="1" x14ac:dyDescent="0.25">
      <c r="D2960" s="955" t="s">
        <v>3</v>
      </c>
      <c r="E2960" s="955"/>
      <c r="F2960" s="955"/>
      <c r="G2960" s="957" t="s">
        <v>875</v>
      </c>
      <c r="H2960" s="956"/>
      <c r="I2960" s="956"/>
      <c r="J2960" s="956"/>
      <c r="K2960" s="956"/>
      <c r="M2960" s="11" t="s">
        <v>923</v>
      </c>
      <c r="N2960" s="11">
        <f>M24</f>
        <v>2.5</v>
      </c>
      <c r="O2960" s="11" t="str">
        <f>L24</f>
        <v>g</v>
      </c>
      <c r="P2960" s="11">
        <v>20</v>
      </c>
      <c r="Q2960" s="11">
        <f t="shared" si="1012"/>
        <v>50</v>
      </c>
      <c r="R2960" s="11">
        <f>AL9</f>
        <v>0.37</v>
      </c>
      <c r="S2960" s="11">
        <f t="shared" si="1013"/>
        <v>7.4</v>
      </c>
      <c r="T2960" s="11">
        <f t="shared" si="1014"/>
        <v>12.6</v>
      </c>
      <c r="U2960" s="11">
        <f t="shared" si="1015"/>
        <v>68.5</v>
      </c>
      <c r="W2960" s="11" t="s">
        <v>923</v>
      </c>
      <c r="X2960" s="307">
        <f>M24</f>
        <v>2.5</v>
      </c>
      <c r="Y2960" s="11" t="str">
        <f>L24</f>
        <v>g</v>
      </c>
      <c r="Z2960" s="11">
        <v>20</v>
      </c>
      <c r="AA2960" s="11">
        <f t="shared" si="1016"/>
        <v>50</v>
      </c>
      <c r="AB2960" s="11">
        <f>AL9</f>
        <v>0.37</v>
      </c>
      <c r="AC2960" s="11">
        <f t="shared" si="1017"/>
        <v>7.4</v>
      </c>
      <c r="AD2960" s="11">
        <f t="shared" si="1018"/>
        <v>12.6</v>
      </c>
      <c r="AE2960" s="11">
        <f t="shared" si="1019"/>
        <v>68.5</v>
      </c>
    </row>
    <row r="2961" spans="4:31" s="29" customFormat="1" x14ac:dyDescent="0.25">
      <c r="D2961" s="955"/>
      <c r="E2961" s="955"/>
      <c r="F2961" s="955"/>
      <c r="G2961" s="956"/>
      <c r="H2961" s="956"/>
      <c r="I2961" s="956"/>
      <c r="J2961" s="956"/>
      <c r="K2961" s="956"/>
      <c r="M2961" s="11" t="s">
        <v>443</v>
      </c>
      <c r="N2961" s="11">
        <f>Y7</f>
        <v>3.6</v>
      </c>
      <c r="O2961" s="11" t="str">
        <f>X7</f>
        <v>g</v>
      </c>
      <c r="P2961" s="11">
        <v>4</v>
      </c>
      <c r="Q2961" s="11">
        <f t="shared" si="1012"/>
        <v>14.4</v>
      </c>
      <c r="R2961" s="11">
        <v>0</v>
      </c>
      <c r="S2961" s="11">
        <f t="shared" si="1013"/>
        <v>0</v>
      </c>
      <c r="T2961" s="11">
        <f t="shared" si="1014"/>
        <v>4</v>
      </c>
      <c r="U2961" s="11">
        <f t="shared" si="1015"/>
        <v>14.4</v>
      </c>
      <c r="W2961" s="11" t="s">
        <v>1882</v>
      </c>
      <c r="X2961" s="307">
        <f>AE34</f>
        <v>235</v>
      </c>
      <c r="Y2961" s="11" t="str">
        <f>AD34</f>
        <v>g</v>
      </c>
      <c r="Z2961" s="11">
        <v>4</v>
      </c>
      <c r="AA2961" s="11">
        <f t="shared" si="1016"/>
        <v>940</v>
      </c>
      <c r="AB2961" s="11">
        <v>0</v>
      </c>
      <c r="AC2961" s="11">
        <f t="shared" si="1017"/>
        <v>0</v>
      </c>
      <c r="AD2961" s="11">
        <f t="shared" si="1018"/>
        <v>4</v>
      </c>
      <c r="AE2961" s="11">
        <f t="shared" si="1019"/>
        <v>940</v>
      </c>
    </row>
    <row r="2962" spans="4:31" s="29" customFormat="1" x14ac:dyDescent="0.25">
      <c r="D2962" s="955"/>
      <c r="E2962" s="955"/>
      <c r="F2962" s="955"/>
      <c r="G2962" s="956"/>
      <c r="H2962" s="956"/>
      <c r="I2962" s="956"/>
      <c r="J2962" s="956"/>
      <c r="K2962" s="956"/>
      <c r="M2962" s="11"/>
      <c r="N2962" s="11"/>
      <c r="O2962" s="11"/>
      <c r="P2962" s="11"/>
      <c r="Q2962" s="11"/>
      <c r="R2962" s="11"/>
      <c r="S2962" s="11"/>
      <c r="T2962" s="11"/>
      <c r="U2962" s="11"/>
      <c r="W2962" s="11"/>
      <c r="X2962" s="11"/>
      <c r="Y2962" s="11"/>
      <c r="Z2962" s="11"/>
      <c r="AA2962" s="11"/>
      <c r="AB2962" s="11"/>
      <c r="AC2962" s="11"/>
      <c r="AD2962" s="11"/>
      <c r="AE2962" s="11"/>
    </row>
    <row r="2963" spans="4:31" s="29" customFormat="1" x14ac:dyDescent="0.25">
      <c r="D2963" s="955" t="s">
        <v>4</v>
      </c>
      <c r="E2963" s="955"/>
      <c r="F2963" s="955"/>
      <c r="G2963" s="956" t="s">
        <v>825</v>
      </c>
      <c r="H2963" s="956"/>
      <c r="I2963" s="956"/>
      <c r="J2963" s="956"/>
      <c r="K2963" s="956"/>
      <c r="M2963" s="11"/>
      <c r="N2963" s="11"/>
      <c r="O2963" s="11"/>
      <c r="P2963" s="11"/>
      <c r="Q2963" s="11"/>
      <c r="R2963" s="11"/>
      <c r="S2963" s="11"/>
      <c r="T2963" s="11"/>
      <c r="U2963" s="11"/>
      <c r="W2963" s="11"/>
      <c r="X2963" s="11"/>
      <c r="Y2963" s="11"/>
      <c r="Z2963" s="11"/>
      <c r="AA2963" s="11"/>
      <c r="AB2963" s="11"/>
      <c r="AC2963" s="11"/>
      <c r="AD2963" s="11"/>
      <c r="AE2963" s="11"/>
    </row>
    <row r="2964" spans="4:31" s="29" customFormat="1" x14ac:dyDescent="0.25">
      <c r="D2964" s="955"/>
      <c r="E2964" s="955"/>
      <c r="F2964" s="955"/>
      <c r="G2964" s="956"/>
      <c r="H2964" s="956"/>
      <c r="I2964" s="956"/>
      <c r="J2964" s="956"/>
      <c r="K2964" s="956"/>
      <c r="M2964" s="11"/>
      <c r="N2964" s="11"/>
      <c r="O2964" s="11"/>
      <c r="P2964" s="11"/>
      <c r="Q2964" s="11"/>
      <c r="R2964" s="11"/>
      <c r="S2964" s="11"/>
      <c r="T2964" s="11"/>
      <c r="U2964" s="11"/>
      <c r="W2964" s="11"/>
      <c r="X2964" s="11"/>
      <c r="Y2964" s="11"/>
      <c r="Z2964" s="11"/>
      <c r="AA2964" s="11"/>
      <c r="AB2964" s="11"/>
      <c r="AC2964" s="11"/>
      <c r="AD2964" s="11"/>
      <c r="AE2964" s="11"/>
    </row>
    <row r="2965" spans="4:31" s="29" customFormat="1" x14ac:dyDescent="0.25">
      <c r="D2965" s="955"/>
      <c r="E2965" s="955"/>
      <c r="F2965" s="955"/>
      <c r="G2965" s="956"/>
      <c r="H2965" s="956"/>
      <c r="I2965" s="956"/>
      <c r="J2965" s="956"/>
      <c r="K2965" s="956"/>
      <c r="M2965" s="11" t="s">
        <v>337</v>
      </c>
      <c r="N2965" s="11">
        <f>SUM(N2957:N2964)</f>
        <v>19.600000000000001</v>
      </c>
      <c r="O2965" s="11"/>
      <c r="P2965" s="11">
        <f>SUM(P2957:P2964)</f>
        <v>94</v>
      </c>
      <c r="Q2965" s="11">
        <f>SUM(Q2957:Q2964)</f>
        <v>364.4</v>
      </c>
      <c r="R2965" s="11"/>
      <c r="S2965" s="11"/>
      <c r="T2965" s="11"/>
      <c r="U2965" s="11">
        <f>SUM(U2957:U2964)</f>
        <v>382.9</v>
      </c>
      <c r="W2965" s="11" t="s">
        <v>337</v>
      </c>
      <c r="X2965" s="11">
        <f>SUM(X2957:X2964)</f>
        <v>251</v>
      </c>
      <c r="Y2965" s="11"/>
      <c r="Z2965" s="11">
        <f>SUM(Z2957:Z2964)</f>
        <v>94</v>
      </c>
      <c r="AA2965" s="11">
        <f>SUM(AA2957:AA2964)</f>
        <v>1290</v>
      </c>
      <c r="AB2965" s="11"/>
      <c r="AC2965" s="11"/>
      <c r="AD2965" s="11"/>
      <c r="AE2965" s="11">
        <f>SUM(AE2957:AE2964)</f>
        <v>1308.5</v>
      </c>
    </row>
    <row r="2966" spans="4:31" s="29" customFormat="1" x14ac:dyDescent="0.25">
      <c r="D2966" s="955" t="s">
        <v>5</v>
      </c>
      <c r="E2966" s="955"/>
      <c r="F2966" s="955"/>
      <c r="G2966" s="956" t="s">
        <v>877</v>
      </c>
      <c r="H2966" s="956"/>
      <c r="I2966" s="956"/>
      <c r="J2966" s="956"/>
      <c r="K2966" s="956"/>
    </row>
    <row r="2967" spans="4:31" s="29" customFormat="1" x14ac:dyDescent="0.25">
      <c r="D2967" s="955"/>
      <c r="E2967" s="955"/>
      <c r="F2967" s="955"/>
      <c r="G2967" s="956"/>
      <c r="H2967" s="956"/>
      <c r="I2967" s="956"/>
      <c r="J2967" s="956"/>
      <c r="K2967" s="956"/>
      <c r="Q2967" s="11" t="s">
        <v>1681</v>
      </c>
      <c r="R2967" s="11">
        <f>U2965</f>
        <v>382.9</v>
      </c>
      <c r="S2967" s="608" t="s">
        <v>2142</v>
      </c>
      <c r="T2967" s="608">
        <f>(R2967*100)/R2974</f>
        <v>30.313127802059878</v>
      </c>
      <c r="AA2967" s="11" t="s">
        <v>1681</v>
      </c>
      <c r="AB2967" s="11">
        <f>AE2965</f>
        <v>1308.5</v>
      </c>
      <c r="AC2967" s="608" t="s">
        <v>2142</v>
      </c>
      <c r="AD2967" s="608">
        <f>(AB2967*100)/AB2974</f>
        <v>45.710418734627424</v>
      </c>
    </row>
    <row r="2968" spans="4:31" s="29" customFormat="1" x14ac:dyDescent="0.25">
      <c r="D2968" s="955"/>
      <c r="E2968" s="955"/>
      <c r="F2968" s="955"/>
      <c r="G2968" s="956"/>
      <c r="H2968" s="956"/>
      <c r="I2968" s="956"/>
      <c r="J2968" s="956"/>
      <c r="K2968" s="956"/>
      <c r="Q2968" s="11" t="s">
        <v>2326</v>
      </c>
      <c r="R2968" s="11">
        <f>$AM$26</f>
        <v>131.82146077125219</v>
      </c>
      <c r="AA2968" s="11" t="s">
        <v>2326</v>
      </c>
      <c r="AB2968" s="11">
        <f>$AM$26</f>
        <v>131.82146077125219</v>
      </c>
    </row>
    <row r="2969" spans="4:31" s="29" customFormat="1" x14ac:dyDescent="0.25">
      <c r="D2969" s="955" t="s">
        <v>6</v>
      </c>
      <c r="E2969" s="955"/>
      <c r="F2969" s="955"/>
      <c r="G2969" s="956" t="s">
        <v>9</v>
      </c>
      <c r="H2969" s="956"/>
      <c r="I2969" s="956"/>
      <c r="J2969" s="956"/>
      <c r="K2969" s="956"/>
      <c r="Q2969" s="11" t="s">
        <v>2325</v>
      </c>
      <c r="R2969" s="11">
        <f>$AM$27</f>
        <v>75.599999999999994</v>
      </c>
      <c r="AA2969" s="11" t="s">
        <v>2325</v>
      </c>
      <c r="AB2969" s="11">
        <f>$AM$27</f>
        <v>75.599999999999994</v>
      </c>
    </row>
    <row r="2970" spans="4:31" s="29" customFormat="1" x14ac:dyDescent="0.25">
      <c r="D2970" s="955"/>
      <c r="E2970" s="955"/>
      <c r="F2970" s="955"/>
      <c r="G2970" s="956"/>
      <c r="H2970" s="956"/>
      <c r="I2970" s="956"/>
      <c r="J2970" s="956"/>
      <c r="K2970" s="956"/>
      <c r="Q2970" s="11" t="s">
        <v>1684</v>
      </c>
      <c r="R2970" s="11">
        <f>$AM$29</f>
        <v>140.66759979375703</v>
      </c>
      <c r="AA2970" s="11" t="s">
        <v>1684</v>
      </c>
      <c r="AB2970" s="11">
        <f>$AM$29</f>
        <v>140.66759979375703</v>
      </c>
    </row>
    <row r="2971" spans="4:31" s="29" customFormat="1" x14ac:dyDescent="0.25">
      <c r="D2971" s="955"/>
      <c r="E2971" s="955"/>
      <c r="F2971" s="955"/>
      <c r="G2971" s="956"/>
      <c r="H2971" s="956"/>
      <c r="I2971" s="956"/>
      <c r="J2971" s="956"/>
      <c r="K2971" s="956"/>
      <c r="Q2971" s="11" t="s">
        <v>1685</v>
      </c>
      <c r="R2971" s="11">
        <v>0.6</v>
      </c>
      <c r="AA2971" s="11" t="s">
        <v>1685</v>
      </c>
      <c r="AB2971" s="11">
        <v>0.6</v>
      </c>
    </row>
    <row r="2972" spans="4:31" s="29" customFormat="1" x14ac:dyDescent="0.25">
      <c r="D2972" s="955" t="s">
        <v>7</v>
      </c>
      <c r="E2972" s="955"/>
      <c r="F2972" s="955"/>
      <c r="G2972" s="956" t="s">
        <v>878</v>
      </c>
      <c r="H2972" s="956"/>
      <c r="I2972" s="956"/>
      <c r="J2972" s="956"/>
      <c r="K2972" s="956"/>
      <c r="Q2972" s="11" t="s">
        <v>1708</v>
      </c>
      <c r="R2972" s="11">
        <f>(SUM(R2967:R2970)*R2971)+SUM(R2967:R2970)</f>
        <v>1169.5824969040148</v>
      </c>
      <c r="AA2972" s="11" t="s">
        <v>1708</v>
      </c>
      <c r="AB2972" s="11">
        <f>(SUM(AB2967:AB2970)*AB2971)+SUM(AB2967:AB2970)</f>
        <v>2650.5424969040146</v>
      </c>
    </row>
    <row r="2973" spans="4:31" s="29" customFormat="1" x14ac:dyDescent="0.25">
      <c r="D2973" s="955"/>
      <c r="E2973" s="955"/>
      <c r="F2973" s="955"/>
      <c r="G2973" s="956"/>
      <c r="H2973" s="956"/>
      <c r="I2973" s="956"/>
      <c r="J2973" s="956"/>
      <c r="K2973" s="956"/>
      <c r="Q2973" s="11" t="s">
        <v>2130</v>
      </c>
      <c r="R2973" s="11">
        <f>R2972*0.08</f>
        <v>93.566599752321181</v>
      </c>
      <c r="AA2973" s="11" t="s">
        <v>2130</v>
      </c>
      <c r="AB2973" s="11">
        <f>AB2972*0.08</f>
        <v>212.04339975232116</v>
      </c>
    </row>
    <row r="2974" spans="4:31" s="29" customFormat="1" x14ac:dyDescent="0.25">
      <c r="D2974" s="955"/>
      <c r="E2974" s="955"/>
      <c r="F2974" s="955"/>
      <c r="G2974" s="956"/>
      <c r="H2974" s="956"/>
      <c r="I2974" s="956"/>
      <c r="J2974" s="956"/>
      <c r="K2974" s="956"/>
      <c r="Q2974" s="11" t="s">
        <v>1686</v>
      </c>
      <c r="R2974" s="11">
        <f>SUM(R2972+R2973)</f>
        <v>1263.149096656336</v>
      </c>
      <c r="AA2974" s="11" t="s">
        <v>1686</v>
      </c>
      <c r="AB2974" s="11">
        <f>SUM(AB2972+AB2973)</f>
        <v>2862.5858966563355</v>
      </c>
    </row>
    <row r="2975" spans="4:31" s="29" customFormat="1" x14ac:dyDescent="0.25"/>
    <row r="2976" spans="4:31" s="29" customFormat="1" x14ac:dyDescent="0.25"/>
    <row r="2977" spans="4:31" s="29" customFormat="1" x14ac:dyDescent="0.25">
      <c r="D2977" s="953" t="s">
        <v>8</v>
      </c>
      <c r="E2977" s="953"/>
      <c r="F2977" s="953"/>
      <c r="G2977" s="953"/>
      <c r="H2977" s="953"/>
      <c r="I2977" s="953"/>
      <c r="J2977" s="953"/>
      <c r="K2977" s="953"/>
    </row>
    <row r="2978" spans="4:31" s="29" customFormat="1" x14ac:dyDescent="0.25">
      <c r="D2978" s="954" t="s">
        <v>0</v>
      </c>
      <c r="E2978" s="954"/>
      <c r="F2978" s="954"/>
      <c r="G2978" s="954" t="s">
        <v>1</v>
      </c>
      <c r="H2978" s="954"/>
      <c r="I2978" s="954"/>
      <c r="J2978" s="954"/>
      <c r="K2978" s="954"/>
    </row>
    <row r="2979" spans="4:31" s="29" customFormat="1" x14ac:dyDescent="0.25">
      <c r="D2979" s="955" t="s">
        <v>2</v>
      </c>
      <c r="E2979" s="955"/>
      <c r="F2979" s="955"/>
      <c r="G2979" s="956" t="s">
        <v>880</v>
      </c>
      <c r="H2979" s="956"/>
      <c r="I2979" s="956"/>
      <c r="J2979" s="956"/>
      <c r="K2979" s="956"/>
      <c r="M2979" s="10" t="s">
        <v>336</v>
      </c>
      <c r="N2979" s="10" t="s">
        <v>174</v>
      </c>
      <c r="O2979" s="10" t="s">
        <v>248</v>
      </c>
      <c r="P2979" s="10" t="s">
        <v>176</v>
      </c>
      <c r="Q2979" s="10" t="s">
        <v>337</v>
      </c>
      <c r="R2979" s="10" t="s">
        <v>1641</v>
      </c>
      <c r="S2979" s="10" t="s">
        <v>1642</v>
      </c>
      <c r="T2979" s="10" t="s">
        <v>1643</v>
      </c>
      <c r="U2979" s="10" t="s">
        <v>1644</v>
      </c>
      <c r="W2979" s="10" t="s">
        <v>336</v>
      </c>
      <c r="X2979" s="10" t="s">
        <v>174</v>
      </c>
      <c r="Y2979" s="10" t="s">
        <v>248</v>
      </c>
      <c r="Z2979" s="10" t="s">
        <v>176</v>
      </c>
      <c r="AA2979" s="10" t="s">
        <v>337</v>
      </c>
      <c r="AB2979" s="10" t="s">
        <v>1641</v>
      </c>
      <c r="AC2979" s="10" t="s">
        <v>1642</v>
      </c>
      <c r="AD2979" s="10" t="s">
        <v>1643</v>
      </c>
      <c r="AE2979" s="10" t="s">
        <v>1644</v>
      </c>
    </row>
    <row r="2980" spans="4:31" s="29" customFormat="1" x14ac:dyDescent="0.25">
      <c r="D2980" s="955"/>
      <c r="E2980" s="955"/>
      <c r="F2980" s="955"/>
      <c r="G2980" s="956"/>
      <c r="H2980" s="956"/>
      <c r="I2980" s="956"/>
      <c r="J2980" s="956"/>
      <c r="K2980" s="956"/>
      <c r="M2980" s="11" t="s">
        <v>899</v>
      </c>
      <c r="N2980" s="11">
        <f>M14</f>
        <v>0.75</v>
      </c>
      <c r="O2980" s="11" t="str">
        <f>L14</f>
        <v>g</v>
      </c>
      <c r="P2980" s="11">
        <v>30</v>
      </c>
      <c r="Q2980" s="11">
        <f>N2980*P2980</f>
        <v>22.5</v>
      </c>
      <c r="R2980" s="11">
        <f>AL2</f>
        <v>0.38</v>
      </c>
      <c r="S2980" s="11">
        <f>P2980*R2980</f>
        <v>11.4</v>
      </c>
      <c r="T2980" s="11">
        <f>P2980-S2980</f>
        <v>18.600000000000001</v>
      </c>
      <c r="U2980" s="11">
        <f>Q2980+((S2980*Q2980)/P2980)</f>
        <v>31.05</v>
      </c>
      <c r="W2980" s="11" t="s">
        <v>899</v>
      </c>
      <c r="X2980" s="307">
        <f>M14</f>
        <v>0.75</v>
      </c>
      <c r="Y2980" s="11" t="str">
        <f>L14</f>
        <v>g</v>
      </c>
      <c r="Z2980" s="11">
        <v>30</v>
      </c>
      <c r="AA2980" s="11">
        <f>X2980*Z2980</f>
        <v>22.5</v>
      </c>
      <c r="AB2980" s="11">
        <f>AL2</f>
        <v>0.38</v>
      </c>
      <c r="AC2980" s="11">
        <f>Z2980*AB2980</f>
        <v>11.4</v>
      </c>
      <c r="AD2980" s="11">
        <f>Z2980-AC2980</f>
        <v>18.600000000000001</v>
      </c>
      <c r="AE2980" s="11">
        <f>AA2980+((AC2980*AA2980)/Z2980)</f>
        <v>31.05</v>
      </c>
    </row>
    <row r="2981" spans="4:31" s="29" customFormat="1" x14ac:dyDescent="0.25">
      <c r="D2981" s="955"/>
      <c r="E2981" s="955"/>
      <c r="F2981" s="955"/>
      <c r="G2981" s="956"/>
      <c r="H2981" s="956"/>
      <c r="I2981" s="956"/>
      <c r="J2981" s="956"/>
      <c r="K2981" s="956"/>
      <c r="M2981" s="11" t="s">
        <v>734</v>
      </c>
      <c r="N2981" s="11">
        <f>M9</f>
        <v>4</v>
      </c>
      <c r="O2981" s="11" t="str">
        <f>L9</f>
        <v>g</v>
      </c>
      <c r="P2981" s="11">
        <v>20</v>
      </c>
      <c r="Q2981" s="11">
        <f>N2981*P2981</f>
        <v>80</v>
      </c>
      <c r="R2981" s="11">
        <f>AL10</f>
        <v>0.14000000000000001</v>
      </c>
      <c r="S2981" s="11">
        <f t="shared" ref="S2981:S2984" si="1020">P2981*R2981</f>
        <v>2.8000000000000003</v>
      </c>
      <c r="T2981" s="11">
        <f t="shared" ref="T2981:T2984" si="1021">P2981-S2981</f>
        <v>17.2</v>
      </c>
      <c r="U2981" s="11">
        <f t="shared" ref="U2981:U2984" si="1022">Q2981+((S2981*Q2981)/P2981)</f>
        <v>91.2</v>
      </c>
      <c r="W2981" s="11" t="s">
        <v>734</v>
      </c>
      <c r="X2981" s="307">
        <f>M9</f>
        <v>4</v>
      </c>
      <c r="Y2981" s="11" t="str">
        <f>L9</f>
        <v>g</v>
      </c>
      <c r="Z2981" s="11">
        <v>20</v>
      </c>
      <c r="AA2981" s="11">
        <f>X2981*Z2981</f>
        <v>80</v>
      </c>
      <c r="AB2981" s="11">
        <f>AL10</f>
        <v>0.14000000000000001</v>
      </c>
      <c r="AC2981" s="11">
        <f t="shared" ref="AC2981:AC2984" si="1023">Z2981*AB2981</f>
        <v>2.8000000000000003</v>
      </c>
      <c r="AD2981" s="11">
        <f t="shared" ref="AD2981:AD2984" si="1024">Z2981-AC2981</f>
        <v>17.2</v>
      </c>
      <c r="AE2981" s="11">
        <f t="shared" ref="AE2981:AE2984" si="1025">AA2981+((AC2981*AA2981)/Z2981)</f>
        <v>91.2</v>
      </c>
    </row>
    <row r="2982" spans="4:31" s="29" customFormat="1" x14ac:dyDescent="0.25">
      <c r="D2982" s="954" t="s">
        <v>0</v>
      </c>
      <c r="E2982" s="954"/>
      <c r="F2982" s="954"/>
      <c r="G2982" s="954" t="s">
        <v>1</v>
      </c>
      <c r="H2982" s="954"/>
      <c r="I2982" s="954"/>
      <c r="J2982" s="954"/>
      <c r="K2982" s="954"/>
      <c r="M2982" s="11" t="s">
        <v>934</v>
      </c>
      <c r="N2982" s="11">
        <f>M27</f>
        <v>4</v>
      </c>
      <c r="O2982" s="11" t="str">
        <f>L27</f>
        <v>g</v>
      </c>
      <c r="P2982" s="11">
        <v>20</v>
      </c>
      <c r="Q2982" s="11">
        <f>N2982*P2982</f>
        <v>80</v>
      </c>
      <c r="R2982" s="11">
        <f>AL15</f>
        <v>0.26</v>
      </c>
      <c r="S2982" s="11">
        <f t="shared" si="1020"/>
        <v>5.2</v>
      </c>
      <c r="T2982" s="11">
        <f t="shared" si="1021"/>
        <v>14.8</v>
      </c>
      <c r="U2982" s="11">
        <f t="shared" si="1022"/>
        <v>100.8</v>
      </c>
      <c r="W2982" s="11" t="s">
        <v>934</v>
      </c>
      <c r="X2982" s="307">
        <f>M27</f>
        <v>4</v>
      </c>
      <c r="Y2982" s="11" t="str">
        <f>L27</f>
        <v>g</v>
      </c>
      <c r="Z2982" s="11">
        <v>20</v>
      </c>
      <c r="AA2982" s="11">
        <f>X2982*Z2982</f>
        <v>80</v>
      </c>
      <c r="AB2982" s="11">
        <f>AL15</f>
        <v>0.26</v>
      </c>
      <c r="AC2982" s="11">
        <f t="shared" si="1023"/>
        <v>5.2</v>
      </c>
      <c r="AD2982" s="11">
        <f t="shared" si="1024"/>
        <v>14.8</v>
      </c>
      <c r="AE2982" s="11">
        <f t="shared" si="1025"/>
        <v>100.8</v>
      </c>
    </row>
    <row r="2983" spans="4:31" s="29" customFormat="1" x14ac:dyDescent="0.25">
      <c r="D2983" s="955" t="s">
        <v>3</v>
      </c>
      <c r="E2983" s="955"/>
      <c r="F2983" s="955"/>
      <c r="G2983" s="957" t="s">
        <v>879</v>
      </c>
      <c r="H2983" s="956"/>
      <c r="I2983" s="956"/>
      <c r="J2983" s="956"/>
      <c r="K2983" s="956"/>
      <c r="M2983" s="11" t="s">
        <v>443</v>
      </c>
      <c r="N2983" s="11">
        <f>Y7</f>
        <v>3.6</v>
      </c>
      <c r="O2983" s="11" t="str">
        <f>X7</f>
        <v>g</v>
      </c>
      <c r="P2983" s="11">
        <v>4</v>
      </c>
      <c r="Q2983" s="11">
        <f>N2983*P2983</f>
        <v>14.4</v>
      </c>
      <c r="R2983" s="11">
        <v>0</v>
      </c>
      <c r="S2983" s="11">
        <f t="shared" si="1020"/>
        <v>0</v>
      </c>
      <c r="T2983" s="11">
        <f t="shared" si="1021"/>
        <v>4</v>
      </c>
      <c r="U2983" s="11">
        <f t="shared" si="1022"/>
        <v>14.4</v>
      </c>
      <c r="W2983" s="11" t="s">
        <v>1882</v>
      </c>
      <c r="X2983" s="307">
        <f>AE34</f>
        <v>235</v>
      </c>
      <c r="Y2983" s="11" t="str">
        <f>AD34</f>
        <v>g</v>
      </c>
      <c r="Z2983" s="11">
        <v>4</v>
      </c>
      <c r="AA2983" s="11">
        <f>X2983*Z2983</f>
        <v>940</v>
      </c>
      <c r="AB2983" s="11">
        <v>0</v>
      </c>
      <c r="AC2983" s="11">
        <f t="shared" si="1023"/>
        <v>0</v>
      </c>
      <c r="AD2983" s="11">
        <f t="shared" si="1024"/>
        <v>4</v>
      </c>
      <c r="AE2983" s="11">
        <f t="shared" si="1025"/>
        <v>940</v>
      </c>
    </row>
    <row r="2984" spans="4:31" s="29" customFormat="1" x14ac:dyDescent="0.25">
      <c r="D2984" s="955"/>
      <c r="E2984" s="955"/>
      <c r="F2984" s="955"/>
      <c r="G2984" s="956"/>
      <c r="H2984" s="956"/>
      <c r="I2984" s="956"/>
      <c r="J2984" s="956"/>
      <c r="K2984" s="956"/>
      <c r="M2984" s="11" t="s">
        <v>902</v>
      </c>
      <c r="N2984" s="11">
        <f>Y23</f>
        <v>30</v>
      </c>
      <c r="O2984" s="11" t="str">
        <f>X23</f>
        <v>g</v>
      </c>
      <c r="P2984" s="11">
        <v>5</v>
      </c>
      <c r="Q2984" s="11">
        <f>N2984*P2984</f>
        <v>150</v>
      </c>
      <c r="R2984" s="11">
        <v>0</v>
      </c>
      <c r="S2984" s="11">
        <f t="shared" si="1020"/>
        <v>0</v>
      </c>
      <c r="T2984" s="11">
        <f t="shared" si="1021"/>
        <v>5</v>
      </c>
      <c r="U2984" s="11">
        <f t="shared" si="1022"/>
        <v>150</v>
      </c>
      <c r="W2984" s="11" t="s">
        <v>902</v>
      </c>
      <c r="X2984" s="307">
        <f>Y23</f>
        <v>30</v>
      </c>
      <c r="Y2984" s="11" t="str">
        <f>X23</f>
        <v>g</v>
      </c>
      <c r="Z2984" s="11">
        <v>5</v>
      </c>
      <c r="AA2984" s="11">
        <f>X2984*Z2984</f>
        <v>150</v>
      </c>
      <c r="AB2984" s="11">
        <v>0</v>
      </c>
      <c r="AC2984" s="11">
        <f t="shared" si="1023"/>
        <v>0</v>
      </c>
      <c r="AD2984" s="11">
        <f t="shared" si="1024"/>
        <v>5</v>
      </c>
      <c r="AE2984" s="11">
        <f t="shared" si="1025"/>
        <v>150</v>
      </c>
    </row>
    <row r="2985" spans="4:31" s="29" customFormat="1" x14ac:dyDescent="0.25">
      <c r="D2985" s="955"/>
      <c r="E2985" s="955"/>
      <c r="F2985" s="955"/>
      <c r="G2985" s="956"/>
      <c r="H2985" s="956"/>
      <c r="I2985" s="956"/>
      <c r="J2985" s="956"/>
      <c r="K2985" s="956"/>
      <c r="M2985" s="11"/>
      <c r="N2985" s="11"/>
      <c r="O2985" s="11"/>
      <c r="P2985" s="11"/>
      <c r="Q2985" s="11"/>
      <c r="R2985" s="11"/>
      <c r="S2985" s="11"/>
      <c r="T2985" s="11"/>
      <c r="U2985" s="11"/>
      <c r="W2985" s="11"/>
      <c r="X2985" s="11"/>
      <c r="Y2985" s="11"/>
      <c r="Z2985" s="11"/>
      <c r="AA2985" s="11"/>
      <c r="AB2985" s="11"/>
      <c r="AC2985" s="11"/>
      <c r="AD2985" s="11"/>
      <c r="AE2985" s="11"/>
    </row>
    <row r="2986" spans="4:31" s="29" customFormat="1" x14ac:dyDescent="0.25">
      <c r="D2986" s="955" t="s">
        <v>4</v>
      </c>
      <c r="E2986" s="955"/>
      <c r="F2986" s="955"/>
      <c r="G2986" s="956" t="s">
        <v>825</v>
      </c>
      <c r="H2986" s="956"/>
      <c r="I2986" s="956"/>
      <c r="J2986" s="956"/>
      <c r="K2986" s="956"/>
      <c r="M2986" s="11"/>
      <c r="N2986" s="11"/>
      <c r="O2986" s="11"/>
      <c r="P2986" s="11"/>
      <c r="Q2986" s="11"/>
      <c r="R2986" s="11"/>
      <c r="S2986" s="11"/>
      <c r="T2986" s="11"/>
      <c r="U2986" s="11"/>
      <c r="W2986" s="11"/>
      <c r="X2986" s="11"/>
      <c r="Y2986" s="11"/>
      <c r="Z2986" s="11"/>
      <c r="AA2986" s="11"/>
      <c r="AB2986" s="11"/>
      <c r="AC2986" s="11"/>
      <c r="AD2986" s="11"/>
      <c r="AE2986" s="11"/>
    </row>
    <row r="2987" spans="4:31" s="29" customFormat="1" x14ac:dyDescent="0.25">
      <c r="D2987" s="955"/>
      <c r="E2987" s="955"/>
      <c r="F2987" s="955"/>
      <c r="G2987" s="956"/>
      <c r="H2987" s="956"/>
      <c r="I2987" s="956"/>
      <c r="J2987" s="956"/>
      <c r="K2987" s="956"/>
      <c r="M2987" s="11"/>
      <c r="N2987" s="11"/>
      <c r="O2987" s="11"/>
      <c r="P2987" s="11"/>
      <c r="Q2987" s="11"/>
      <c r="R2987" s="11"/>
      <c r="S2987" s="11"/>
      <c r="T2987" s="11"/>
      <c r="U2987" s="11"/>
      <c r="W2987" s="11"/>
      <c r="X2987" s="11"/>
      <c r="Y2987" s="11"/>
      <c r="Z2987" s="11"/>
      <c r="AA2987" s="11"/>
      <c r="AB2987" s="11"/>
      <c r="AC2987" s="11"/>
      <c r="AD2987" s="11"/>
      <c r="AE2987" s="11"/>
    </row>
    <row r="2988" spans="4:31" s="29" customFormat="1" x14ac:dyDescent="0.25">
      <c r="D2988" s="955"/>
      <c r="E2988" s="955"/>
      <c r="F2988" s="955"/>
      <c r="G2988" s="956"/>
      <c r="H2988" s="956"/>
      <c r="I2988" s="956"/>
      <c r="J2988" s="956"/>
      <c r="K2988" s="956"/>
      <c r="M2988" s="11" t="s">
        <v>337</v>
      </c>
      <c r="N2988" s="11">
        <f>SUM(N2980:N2987)</f>
        <v>42.35</v>
      </c>
      <c r="O2988" s="11"/>
      <c r="P2988" s="11">
        <f>SUM(P2980:P2987)</f>
        <v>79</v>
      </c>
      <c r="Q2988" s="11">
        <f>SUM(Q2980:Q2987)</f>
        <v>346.9</v>
      </c>
      <c r="R2988" s="11"/>
      <c r="S2988" s="11"/>
      <c r="T2988" s="11"/>
      <c r="U2988" s="11">
        <f>SUM(U2980:U2987)</f>
        <v>387.45000000000005</v>
      </c>
      <c r="W2988" s="11" t="s">
        <v>337</v>
      </c>
      <c r="X2988" s="11">
        <f>SUM(X2980:X2987)</f>
        <v>273.75</v>
      </c>
      <c r="Y2988" s="11"/>
      <c r="Z2988" s="11">
        <f>SUM(Z2980:Z2987)</f>
        <v>79</v>
      </c>
      <c r="AA2988" s="11">
        <f>SUM(AA2980:AA2987)</f>
        <v>1272.5</v>
      </c>
      <c r="AB2988" s="11"/>
      <c r="AC2988" s="11"/>
      <c r="AD2988" s="11"/>
      <c r="AE2988" s="11">
        <f>SUM(AE2980:AE2987)</f>
        <v>1313.05</v>
      </c>
    </row>
    <row r="2989" spans="4:31" s="29" customFormat="1" x14ac:dyDescent="0.25">
      <c r="D2989" s="955" t="s">
        <v>5</v>
      </c>
      <c r="E2989" s="955"/>
      <c r="F2989" s="955"/>
      <c r="G2989" s="956" t="s">
        <v>881</v>
      </c>
      <c r="H2989" s="956"/>
      <c r="I2989" s="956"/>
      <c r="J2989" s="956"/>
      <c r="K2989" s="956"/>
    </row>
    <row r="2990" spans="4:31" s="29" customFormat="1" x14ac:dyDescent="0.25">
      <c r="D2990" s="955"/>
      <c r="E2990" s="955"/>
      <c r="F2990" s="955"/>
      <c r="G2990" s="956"/>
      <c r="H2990" s="956"/>
      <c r="I2990" s="956"/>
      <c r="J2990" s="956"/>
      <c r="K2990" s="956"/>
      <c r="Q2990" s="11" t="s">
        <v>1681</v>
      </c>
      <c r="R2990" s="11">
        <f>U2988</f>
        <v>387.45000000000005</v>
      </c>
      <c r="S2990" s="608" t="s">
        <v>2142</v>
      </c>
      <c r="T2990" s="608">
        <f>(R2990*100)/R2997</f>
        <v>30.4835952325584</v>
      </c>
      <c r="AA2990" s="11" t="s">
        <v>1681</v>
      </c>
      <c r="AB2990" s="11">
        <f>AE2988</f>
        <v>1313.05</v>
      </c>
      <c r="AC2990" s="608" t="s">
        <v>2142</v>
      </c>
      <c r="AD2990" s="608">
        <f>(AB2990*100)/AB2997</f>
        <v>45.743725867820594</v>
      </c>
    </row>
    <row r="2991" spans="4:31" s="29" customFormat="1" x14ac:dyDescent="0.25">
      <c r="D2991" s="955"/>
      <c r="E2991" s="955"/>
      <c r="F2991" s="955"/>
      <c r="G2991" s="956"/>
      <c r="H2991" s="956"/>
      <c r="I2991" s="956"/>
      <c r="J2991" s="956"/>
      <c r="K2991" s="956"/>
      <c r="Q2991" s="11" t="s">
        <v>2326</v>
      </c>
      <c r="R2991" s="11">
        <f>$AM$26</f>
        <v>131.82146077125219</v>
      </c>
      <c r="AA2991" s="11" t="s">
        <v>2326</v>
      </c>
      <c r="AB2991" s="11">
        <f>$AM$26</f>
        <v>131.82146077125219</v>
      </c>
    </row>
    <row r="2992" spans="4:31" s="29" customFormat="1" x14ac:dyDescent="0.25">
      <c r="D2992" s="955" t="s">
        <v>6</v>
      </c>
      <c r="E2992" s="955"/>
      <c r="F2992" s="955"/>
      <c r="G2992" s="956" t="s">
        <v>9</v>
      </c>
      <c r="H2992" s="956"/>
      <c r="I2992" s="956"/>
      <c r="J2992" s="956"/>
      <c r="K2992" s="956"/>
      <c r="Q2992" s="11" t="s">
        <v>2325</v>
      </c>
      <c r="R2992" s="11">
        <f>$AM$27</f>
        <v>75.599999999999994</v>
      </c>
      <c r="AA2992" s="11" t="s">
        <v>2325</v>
      </c>
      <c r="AB2992" s="11">
        <f>$AM$27</f>
        <v>75.599999999999994</v>
      </c>
    </row>
    <row r="2993" spans="4:31" s="29" customFormat="1" x14ac:dyDescent="0.25">
      <c r="D2993" s="955"/>
      <c r="E2993" s="955"/>
      <c r="F2993" s="955"/>
      <c r="G2993" s="956"/>
      <c r="H2993" s="956"/>
      <c r="I2993" s="956"/>
      <c r="J2993" s="956"/>
      <c r="K2993" s="956"/>
      <c r="Q2993" s="11" t="s">
        <v>1684</v>
      </c>
      <c r="R2993" s="11">
        <f>$AM$29</f>
        <v>140.66759979375703</v>
      </c>
      <c r="AA2993" s="11" t="s">
        <v>1684</v>
      </c>
      <c r="AB2993" s="11">
        <f>$AM$29</f>
        <v>140.66759979375703</v>
      </c>
    </row>
    <row r="2994" spans="4:31" s="29" customFormat="1" x14ac:dyDescent="0.25">
      <c r="D2994" s="955"/>
      <c r="E2994" s="955"/>
      <c r="F2994" s="955"/>
      <c r="G2994" s="956"/>
      <c r="H2994" s="956"/>
      <c r="I2994" s="956"/>
      <c r="J2994" s="956"/>
      <c r="K2994" s="956"/>
      <c r="Q2994" s="11" t="s">
        <v>1685</v>
      </c>
      <c r="R2994" s="11">
        <v>0.6</v>
      </c>
      <c r="AA2994" s="11" t="s">
        <v>1685</v>
      </c>
      <c r="AB2994" s="11">
        <v>0.6</v>
      </c>
    </row>
    <row r="2995" spans="4:31" s="29" customFormat="1" x14ac:dyDescent="0.25">
      <c r="D2995" s="955" t="s">
        <v>7</v>
      </c>
      <c r="E2995" s="955"/>
      <c r="F2995" s="955"/>
      <c r="G2995" s="956" t="s">
        <v>882</v>
      </c>
      <c r="H2995" s="956"/>
      <c r="I2995" s="956"/>
      <c r="J2995" s="956"/>
      <c r="K2995" s="956"/>
      <c r="Q2995" s="11" t="s">
        <v>1708</v>
      </c>
      <c r="R2995" s="11">
        <f>(SUM(R2990:R2993)*R2994)+SUM(R2990:R2993)</f>
        <v>1176.862496904015</v>
      </c>
      <c r="AA2995" s="11" t="s">
        <v>1708</v>
      </c>
      <c r="AB2995" s="11">
        <f>(SUM(AB2990:AB2993)*AB2994)+SUM(AB2990:AB2993)</f>
        <v>2657.8224969040148</v>
      </c>
    </row>
    <row r="2996" spans="4:31" s="29" customFormat="1" x14ac:dyDescent="0.25">
      <c r="D2996" s="955"/>
      <c r="E2996" s="955"/>
      <c r="F2996" s="955"/>
      <c r="G2996" s="956"/>
      <c r="H2996" s="956"/>
      <c r="I2996" s="956"/>
      <c r="J2996" s="956"/>
      <c r="K2996" s="956"/>
      <c r="Q2996" s="11" t="s">
        <v>2130</v>
      </c>
      <c r="R2996" s="11">
        <f>R2995*0.08</f>
        <v>94.148999752321203</v>
      </c>
      <c r="AA2996" s="11" t="s">
        <v>2130</v>
      </c>
      <c r="AB2996" s="11">
        <f>AB2995*0.08</f>
        <v>212.6257997523212</v>
      </c>
    </row>
    <row r="2997" spans="4:31" s="29" customFormat="1" x14ac:dyDescent="0.25">
      <c r="D2997" s="955"/>
      <c r="E2997" s="955"/>
      <c r="F2997" s="955"/>
      <c r="G2997" s="956"/>
      <c r="H2997" s="956"/>
      <c r="I2997" s="956"/>
      <c r="J2997" s="956"/>
      <c r="K2997" s="956"/>
      <c r="Q2997" s="11" t="s">
        <v>1686</v>
      </c>
      <c r="R2997" s="11">
        <f>SUM(R2995+R2996)</f>
        <v>1271.0114966563362</v>
      </c>
      <c r="AA2997" s="11" t="s">
        <v>1686</v>
      </c>
      <c r="AB2997" s="11">
        <f>SUM(AB2995+AB2996)</f>
        <v>2870.448296656336</v>
      </c>
    </row>
    <row r="2998" spans="4:31" s="29" customFormat="1" x14ac:dyDescent="0.25"/>
    <row r="2999" spans="4:31" s="29" customFormat="1" x14ac:dyDescent="0.25"/>
    <row r="3000" spans="4:31" s="29" customFormat="1" x14ac:dyDescent="0.25">
      <c r="D3000" s="953" t="s">
        <v>8</v>
      </c>
      <c r="E3000" s="953"/>
      <c r="F3000" s="953"/>
      <c r="G3000" s="953"/>
      <c r="H3000" s="953"/>
      <c r="I3000" s="953"/>
      <c r="J3000" s="953"/>
      <c r="K3000" s="953"/>
    </row>
    <row r="3001" spans="4:31" s="29" customFormat="1" x14ac:dyDescent="0.25">
      <c r="D3001" s="954" t="s">
        <v>0</v>
      </c>
      <c r="E3001" s="954"/>
      <c r="F3001" s="954"/>
      <c r="G3001" s="954" t="s">
        <v>1</v>
      </c>
      <c r="H3001" s="954"/>
      <c r="I3001" s="954"/>
      <c r="J3001" s="954"/>
      <c r="K3001" s="954"/>
    </row>
    <row r="3002" spans="4:31" s="29" customFormat="1" x14ac:dyDescent="0.25">
      <c r="D3002" s="955" t="s">
        <v>2</v>
      </c>
      <c r="E3002" s="955"/>
      <c r="F3002" s="955"/>
      <c r="G3002" s="956" t="s">
        <v>883</v>
      </c>
      <c r="H3002" s="956"/>
      <c r="I3002" s="956"/>
      <c r="J3002" s="956"/>
      <c r="K3002" s="956"/>
      <c r="M3002" s="10" t="s">
        <v>336</v>
      </c>
      <c r="N3002" s="10" t="s">
        <v>174</v>
      </c>
      <c r="O3002" s="10" t="s">
        <v>248</v>
      </c>
      <c r="P3002" s="10" t="s">
        <v>176</v>
      </c>
      <c r="Q3002" s="10" t="s">
        <v>337</v>
      </c>
      <c r="R3002" s="10" t="s">
        <v>1641</v>
      </c>
      <c r="S3002" s="10" t="s">
        <v>1642</v>
      </c>
      <c r="T3002" s="10" t="s">
        <v>1643</v>
      </c>
      <c r="U3002" s="10" t="s">
        <v>1644</v>
      </c>
      <c r="W3002" s="10" t="s">
        <v>336</v>
      </c>
      <c r="X3002" s="10" t="s">
        <v>174</v>
      </c>
      <c r="Y3002" s="10" t="s">
        <v>248</v>
      </c>
      <c r="Z3002" s="10" t="s">
        <v>176</v>
      </c>
      <c r="AA3002" s="10" t="s">
        <v>337</v>
      </c>
      <c r="AB3002" s="10" t="s">
        <v>1641</v>
      </c>
      <c r="AC3002" s="10" t="s">
        <v>1642</v>
      </c>
      <c r="AD3002" s="10" t="s">
        <v>1643</v>
      </c>
      <c r="AE3002" s="10" t="s">
        <v>1644</v>
      </c>
    </row>
    <row r="3003" spans="4:31" s="29" customFormat="1" x14ac:dyDescent="0.25">
      <c r="D3003" s="955"/>
      <c r="E3003" s="955"/>
      <c r="F3003" s="955"/>
      <c r="G3003" s="956"/>
      <c r="H3003" s="956"/>
      <c r="I3003" s="956"/>
      <c r="J3003" s="956"/>
      <c r="K3003" s="956"/>
      <c r="M3003" s="11" t="s">
        <v>899</v>
      </c>
      <c r="N3003" s="11">
        <f>M14</f>
        <v>0.75</v>
      </c>
      <c r="O3003" s="11" t="str">
        <f>L14</f>
        <v>g</v>
      </c>
      <c r="P3003" s="11">
        <v>20</v>
      </c>
      <c r="Q3003" s="11">
        <f>N3003*P3003</f>
        <v>15</v>
      </c>
      <c r="R3003" s="11">
        <f>AL2</f>
        <v>0.38</v>
      </c>
      <c r="S3003" s="11">
        <f>P3003*R3003</f>
        <v>7.6</v>
      </c>
      <c r="T3003" s="11">
        <f>P3003-S3003</f>
        <v>12.4</v>
      </c>
      <c r="U3003" s="11">
        <f>Q3003+((S3003*Q3003)/P3003)</f>
        <v>20.7</v>
      </c>
      <c r="W3003" s="11" t="s">
        <v>899</v>
      </c>
      <c r="X3003" s="307">
        <f>M14</f>
        <v>0.75</v>
      </c>
      <c r="Y3003" s="11" t="str">
        <f>L14</f>
        <v>g</v>
      </c>
      <c r="Z3003" s="11">
        <v>20</v>
      </c>
      <c r="AA3003" s="11">
        <f>X3003*Z3003</f>
        <v>15</v>
      </c>
      <c r="AB3003" s="11">
        <f>AL2</f>
        <v>0.38</v>
      </c>
      <c r="AC3003" s="11">
        <f>Z3003*AB3003</f>
        <v>7.6</v>
      </c>
      <c r="AD3003" s="11">
        <f>Z3003-AC3003</f>
        <v>12.4</v>
      </c>
      <c r="AE3003" s="11">
        <f>AA3003+((AC3003*AA3003)/Z3003)</f>
        <v>20.7</v>
      </c>
    </row>
    <row r="3004" spans="4:31" s="29" customFormat="1" x14ac:dyDescent="0.25">
      <c r="D3004" s="955"/>
      <c r="E3004" s="955"/>
      <c r="F3004" s="955"/>
      <c r="G3004" s="956"/>
      <c r="H3004" s="956"/>
      <c r="I3004" s="956"/>
      <c r="J3004" s="956"/>
      <c r="K3004" s="956"/>
      <c r="M3004" s="11" t="s">
        <v>734</v>
      </c>
      <c r="N3004" s="11">
        <f>M9</f>
        <v>4</v>
      </c>
      <c r="O3004" s="11" t="str">
        <f>L9</f>
        <v>g</v>
      </c>
      <c r="P3004" s="11">
        <v>30</v>
      </c>
      <c r="Q3004" s="11">
        <f t="shared" ref="Q3004:Q3005" si="1026">N3004*P3004</f>
        <v>120</v>
      </c>
      <c r="R3004" s="11">
        <f>AL10</f>
        <v>0.14000000000000001</v>
      </c>
      <c r="S3004" s="11">
        <f t="shared" ref="S3004:S3007" si="1027">P3004*R3004</f>
        <v>4.2</v>
      </c>
      <c r="T3004" s="11">
        <f t="shared" ref="T3004:T3007" si="1028">P3004-S3004</f>
        <v>25.8</v>
      </c>
      <c r="U3004" s="11">
        <f t="shared" ref="U3004:U3007" si="1029">Q3004+((S3004*Q3004)/P3004)</f>
        <v>136.80000000000001</v>
      </c>
      <c r="W3004" s="11" t="s">
        <v>734</v>
      </c>
      <c r="X3004" s="307">
        <f>M9</f>
        <v>4</v>
      </c>
      <c r="Y3004" s="11" t="str">
        <f>L9</f>
        <v>g</v>
      </c>
      <c r="Z3004" s="11">
        <v>30</v>
      </c>
      <c r="AA3004" s="11">
        <f t="shared" ref="AA3004:AA3005" si="1030">X3004*Z3004</f>
        <v>120</v>
      </c>
      <c r="AB3004" s="11">
        <f>AL10</f>
        <v>0.14000000000000001</v>
      </c>
      <c r="AC3004" s="11">
        <f t="shared" ref="AC3004:AC3006" si="1031">Z3004*AB3004</f>
        <v>4.2</v>
      </c>
      <c r="AD3004" s="11">
        <f t="shared" ref="AD3004:AD3006" si="1032">Z3004-AC3004</f>
        <v>25.8</v>
      </c>
      <c r="AE3004" s="11">
        <f t="shared" ref="AE3004:AE3006" si="1033">AA3004+((AC3004*AA3004)/Z3004)</f>
        <v>136.80000000000001</v>
      </c>
    </row>
    <row r="3005" spans="4:31" s="29" customFormat="1" x14ac:dyDescent="0.25">
      <c r="D3005" s="954" t="s">
        <v>0</v>
      </c>
      <c r="E3005" s="954"/>
      <c r="F3005" s="954"/>
      <c r="G3005" s="954" t="s">
        <v>1</v>
      </c>
      <c r="H3005" s="954"/>
      <c r="I3005" s="954"/>
      <c r="J3005" s="954"/>
      <c r="K3005" s="954"/>
      <c r="M3005" s="11" t="s">
        <v>742</v>
      </c>
      <c r="N3005" s="11">
        <f>M3</f>
        <v>4</v>
      </c>
      <c r="O3005" s="11" t="str">
        <f>L3</f>
        <v>g</v>
      </c>
      <c r="P3005" s="11">
        <v>20</v>
      </c>
      <c r="Q3005" s="11">
        <f t="shared" si="1026"/>
        <v>80</v>
      </c>
      <c r="R3005" s="11">
        <v>0</v>
      </c>
      <c r="S3005" s="11">
        <f t="shared" si="1027"/>
        <v>0</v>
      </c>
      <c r="T3005" s="11">
        <f t="shared" si="1028"/>
        <v>20</v>
      </c>
      <c r="U3005" s="11">
        <f t="shared" si="1029"/>
        <v>80</v>
      </c>
      <c r="W3005" s="11" t="s">
        <v>742</v>
      </c>
      <c r="X3005" s="307">
        <f>M3</f>
        <v>4</v>
      </c>
      <c r="Y3005" s="11" t="str">
        <f>L3</f>
        <v>g</v>
      </c>
      <c r="Z3005" s="11">
        <v>20</v>
      </c>
      <c r="AA3005" s="11">
        <f t="shared" si="1030"/>
        <v>80</v>
      </c>
      <c r="AB3005" s="11">
        <v>0</v>
      </c>
      <c r="AC3005" s="11">
        <f t="shared" si="1031"/>
        <v>0</v>
      </c>
      <c r="AD3005" s="11">
        <f t="shared" si="1032"/>
        <v>20</v>
      </c>
      <c r="AE3005" s="11">
        <f t="shared" si="1033"/>
        <v>80</v>
      </c>
    </row>
    <row r="3006" spans="4:31" s="29" customFormat="1" x14ac:dyDescent="0.25">
      <c r="D3006" s="955" t="s">
        <v>3</v>
      </c>
      <c r="E3006" s="955"/>
      <c r="F3006" s="955"/>
      <c r="G3006" s="957" t="s">
        <v>884</v>
      </c>
      <c r="H3006" s="956"/>
      <c r="I3006" s="956"/>
      <c r="J3006" s="956"/>
      <c r="K3006" s="956"/>
      <c r="M3006" s="11" t="s">
        <v>443</v>
      </c>
      <c r="N3006" s="11">
        <f>Y7</f>
        <v>3.6</v>
      </c>
      <c r="O3006" s="11" t="str">
        <f>X7</f>
        <v>g</v>
      </c>
      <c r="P3006" s="11">
        <v>4</v>
      </c>
      <c r="Q3006" s="11">
        <f>N3006*P3006</f>
        <v>14.4</v>
      </c>
      <c r="R3006" s="11">
        <v>0</v>
      </c>
      <c r="S3006" s="11">
        <f t="shared" si="1027"/>
        <v>0</v>
      </c>
      <c r="T3006" s="11">
        <f t="shared" si="1028"/>
        <v>4</v>
      </c>
      <c r="U3006" s="11">
        <f t="shared" si="1029"/>
        <v>14.4</v>
      </c>
      <c r="W3006" s="11" t="s">
        <v>1882</v>
      </c>
      <c r="X3006" s="307">
        <f>AE34</f>
        <v>235</v>
      </c>
      <c r="Y3006" s="11" t="str">
        <f>AD34</f>
        <v>g</v>
      </c>
      <c r="Z3006" s="11">
        <v>4</v>
      </c>
      <c r="AA3006" s="11">
        <f>X3006*Z3006</f>
        <v>940</v>
      </c>
      <c r="AB3006" s="11">
        <v>0</v>
      </c>
      <c r="AC3006" s="11">
        <f t="shared" si="1031"/>
        <v>0</v>
      </c>
      <c r="AD3006" s="11">
        <f t="shared" si="1032"/>
        <v>4</v>
      </c>
      <c r="AE3006" s="11">
        <f t="shared" si="1033"/>
        <v>940</v>
      </c>
    </row>
    <row r="3007" spans="4:31" s="29" customFormat="1" x14ac:dyDescent="0.25">
      <c r="D3007" s="955"/>
      <c r="E3007" s="955"/>
      <c r="F3007" s="955"/>
      <c r="G3007" s="956"/>
      <c r="H3007" s="956"/>
      <c r="I3007" s="956"/>
      <c r="J3007" s="956"/>
      <c r="K3007" s="956"/>
      <c r="M3007" s="11" t="s">
        <v>735</v>
      </c>
      <c r="N3007" s="307">
        <f>V3</f>
        <v>42.67</v>
      </c>
      <c r="O3007" s="11" t="str">
        <f>U3</f>
        <v>g</v>
      </c>
      <c r="P3007" s="11">
        <v>20</v>
      </c>
      <c r="Q3007" s="11">
        <f>N3007*P3007</f>
        <v>853.40000000000009</v>
      </c>
      <c r="R3007" s="11">
        <v>0</v>
      </c>
      <c r="S3007" s="11">
        <f t="shared" si="1027"/>
        <v>0</v>
      </c>
      <c r="T3007" s="11">
        <f t="shared" si="1028"/>
        <v>20</v>
      </c>
      <c r="U3007" s="11">
        <f t="shared" si="1029"/>
        <v>853.40000000000009</v>
      </c>
      <c r="W3007" s="11"/>
      <c r="X3007" s="11"/>
      <c r="Y3007" s="11"/>
      <c r="Z3007" s="11"/>
      <c r="AA3007" s="11"/>
      <c r="AB3007" s="11"/>
      <c r="AC3007" s="11"/>
      <c r="AD3007" s="11"/>
      <c r="AE3007" s="11"/>
    </row>
    <row r="3008" spans="4:31" s="29" customFormat="1" x14ac:dyDescent="0.25">
      <c r="D3008" s="955"/>
      <c r="E3008" s="955"/>
      <c r="F3008" s="955"/>
      <c r="G3008" s="956"/>
      <c r="H3008" s="956"/>
      <c r="I3008" s="956"/>
      <c r="J3008" s="956"/>
      <c r="K3008" s="956"/>
      <c r="M3008" s="11"/>
      <c r="N3008" s="11"/>
      <c r="O3008" s="11"/>
      <c r="P3008" s="11"/>
      <c r="Q3008" s="11"/>
      <c r="R3008" s="11"/>
      <c r="S3008" s="11"/>
      <c r="T3008" s="11"/>
      <c r="U3008" s="11"/>
      <c r="W3008" s="11"/>
      <c r="X3008" s="11"/>
      <c r="Y3008" s="11"/>
      <c r="Z3008" s="11"/>
      <c r="AA3008" s="11"/>
      <c r="AB3008" s="11"/>
      <c r="AC3008" s="11"/>
      <c r="AD3008" s="11"/>
      <c r="AE3008" s="11"/>
    </row>
    <row r="3009" spans="4:31" s="29" customFormat="1" x14ac:dyDescent="0.25">
      <c r="D3009" s="955" t="s">
        <v>4</v>
      </c>
      <c r="E3009" s="955"/>
      <c r="F3009" s="955"/>
      <c r="G3009" s="956" t="s">
        <v>825</v>
      </c>
      <c r="H3009" s="956"/>
      <c r="I3009" s="956"/>
      <c r="J3009" s="956"/>
      <c r="K3009" s="956"/>
      <c r="M3009" s="11" t="s">
        <v>337</v>
      </c>
      <c r="N3009" s="11">
        <f>SUM(N3003:N3008)</f>
        <v>55.02</v>
      </c>
      <c r="O3009" s="11"/>
      <c r="P3009" s="11">
        <f>SUM(P3003:P3008)</f>
        <v>94</v>
      </c>
      <c r="Q3009" s="11">
        <f>SUM(Q3003:Q3008)</f>
        <v>1082.8000000000002</v>
      </c>
      <c r="R3009" s="11"/>
      <c r="S3009" s="11"/>
      <c r="T3009" s="11"/>
      <c r="U3009" s="11">
        <f>SUM(U3003:U3008)</f>
        <v>1105.3000000000002</v>
      </c>
      <c r="W3009" s="11" t="s">
        <v>337</v>
      </c>
      <c r="X3009" s="11">
        <f>SUM(X3003:X3008)</f>
        <v>243.75</v>
      </c>
      <c r="Y3009" s="11"/>
      <c r="Z3009" s="11">
        <f>SUM(Z3003:Z3008)</f>
        <v>74</v>
      </c>
      <c r="AA3009" s="11">
        <f>SUM(AA3003:AA3008)</f>
        <v>1155</v>
      </c>
      <c r="AB3009" s="11"/>
      <c r="AC3009" s="11"/>
      <c r="AD3009" s="11"/>
      <c r="AE3009" s="11">
        <f>SUM(AE3003:AE3008)</f>
        <v>1177.5</v>
      </c>
    </row>
    <row r="3010" spans="4:31" s="29" customFormat="1" x14ac:dyDescent="0.25">
      <c r="D3010" s="955"/>
      <c r="E3010" s="955"/>
      <c r="F3010" s="955"/>
      <c r="G3010" s="956"/>
      <c r="H3010" s="956"/>
      <c r="I3010" s="956"/>
      <c r="J3010" s="956"/>
      <c r="K3010" s="956"/>
      <c r="M3010" s="30"/>
      <c r="N3010" s="30"/>
      <c r="O3010" s="30"/>
      <c r="P3010" s="30"/>
      <c r="Q3010" s="30"/>
      <c r="R3010" s="30"/>
      <c r="S3010" s="30"/>
      <c r="T3010" s="30"/>
      <c r="U3010" s="30"/>
      <c r="W3010" s="30"/>
      <c r="X3010" s="30"/>
      <c r="Y3010" s="30"/>
      <c r="Z3010" s="30"/>
      <c r="AA3010" s="30"/>
      <c r="AB3010" s="30"/>
      <c r="AC3010" s="30"/>
      <c r="AD3010" s="30"/>
      <c r="AE3010" s="30"/>
    </row>
    <row r="3011" spans="4:31" s="29" customFormat="1" x14ac:dyDescent="0.25">
      <c r="D3011" s="955"/>
      <c r="E3011" s="955"/>
      <c r="F3011" s="955"/>
      <c r="G3011" s="956"/>
      <c r="H3011" s="956"/>
      <c r="I3011" s="956"/>
      <c r="J3011" s="956"/>
      <c r="K3011" s="956"/>
      <c r="M3011" s="30"/>
      <c r="N3011" s="30"/>
      <c r="O3011" s="30"/>
      <c r="P3011" s="30"/>
      <c r="Q3011" s="11" t="s">
        <v>1681</v>
      </c>
      <c r="R3011" s="11">
        <f>U3009</f>
        <v>1105.3000000000002</v>
      </c>
      <c r="S3011" s="608" t="s">
        <v>2142</v>
      </c>
      <c r="T3011" s="608">
        <f>(R3011*100)/R3018</f>
        <v>44.010321878646963</v>
      </c>
      <c r="U3011" s="30"/>
      <c r="W3011" s="30"/>
      <c r="X3011" s="30"/>
      <c r="Y3011" s="30"/>
      <c r="Z3011" s="30"/>
      <c r="AA3011" s="11" t="s">
        <v>1681</v>
      </c>
      <c r="AB3011" s="11">
        <f>AE3009</f>
        <v>1177.5</v>
      </c>
      <c r="AC3011" s="608" t="s">
        <v>2142</v>
      </c>
      <c r="AD3011" s="608">
        <f>(AB3011*100)/AB3018</f>
        <v>44.66626228027242</v>
      </c>
      <c r="AE3011" s="30"/>
    </row>
    <row r="3012" spans="4:31" s="29" customFormat="1" x14ac:dyDescent="0.25">
      <c r="D3012" s="955" t="s">
        <v>5</v>
      </c>
      <c r="E3012" s="955"/>
      <c r="F3012" s="955"/>
      <c r="G3012" s="956" t="s">
        <v>885</v>
      </c>
      <c r="H3012" s="956"/>
      <c r="I3012" s="956"/>
      <c r="J3012" s="956"/>
      <c r="K3012" s="956"/>
      <c r="Q3012" s="11" t="s">
        <v>2326</v>
      </c>
      <c r="R3012" s="11">
        <f>$AM$26</f>
        <v>131.82146077125219</v>
      </c>
      <c r="AA3012" s="11" t="s">
        <v>2326</v>
      </c>
      <c r="AB3012" s="11">
        <f>$AM$26</f>
        <v>131.82146077125219</v>
      </c>
    </row>
    <row r="3013" spans="4:31" s="29" customFormat="1" x14ac:dyDescent="0.25">
      <c r="D3013" s="955"/>
      <c r="E3013" s="955"/>
      <c r="F3013" s="955"/>
      <c r="G3013" s="956"/>
      <c r="H3013" s="956"/>
      <c r="I3013" s="956"/>
      <c r="J3013" s="956"/>
      <c r="K3013" s="956"/>
      <c r="Q3013" s="11" t="s">
        <v>2325</v>
      </c>
      <c r="R3013" s="11">
        <f>$AM$27</f>
        <v>75.599999999999994</v>
      </c>
      <c r="AA3013" s="11" t="s">
        <v>2325</v>
      </c>
      <c r="AB3013" s="11">
        <f>$AM$27</f>
        <v>75.599999999999994</v>
      </c>
    </row>
    <row r="3014" spans="4:31" s="29" customFormat="1" x14ac:dyDescent="0.25">
      <c r="D3014" s="955"/>
      <c r="E3014" s="955"/>
      <c r="F3014" s="955"/>
      <c r="G3014" s="956"/>
      <c r="H3014" s="956"/>
      <c r="I3014" s="956"/>
      <c r="J3014" s="956"/>
      <c r="K3014" s="956"/>
      <c r="Q3014" s="11" t="s">
        <v>1684</v>
      </c>
      <c r="R3014" s="11">
        <f>$AM$29</f>
        <v>140.66759979375703</v>
      </c>
      <c r="AA3014" s="11" t="s">
        <v>1684</v>
      </c>
      <c r="AB3014" s="11">
        <f>$AM$29</f>
        <v>140.66759979375703</v>
      </c>
    </row>
    <row r="3015" spans="4:31" s="29" customFormat="1" x14ac:dyDescent="0.25">
      <c r="D3015" s="955" t="s">
        <v>6</v>
      </c>
      <c r="E3015" s="955"/>
      <c r="F3015" s="955"/>
      <c r="G3015" s="956" t="s">
        <v>9</v>
      </c>
      <c r="H3015" s="956"/>
      <c r="I3015" s="956"/>
      <c r="J3015" s="956"/>
      <c r="K3015" s="956"/>
      <c r="Q3015" s="11" t="s">
        <v>1685</v>
      </c>
      <c r="R3015" s="11">
        <v>0.6</v>
      </c>
      <c r="AA3015" s="11" t="s">
        <v>1685</v>
      </c>
      <c r="AB3015" s="11">
        <v>0.6</v>
      </c>
    </row>
    <row r="3016" spans="4:31" s="29" customFormat="1" x14ac:dyDescent="0.25">
      <c r="D3016" s="955"/>
      <c r="E3016" s="955"/>
      <c r="F3016" s="955"/>
      <c r="G3016" s="956"/>
      <c r="H3016" s="956"/>
      <c r="I3016" s="956"/>
      <c r="J3016" s="956"/>
      <c r="K3016" s="956"/>
      <c r="Q3016" s="11" t="s">
        <v>1708</v>
      </c>
      <c r="R3016" s="11">
        <f>(SUM(R3011:R3014)*R3015)+SUM(R3011:R3014)</f>
        <v>2325.4224969040147</v>
      </c>
      <c r="AA3016" s="11" t="s">
        <v>1708</v>
      </c>
      <c r="AB3016" s="11">
        <f>(SUM(AB3011:AB3014)*AB3015)+SUM(AB3011:AB3014)</f>
        <v>2440.9424969040147</v>
      </c>
    </row>
    <row r="3017" spans="4:31" s="29" customFormat="1" x14ac:dyDescent="0.25">
      <c r="D3017" s="955"/>
      <c r="E3017" s="955"/>
      <c r="F3017" s="955"/>
      <c r="G3017" s="956"/>
      <c r="H3017" s="956"/>
      <c r="I3017" s="956"/>
      <c r="J3017" s="956"/>
      <c r="K3017" s="956"/>
      <c r="Q3017" s="11" t="s">
        <v>2130</v>
      </c>
      <c r="R3017" s="11">
        <f>R3016*0.08</f>
        <v>186.03379975232119</v>
      </c>
      <c r="AA3017" s="11" t="s">
        <v>2130</v>
      </c>
      <c r="AB3017" s="11">
        <f>AB3016*0.08</f>
        <v>195.27539975232116</v>
      </c>
    </row>
    <row r="3018" spans="4:31" s="29" customFormat="1" x14ac:dyDescent="0.25">
      <c r="D3018" s="955" t="s">
        <v>7</v>
      </c>
      <c r="E3018" s="955"/>
      <c r="F3018" s="955"/>
      <c r="G3018" s="956" t="s">
        <v>2149</v>
      </c>
      <c r="H3018" s="956"/>
      <c r="I3018" s="956"/>
      <c r="J3018" s="956"/>
      <c r="K3018" s="956"/>
      <c r="Q3018" s="11" t="s">
        <v>1686</v>
      </c>
      <c r="R3018" s="11">
        <f>SUM(R3016+R3017)</f>
        <v>2511.4562966563358</v>
      </c>
      <c r="AA3018" s="11" t="s">
        <v>1686</v>
      </c>
      <c r="AB3018" s="11">
        <f>SUM(AB3016+AB3017)</f>
        <v>2636.2178966563361</v>
      </c>
    </row>
    <row r="3019" spans="4:31" s="29" customFormat="1" x14ac:dyDescent="0.25">
      <c r="D3019" s="955"/>
      <c r="E3019" s="955"/>
      <c r="F3019" s="955"/>
      <c r="G3019" s="956"/>
      <c r="H3019" s="956"/>
      <c r="I3019" s="956"/>
      <c r="J3019" s="956"/>
      <c r="K3019" s="956"/>
    </row>
    <row r="3020" spans="4:31" s="29" customFormat="1" x14ac:dyDescent="0.25">
      <c r="D3020" s="955"/>
      <c r="E3020" s="955"/>
      <c r="F3020" s="955"/>
      <c r="G3020" s="956"/>
      <c r="H3020" s="956"/>
      <c r="I3020" s="956"/>
      <c r="J3020" s="956"/>
      <c r="K3020" s="956"/>
    </row>
    <row r="3021" spans="4:31" s="29" customFormat="1" x14ac:dyDescent="0.25"/>
    <row r="3022" spans="4:31" s="29" customFormat="1" x14ac:dyDescent="0.25"/>
    <row r="3023" spans="4:31" s="29" customFormat="1" x14ac:dyDescent="0.25">
      <c r="D3023" s="953" t="s">
        <v>8</v>
      </c>
      <c r="E3023" s="953"/>
      <c r="F3023" s="953"/>
      <c r="G3023" s="953"/>
      <c r="H3023" s="953"/>
      <c r="I3023" s="953"/>
      <c r="J3023" s="953"/>
      <c r="K3023" s="953"/>
    </row>
    <row r="3024" spans="4:31" s="29" customFormat="1" x14ac:dyDescent="0.25">
      <c r="D3024" s="954" t="s">
        <v>0</v>
      </c>
      <c r="E3024" s="954"/>
      <c r="F3024" s="954"/>
      <c r="G3024" s="954" t="s">
        <v>1</v>
      </c>
      <c r="H3024" s="954"/>
      <c r="I3024" s="954"/>
      <c r="J3024" s="954"/>
      <c r="K3024" s="954"/>
    </row>
    <row r="3025" spans="4:31" s="29" customFormat="1" x14ac:dyDescent="0.25">
      <c r="D3025" s="955" t="s">
        <v>2</v>
      </c>
      <c r="E3025" s="955"/>
      <c r="F3025" s="955"/>
      <c r="G3025" s="956" t="s">
        <v>887</v>
      </c>
      <c r="H3025" s="956"/>
      <c r="I3025" s="956"/>
      <c r="J3025" s="956"/>
      <c r="K3025" s="956"/>
      <c r="M3025" s="10" t="s">
        <v>336</v>
      </c>
      <c r="N3025" s="10" t="s">
        <v>174</v>
      </c>
      <c r="O3025" s="10" t="s">
        <v>248</v>
      </c>
      <c r="P3025" s="10" t="s">
        <v>176</v>
      </c>
      <c r="Q3025" s="10" t="s">
        <v>337</v>
      </c>
      <c r="R3025" s="10" t="s">
        <v>1641</v>
      </c>
      <c r="S3025" s="10" t="s">
        <v>1642</v>
      </c>
      <c r="T3025" s="10" t="s">
        <v>1643</v>
      </c>
      <c r="U3025" s="10" t="s">
        <v>1644</v>
      </c>
      <c r="W3025" s="10" t="s">
        <v>336</v>
      </c>
      <c r="X3025" s="10" t="s">
        <v>174</v>
      </c>
      <c r="Y3025" s="10" t="s">
        <v>248</v>
      </c>
      <c r="Z3025" s="10" t="s">
        <v>176</v>
      </c>
      <c r="AA3025" s="10" t="s">
        <v>337</v>
      </c>
      <c r="AB3025" s="10" t="s">
        <v>1641</v>
      </c>
      <c r="AC3025" s="10" t="s">
        <v>1642</v>
      </c>
      <c r="AD3025" s="10" t="s">
        <v>1643</v>
      </c>
      <c r="AE3025" s="10" t="s">
        <v>1644</v>
      </c>
    </row>
    <row r="3026" spans="4:31" s="29" customFormat="1" x14ac:dyDescent="0.25">
      <c r="D3026" s="955"/>
      <c r="E3026" s="955"/>
      <c r="F3026" s="955"/>
      <c r="G3026" s="956"/>
      <c r="H3026" s="956"/>
      <c r="I3026" s="956"/>
      <c r="J3026" s="956"/>
      <c r="K3026" s="956"/>
      <c r="M3026" s="11" t="s">
        <v>911</v>
      </c>
      <c r="N3026" s="11">
        <f>M20</f>
        <v>3.75</v>
      </c>
      <c r="O3026" s="11" t="str">
        <f>L20</f>
        <v>g</v>
      </c>
      <c r="P3026" s="11">
        <v>20</v>
      </c>
      <c r="Q3026" s="11">
        <f>N3026*P3026</f>
        <v>75</v>
      </c>
      <c r="R3026" s="11">
        <f>AL17</f>
        <v>0.06</v>
      </c>
      <c r="S3026" s="11">
        <f>P3026*R3026</f>
        <v>1.2</v>
      </c>
      <c r="T3026" s="11">
        <f>P3026-S3026</f>
        <v>18.8</v>
      </c>
      <c r="U3026" s="11">
        <f>Q3026+((S3026*Q3026)/P3026)</f>
        <v>79.5</v>
      </c>
      <c r="W3026" s="11" t="s">
        <v>911</v>
      </c>
      <c r="X3026" s="307">
        <f>M20</f>
        <v>3.75</v>
      </c>
      <c r="Y3026" s="11" t="str">
        <f>L20</f>
        <v>g</v>
      </c>
      <c r="Z3026" s="11">
        <v>20</v>
      </c>
      <c r="AA3026" s="11">
        <f>X3026*Z3026</f>
        <v>75</v>
      </c>
      <c r="AB3026" s="11">
        <f>AL17</f>
        <v>0.06</v>
      </c>
      <c r="AC3026" s="11">
        <f>Z3026*AB3026</f>
        <v>1.2</v>
      </c>
      <c r="AD3026" s="11">
        <f>Z3026-AC3026</f>
        <v>18.8</v>
      </c>
      <c r="AE3026" s="11">
        <f>AA3026+((AC3026*AA3026)/Z3026)</f>
        <v>79.5</v>
      </c>
    </row>
    <row r="3027" spans="4:31" s="29" customFormat="1" x14ac:dyDescent="0.25">
      <c r="D3027" s="955"/>
      <c r="E3027" s="955"/>
      <c r="F3027" s="955"/>
      <c r="G3027" s="956"/>
      <c r="H3027" s="956"/>
      <c r="I3027" s="956"/>
      <c r="J3027" s="956"/>
      <c r="K3027" s="956"/>
      <c r="M3027" s="11" t="s">
        <v>899</v>
      </c>
      <c r="N3027" s="11">
        <f>M14</f>
        <v>0.75</v>
      </c>
      <c r="O3027" s="11" t="str">
        <f>L14</f>
        <v>g</v>
      </c>
      <c r="P3027" s="11">
        <v>30</v>
      </c>
      <c r="Q3027" s="11">
        <f t="shared" ref="Q3027:Q3028" si="1034">N3027*P3027</f>
        <v>22.5</v>
      </c>
      <c r="R3027" s="11">
        <f>AL2</f>
        <v>0.38</v>
      </c>
      <c r="S3027" s="11">
        <f t="shared" ref="S3027:S3029" si="1035">P3027*R3027</f>
        <v>11.4</v>
      </c>
      <c r="T3027" s="11">
        <f t="shared" ref="T3027:T3029" si="1036">P3027-S3027</f>
        <v>18.600000000000001</v>
      </c>
      <c r="U3027" s="11">
        <f t="shared" ref="U3027:U3029" si="1037">Q3027+((S3027*Q3027)/P3027)</f>
        <v>31.05</v>
      </c>
      <c r="W3027" s="11" t="s">
        <v>899</v>
      </c>
      <c r="X3027" s="307">
        <f>M14</f>
        <v>0.75</v>
      </c>
      <c r="Y3027" s="11" t="str">
        <f>L14</f>
        <v>g</v>
      </c>
      <c r="Z3027" s="11">
        <v>30</v>
      </c>
      <c r="AA3027" s="11">
        <f t="shared" ref="AA3027:AA3028" si="1038">X3027*Z3027</f>
        <v>22.5</v>
      </c>
      <c r="AB3027" s="11">
        <f>AL2</f>
        <v>0.38</v>
      </c>
      <c r="AC3027" s="11">
        <f t="shared" ref="AC3027:AC3029" si="1039">Z3027*AB3027</f>
        <v>11.4</v>
      </c>
      <c r="AD3027" s="11">
        <f t="shared" ref="AD3027:AD3029" si="1040">Z3027-AC3027</f>
        <v>18.600000000000001</v>
      </c>
      <c r="AE3027" s="11">
        <f t="shared" ref="AE3027:AE3029" si="1041">AA3027+((AC3027*AA3027)/Z3027)</f>
        <v>31.05</v>
      </c>
    </row>
    <row r="3028" spans="4:31" s="29" customFormat="1" x14ac:dyDescent="0.25">
      <c r="D3028" s="954" t="s">
        <v>0</v>
      </c>
      <c r="E3028" s="954"/>
      <c r="F3028" s="954"/>
      <c r="G3028" s="954" t="s">
        <v>1</v>
      </c>
      <c r="H3028" s="954"/>
      <c r="I3028" s="954"/>
      <c r="J3028" s="954"/>
      <c r="K3028" s="954"/>
      <c r="M3028" s="11" t="s">
        <v>928</v>
      </c>
      <c r="N3028" s="11">
        <f>M25</f>
        <v>16.5</v>
      </c>
      <c r="O3028" s="11" t="str">
        <f>L25</f>
        <v>g</v>
      </c>
      <c r="P3028" s="11">
        <v>20</v>
      </c>
      <c r="Q3028" s="11">
        <f t="shared" si="1034"/>
        <v>330</v>
      </c>
      <c r="R3028" s="11">
        <f>AL6</f>
        <v>0.19</v>
      </c>
      <c r="S3028" s="11">
        <f t="shared" si="1035"/>
        <v>3.8</v>
      </c>
      <c r="T3028" s="11">
        <f t="shared" si="1036"/>
        <v>16.2</v>
      </c>
      <c r="U3028" s="11">
        <f t="shared" si="1037"/>
        <v>392.7</v>
      </c>
      <c r="W3028" s="11" t="s">
        <v>928</v>
      </c>
      <c r="X3028" s="307">
        <f>M25</f>
        <v>16.5</v>
      </c>
      <c r="Y3028" s="11" t="str">
        <f>L25</f>
        <v>g</v>
      </c>
      <c r="Z3028" s="11">
        <v>20</v>
      </c>
      <c r="AA3028" s="11">
        <f t="shared" si="1038"/>
        <v>330</v>
      </c>
      <c r="AB3028" s="11">
        <f>AL6</f>
        <v>0.19</v>
      </c>
      <c r="AC3028" s="11">
        <f t="shared" si="1039"/>
        <v>3.8</v>
      </c>
      <c r="AD3028" s="11">
        <f t="shared" si="1040"/>
        <v>16.2</v>
      </c>
      <c r="AE3028" s="11">
        <f t="shared" si="1041"/>
        <v>392.7</v>
      </c>
    </row>
    <row r="3029" spans="4:31" s="29" customFormat="1" x14ac:dyDescent="0.25">
      <c r="D3029" s="955" t="s">
        <v>3</v>
      </c>
      <c r="E3029" s="955"/>
      <c r="F3029" s="955"/>
      <c r="G3029" s="957" t="s">
        <v>886</v>
      </c>
      <c r="H3029" s="956"/>
      <c r="I3029" s="956"/>
      <c r="J3029" s="956"/>
      <c r="K3029" s="956"/>
      <c r="M3029" s="11" t="s">
        <v>443</v>
      </c>
      <c r="N3029" s="11">
        <f>Y7</f>
        <v>3.6</v>
      </c>
      <c r="O3029" s="11" t="str">
        <f>X7</f>
        <v>g</v>
      </c>
      <c r="P3029" s="11">
        <v>4</v>
      </c>
      <c r="Q3029" s="11">
        <f>N3029*P3029</f>
        <v>14.4</v>
      </c>
      <c r="R3029" s="11">
        <v>0</v>
      </c>
      <c r="S3029" s="11">
        <f t="shared" si="1035"/>
        <v>0</v>
      </c>
      <c r="T3029" s="11">
        <f t="shared" si="1036"/>
        <v>4</v>
      </c>
      <c r="U3029" s="11">
        <f t="shared" si="1037"/>
        <v>14.4</v>
      </c>
      <c r="W3029" s="11" t="s">
        <v>1882</v>
      </c>
      <c r="X3029" s="307">
        <f>AE34</f>
        <v>235</v>
      </c>
      <c r="Y3029" s="11" t="str">
        <f>AD34</f>
        <v>g</v>
      </c>
      <c r="Z3029" s="11">
        <v>4</v>
      </c>
      <c r="AA3029" s="11">
        <f>X3029*Z3029</f>
        <v>940</v>
      </c>
      <c r="AB3029" s="11">
        <v>0</v>
      </c>
      <c r="AC3029" s="11">
        <f t="shared" si="1039"/>
        <v>0</v>
      </c>
      <c r="AD3029" s="11">
        <f t="shared" si="1040"/>
        <v>4</v>
      </c>
      <c r="AE3029" s="11">
        <f t="shared" si="1041"/>
        <v>940</v>
      </c>
    </row>
    <row r="3030" spans="4:31" s="29" customFormat="1" x14ac:dyDescent="0.25">
      <c r="D3030" s="955"/>
      <c r="E3030" s="955"/>
      <c r="F3030" s="955"/>
      <c r="G3030" s="956"/>
      <c r="H3030" s="956"/>
      <c r="I3030" s="956"/>
      <c r="J3030" s="956"/>
      <c r="K3030" s="956"/>
      <c r="M3030" s="11"/>
      <c r="N3030" s="11"/>
      <c r="O3030" s="11"/>
      <c r="P3030" s="11"/>
      <c r="Q3030" s="11"/>
      <c r="R3030" s="11"/>
      <c r="S3030" s="11"/>
      <c r="T3030" s="11"/>
      <c r="U3030" s="11"/>
      <c r="W3030" s="11"/>
      <c r="X3030" s="11"/>
      <c r="Y3030" s="11"/>
      <c r="Z3030" s="11"/>
      <c r="AA3030" s="11"/>
      <c r="AB3030" s="11"/>
      <c r="AC3030" s="11"/>
      <c r="AD3030" s="11"/>
      <c r="AE3030" s="11"/>
    </row>
    <row r="3031" spans="4:31" s="29" customFormat="1" x14ac:dyDescent="0.25">
      <c r="D3031" s="955"/>
      <c r="E3031" s="955"/>
      <c r="F3031" s="955"/>
      <c r="G3031" s="956"/>
      <c r="H3031" s="956"/>
      <c r="I3031" s="956"/>
      <c r="J3031" s="956"/>
      <c r="K3031" s="956"/>
      <c r="M3031" s="11"/>
      <c r="N3031" s="11"/>
      <c r="O3031" s="11"/>
      <c r="P3031" s="11"/>
      <c r="Q3031" s="11"/>
      <c r="R3031" s="11"/>
      <c r="S3031" s="11"/>
      <c r="T3031" s="11"/>
      <c r="U3031" s="11"/>
      <c r="W3031" s="11"/>
      <c r="X3031" s="11"/>
      <c r="Y3031" s="11"/>
      <c r="Z3031" s="11"/>
      <c r="AA3031" s="11"/>
      <c r="AB3031" s="11"/>
      <c r="AC3031" s="11"/>
      <c r="AD3031" s="11"/>
      <c r="AE3031" s="11"/>
    </row>
    <row r="3032" spans="4:31" s="29" customFormat="1" x14ac:dyDescent="0.25">
      <c r="D3032" s="955" t="s">
        <v>4</v>
      </c>
      <c r="E3032" s="955"/>
      <c r="F3032" s="955"/>
      <c r="G3032" s="956" t="s">
        <v>825</v>
      </c>
      <c r="H3032" s="956"/>
      <c r="I3032" s="956"/>
      <c r="J3032" s="956"/>
      <c r="K3032" s="956"/>
      <c r="M3032" s="11" t="s">
        <v>337</v>
      </c>
      <c r="N3032" s="11">
        <f>SUM(N3026:N3031)</f>
        <v>24.6</v>
      </c>
      <c r="O3032" s="11"/>
      <c r="P3032" s="11">
        <f>SUM(P3026:P3031)</f>
        <v>74</v>
      </c>
      <c r="Q3032" s="11">
        <f>SUM(Q3026:Q3031)</f>
        <v>441.9</v>
      </c>
      <c r="R3032" s="11"/>
      <c r="S3032" s="11"/>
      <c r="T3032" s="11"/>
      <c r="U3032" s="11">
        <f>SUM(U3026:U3031)</f>
        <v>517.65</v>
      </c>
      <c r="W3032" s="11" t="s">
        <v>337</v>
      </c>
      <c r="X3032" s="11">
        <f>SUM(X3026:X3031)</f>
        <v>256</v>
      </c>
      <c r="Y3032" s="11"/>
      <c r="Z3032" s="11">
        <f>SUM(Z3026:Z3031)</f>
        <v>74</v>
      </c>
      <c r="AA3032" s="11">
        <f>SUM(AA3026:AA3031)</f>
        <v>1367.5</v>
      </c>
      <c r="AB3032" s="11"/>
      <c r="AC3032" s="11"/>
      <c r="AD3032" s="11"/>
      <c r="AE3032" s="11">
        <f>SUM(AE3026:AE3031)</f>
        <v>1443.25</v>
      </c>
    </row>
    <row r="3033" spans="4:31" s="29" customFormat="1" x14ac:dyDescent="0.25">
      <c r="D3033" s="955"/>
      <c r="E3033" s="955"/>
      <c r="F3033" s="955"/>
      <c r="G3033" s="956"/>
      <c r="H3033" s="956"/>
      <c r="I3033" s="956"/>
      <c r="J3033" s="956"/>
      <c r="K3033" s="956"/>
      <c r="M3033" s="30"/>
      <c r="N3033" s="30"/>
      <c r="O3033" s="30"/>
      <c r="P3033" s="30"/>
      <c r="Q3033" s="30"/>
      <c r="R3033" s="30"/>
      <c r="S3033" s="30"/>
      <c r="T3033" s="30"/>
      <c r="U3033" s="30"/>
      <c r="W3033" s="30"/>
      <c r="X3033" s="30"/>
      <c r="Y3033" s="30"/>
      <c r="Z3033" s="30"/>
      <c r="AA3033" s="30"/>
      <c r="AB3033" s="30"/>
      <c r="AC3033" s="30"/>
      <c r="AD3033" s="30"/>
      <c r="AE3033" s="30"/>
    </row>
    <row r="3034" spans="4:31" s="29" customFormat="1" x14ac:dyDescent="0.25">
      <c r="D3034" s="955"/>
      <c r="E3034" s="955"/>
      <c r="F3034" s="955"/>
      <c r="G3034" s="956"/>
      <c r="H3034" s="956"/>
      <c r="I3034" s="956"/>
      <c r="J3034" s="956"/>
      <c r="K3034" s="956"/>
      <c r="M3034" s="30"/>
      <c r="N3034" s="30"/>
      <c r="O3034" s="30"/>
      <c r="P3034" s="30"/>
      <c r="Q3034" s="11" t="s">
        <v>1681</v>
      </c>
      <c r="R3034" s="11">
        <f>U3032</f>
        <v>517.65</v>
      </c>
      <c r="S3034" s="608" t="s">
        <v>2142</v>
      </c>
      <c r="T3034" s="608">
        <f>(R3034*100)/R3041</f>
        <v>34.602339881339745</v>
      </c>
      <c r="U3034" s="30"/>
      <c r="W3034" s="30"/>
      <c r="X3034" s="30"/>
      <c r="Y3034" s="30"/>
      <c r="Z3034" s="30"/>
      <c r="AA3034" s="11" t="s">
        <v>1681</v>
      </c>
      <c r="AB3034" s="11">
        <f>AE3032</f>
        <v>1443.25</v>
      </c>
      <c r="AC3034" s="608" t="s">
        <v>2142</v>
      </c>
      <c r="AD3034" s="608">
        <f>(AB3034*100)/AB3041</f>
        <v>46.625127467880603</v>
      </c>
      <c r="AE3034" s="30"/>
    </row>
    <row r="3035" spans="4:31" s="29" customFormat="1" x14ac:dyDescent="0.25">
      <c r="D3035" s="955" t="s">
        <v>5</v>
      </c>
      <c r="E3035" s="955"/>
      <c r="F3035" s="955"/>
      <c r="G3035" s="956" t="s">
        <v>888</v>
      </c>
      <c r="H3035" s="956"/>
      <c r="I3035" s="956"/>
      <c r="J3035" s="956"/>
      <c r="K3035" s="956"/>
      <c r="M3035" s="30"/>
      <c r="N3035" s="30"/>
      <c r="O3035" s="30"/>
      <c r="P3035" s="30"/>
      <c r="Q3035" s="11" t="s">
        <v>2326</v>
      </c>
      <c r="R3035" s="11">
        <f>$AM$26</f>
        <v>131.82146077125219</v>
      </c>
      <c r="S3035" s="30"/>
      <c r="T3035" s="30"/>
      <c r="U3035" s="30"/>
      <c r="W3035" s="30"/>
      <c r="X3035" s="30"/>
      <c r="Y3035" s="30"/>
      <c r="Z3035" s="30"/>
      <c r="AA3035" s="11" t="s">
        <v>2326</v>
      </c>
      <c r="AB3035" s="11">
        <f>$AM$26</f>
        <v>131.82146077125219</v>
      </c>
      <c r="AC3035" s="30"/>
      <c r="AD3035" s="30"/>
      <c r="AE3035" s="30"/>
    </row>
    <row r="3036" spans="4:31" s="29" customFormat="1" x14ac:dyDescent="0.25">
      <c r="D3036" s="955"/>
      <c r="E3036" s="955"/>
      <c r="F3036" s="955"/>
      <c r="G3036" s="956"/>
      <c r="H3036" s="956"/>
      <c r="I3036" s="956"/>
      <c r="J3036" s="956"/>
      <c r="K3036" s="956"/>
      <c r="Q3036" s="11" t="s">
        <v>2325</v>
      </c>
      <c r="R3036" s="11">
        <f>$AM$27</f>
        <v>75.599999999999994</v>
      </c>
      <c r="AA3036" s="11" t="s">
        <v>2325</v>
      </c>
      <c r="AB3036" s="11">
        <f>$AM$27</f>
        <v>75.599999999999994</v>
      </c>
    </row>
    <row r="3037" spans="4:31" s="29" customFormat="1" x14ac:dyDescent="0.25">
      <c r="D3037" s="955"/>
      <c r="E3037" s="955"/>
      <c r="F3037" s="955"/>
      <c r="G3037" s="956"/>
      <c r="H3037" s="956"/>
      <c r="I3037" s="956"/>
      <c r="J3037" s="956"/>
      <c r="K3037" s="956"/>
      <c r="Q3037" s="11" t="s">
        <v>1684</v>
      </c>
      <c r="R3037" s="11">
        <f>$AM$29</f>
        <v>140.66759979375703</v>
      </c>
      <c r="AA3037" s="11" t="s">
        <v>1684</v>
      </c>
      <c r="AB3037" s="11">
        <f>$AM$29</f>
        <v>140.66759979375703</v>
      </c>
    </row>
    <row r="3038" spans="4:31" s="29" customFormat="1" x14ac:dyDescent="0.25">
      <c r="D3038" s="955" t="s">
        <v>6</v>
      </c>
      <c r="E3038" s="955"/>
      <c r="F3038" s="955"/>
      <c r="G3038" s="956" t="s">
        <v>9</v>
      </c>
      <c r="H3038" s="956"/>
      <c r="I3038" s="956"/>
      <c r="J3038" s="956"/>
      <c r="K3038" s="956"/>
      <c r="Q3038" s="11" t="s">
        <v>1685</v>
      </c>
      <c r="R3038" s="11">
        <v>0.6</v>
      </c>
      <c r="AA3038" s="11" t="s">
        <v>1685</v>
      </c>
      <c r="AB3038" s="11">
        <v>0.6</v>
      </c>
    </row>
    <row r="3039" spans="4:31" s="29" customFormat="1" x14ac:dyDescent="0.25">
      <c r="D3039" s="955"/>
      <c r="E3039" s="955"/>
      <c r="F3039" s="955"/>
      <c r="G3039" s="956"/>
      <c r="H3039" s="956"/>
      <c r="I3039" s="956"/>
      <c r="J3039" s="956"/>
      <c r="K3039" s="956"/>
      <c r="Q3039" s="11" t="s">
        <v>1708</v>
      </c>
      <c r="R3039" s="11">
        <f>(SUM(R3034:R3037)*R3038)+SUM(R3034:R3037)</f>
        <v>1385.1824969040149</v>
      </c>
      <c r="AA3039" s="11" t="s">
        <v>1708</v>
      </c>
      <c r="AB3039" s="11">
        <f>(SUM(AB3034:AB3037)*AB3038)+SUM(AB3034:AB3037)</f>
        <v>2866.1424969040145</v>
      </c>
    </row>
    <row r="3040" spans="4:31" s="29" customFormat="1" x14ac:dyDescent="0.25">
      <c r="D3040" s="955"/>
      <c r="E3040" s="955"/>
      <c r="F3040" s="955"/>
      <c r="G3040" s="956"/>
      <c r="H3040" s="956"/>
      <c r="I3040" s="956"/>
      <c r="J3040" s="956"/>
      <c r="K3040" s="956"/>
      <c r="Q3040" s="11" t="s">
        <v>2130</v>
      </c>
      <c r="R3040" s="11">
        <f>R3039*0.08</f>
        <v>110.8145997523212</v>
      </c>
      <c r="AA3040" s="11" t="s">
        <v>2130</v>
      </c>
      <c r="AB3040" s="11">
        <f>AB3039*0.08</f>
        <v>229.29139975232115</v>
      </c>
    </row>
    <row r="3041" spans="4:31" s="29" customFormat="1" x14ac:dyDescent="0.25">
      <c r="D3041" s="955" t="s">
        <v>7</v>
      </c>
      <c r="E3041" s="955"/>
      <c r="F3041" s="955"/>
      <c r="G3041" s="956" t="s">
        <v>889</v>
      </c>
      <c r="H3041" s="956"/>
      <c r="I3041" s="956"/>
      <c r="J3041" s="956"/>
      <c r="K3041" s="956"/>
      <c r="Q3041" s="11" t="s">
        <v>1686</v>
      </c>
      <c r="R3041" s="11">
        <f>SUM(R3039+R3040)</f>
        <v>1495.997096656336</v>
      </c>
      <c r="AA3041" s="11" t="s">
        <v>1686</v>
      </c>
      <c r="AB3041" s="11">
        <f>SUM(AB3039+AB3040)</f>
        <v>3095.4338966563355</v>
      </c>
    </row>
    <row r="3042" spans="4:31" s="29" customFormat="1" x14ac:dyDescent="0.25">
      <c r="D3042" s="955"/>
      <c r="E3042" s="955"/>
      <c r="F3042" s="955"/>
      <c r="G3042" s="956"/>
      <c r="H3042" s="956"/>
      <c r="I3042" s="956"/>
      <c r="J3042" s="956"/>
      <c r="K3042" s="956"/>
    </row>
    <row r="3043" spans="4:31" s="29" customFormat="1" x14ac:dyDescent="0.25">
      <c r="D3043" s="955"/>
      <c r="E3043" s="955"/>
      <c r="F3043" s="955"/>
      <c r="G3043" s="956"/>
      <c r="H3043" s="956"/>
      <c r="I3043" s="956"/>
      <c r="J3043" s="956"/>
      <c r="K3043" s="956"/>
    </row>
    <row r="3044" spans="4:31" s="29" customFormat="1" x14ac:dyDescent="0.25"/>
    <row r="3045" spans="4:31" s="29" customFormat="1" x14ac:dyDescent="0.25"/>
    <row r="3046" spans="4:31" s="29" customFormat="1" x14ac:dyDescent="0.25">
      <c r="D3046" s="953" t="s">
        <v>8</v>
      </c>
      <c r="E3046" s="953"/>
      <c r="F3046" s="953"/>
      <c r="G3046" s="953"/>
      <c r="H3046" s="953"/>
      <c r="I3046" s="953"/>
      <c r="J3046" s="953"/>
      <c r="K3046" s="953"/>
    </row>
    <row r="3047" spans="4:31" s="29" customFormat="1" x14ac:dyDescent="0.25">
      <c r="D3047" s="954" t="s">
        <v>0</v>
      </c>
      <c r="E3047" s="954"/>
      <c r="F3047" s="954"/>
      <c r="G3047" s="954" t="s">
        <v>1</v>
      </c>
      <c r="H3047" s="954"/>
      <c r="I3047" s="954"/>
      <c r="J3047" s="954"/>
      <c r="K3047" s="954"/>
    </row>
    <row r="3048" spans="4:31" s="29" customFormat="1" x14ac:dyDescent="0.25">
      <c r="D3048" s="955" t="s">
        <v>2</v>
      </c>
      <c r="E3048" s="955"/>
      <c r="F3048" s="955"/>
      <c r="G3048" s="956" t="s">
        <v>891</v>
      </c>
      <c r="H3048" s="956"/>
      <c r="I3048" s="956"/>
      <c r="J3048" s="956"/>
      <c r="K3048" s="956"/>
      <c r="M3048" s="10" t="s">
        <v>336</v>
      </c>
      <c r="N3048" s="10" t="s">
        <v>174</v>
      </c>
      <c r="O3048" s="10" t="s">
        <v>248</v>
      </c>
      <c r="P3048" s="10" t="s">
        <v>176</v>
      </c>
      <c r="Q3048" s="10" t="s">
        <v>337</v>
      </c>
      <c r="R3048" s="10" t="s">
        <v>1641</v>
      </c>
      <c r="S3048" s="10" t="s">
        <v>1642</v>
      </c>
      <c r="T3048" s="10" t="s">
        <v>1643</v>
      </c>
      <c r="U3048" s="10" t="s">
        <v>1644</v>
      </c>
      <c r="W3048" s="10" t="s">
        <v>336</v>
      </c>
      <c r="X3048" s="10" t="s">
        <v>174</v>
      </c>
      <c r="Y3048" s="10" t="s">
        <v>248</v>
      </c>
      <c r="Z3048" s="10" t="s">
        <v>176</v>
      </c>
      <c r="AA3048" s="10" t="s">
        <v>337</v>
      </c>
      <c r="AB3048" s="10" t="s">
        <v>1641</v>
      </c>
      <c r="AC3048" s="10" t="s">
        <v>1642</v>
      </c>
      <c r="AD3048" s="10" t="s">
        <v>1643</v>
      </c>
      <c r="AE3048" s="10" t="s">
        <v>1644</v>
      </c>
    </row>
    <row r="3049" spans="4:31" s="29" customFormat="1" x14ac:dyDescent="0.25">
      <c r="D3049" s="955"/>
      <c r="E3049" s="955"/>
      <c r="F3049" s="955"/>
      <c r="G3049" s="956"/>
      <c r="H3049" s="956"/>
      <c r="I3049" s="956"/>
      <c r="J3049" s="956"/>
      <c r="K3049" s="956"/>
      <c r="M3049" s="11" t="s">
        <v>899</v>
      </c>
      <c r="N3049" s="11">
        <f>M14</f>
        <v>0.75</v>
      </c>
      <c r="O3049" s="11" t="str">
        <f>L14</f>
        <v>g</v>
      </c>
      <c r="P3049" s="11">
        <v>20</v>
      </c>
      <c r="Q3049" s="11">
        <f t="shared" ref="Q3049:Q3056" si="1042">N3049*P3049</f>
        <v>15</v>
      </c>
      <c r="R3049" s="11">
        <f>AL2</f>
        <v>0.38</v>
      </c>
      <c r="S3049" s="11">
        <f>P3049*R3049</f>
        <v>7.6</v>
      </c>
      <c r="T3049" s="11">
        <f>P3049-S3049</f>
        <v>12.4</v>
      </c>
      <c r="U3049" s="11">
        <f>Q3049+((S3049*Q3049)/P3049)</f>
        <v>20.7</v>
      </c>
      <c r="W3049" s="11" t="s">
        <v>899</v>
      </c>
      <c r="X3049" s="307">
        <f>M14</f>
        <v>0.75</v>
      </c>
      <c r="Y3049" s="11" t="str">
        <f>L14</f>
        <v>g</v>
      </c>
      <c r="Z3049" s="11">
        <v>20</v>
      </c>
      <c r="AA3049" s="11">
        <f t="shared" ref="AA3049:AA3056" si="1043">X3049*Z3049</f>
        <v>15</v>
      </c>
      <c r="AB3049" s="11">
        <f>AL2</f>
        <v>0.38</v>
      </c>
      <c r="AC3049" s="11">
        <f>Z3049*AB3049</f>
        <v>7.6</v>
      </c>
      <c r="AD3049" s="11">
        <f>Z3049-AC3049</f>
        <v>12.4</v>
      </c>
      <c r="AE3049" s="11">
        <f>AA3049+((AC3049*AA3049)/Z3049)</f>
        <v>20.7</v>
      </c>
    </row>
    <row r="3050" spans="4:31" s="29" customFormat="1" x14ac:dyDescent="0.25">
      <c r="D3050" s="955"/>
      <c r="E3050" s="955"/>
      <c r="F3050" s="955"/>
      <c r="G3050" s="956"/>
      <c r="H3050" s="956"/>
      <c r="I3050" s="956"/>
      <c r="J3050" s="956"/>
      <c r="K3050" s="956"/>
      <c r="M3050" s="11" t="s">
        <v>734</v>
      </c>
      <c r="N3050" s="11">
        <f>M9</f>
        <v>4</v>
      </c>
      <c r="O3050" s="11" t="str">
        <f>L9</f>
        <v>g</v>
      </c>
      <c r="P3050" s="11">
        <v>20</v>
      </c>
      <c r="Q3050" s="11">
        <f t="shared" si="1042"/>
        <v>80</v>
      </c>
      <c r="R3050" s="11">
        <f>AL10</f>
        <v>0.14000000000000001</v>
      </c>
      <c r="S3050" s="11">
        <f t="shared" ref="S3050:S3056" si="1044">P3050*R3050</f>
        <v>2.8000000000000003</v>
      </c>
      <c r="T3050" s="11">
        <f t="shared" ref="T3050:T3056" si="1045">P3050-S3050</f>
        <v>17.2</v>
      </c>
      <c r="U3050" s="11">
        <f t="shared" ref="U3050:U3056" si="1046">Q3050+((S3050*Q3050)/P3050)</f>
        <v>91.2</v>
      </c>
      <c r="W3050" s="11" t="s">
        <v>734</v>
      </c>
      <c r="X3050" s="307">
        <f>M9</f>
        <v>4</v>
      </c>
      <c r="Y3050" s="11" t="str">
        <f>L9</f>
        <v>g</v>
      </c>
      <c r="Z3050" s="11">
        <v>20</v>
      </c>
      <c r="AA3050" s="11">
        <f t="shared" si="1043"/>
        <v>80</v>
      </c>
      <c r="AB3050" s="11">
        <f>AL10</f>
        <v>0.14000000000000001</v>
      </c>
      <c r="AC3050" s="11">
        <f t="shared" ref="AC3050:AC3056" si="1047">Z3050*AB3050</f>
        <v>2.8000000000000003</v>
      </c>
      <c r="AD3050" s="11">
        <f t="shared" ref="AD3050:AD3056" si="1048">Z3050-AC3050</f>
        <v>17.2</v>
      </c>
      <c r="AE3050" s="11">
        <f t="shared" ref="AE3050:AE3056" si="1049">AA3050+((AC3050*AA3050)/Z3050)</f>
        <v>91.2</v>
      </c>
    </row>
    <row r="3051" spans="4:31" s="29" customFormat="1" x14ac:dyDescent="0.25">
      <c r="D3051" s="954" t="s">
        <v>0</v>
      </c>
      <c r="E3051" s="954"/>
      <c r="F3051" s="954"/>
      <c r="G3051" s="954" t="s">
        <v>1</v>
      </c>
      <c r="H3051" s="954"/>
      <c r="I3051" s="954"/>
      <c r="J3051" s="954"/>
      <c r="K3051" s="954"/>
      <c r="M3051" s="11" t="s">
        <v>703</v>
      </c>
      <c r="N3051" s="11">
        <f>M12</f>
        <v>2.4</v>
      </c>
      <c r="O3051" s="11" t="str">
        <f>L12</f>
        <v>g</v>
      </c>
      <c r="P3051" s="11">
        <v>20</v>
      </c>
      <c r="Q3051" s="11">
        <f t="shared" si="1042"/>
        <v>48</v>
      </c>
      <c r="R3051" s="11">
        <f>AL13</f>
        <v>0.35</v>
      </c>
      <c r="S3051" s="11">
        <f t="shared" si="1044"/>
        <v>7</v>
      </c>
      <c r="T3051" s="11">
        <f t="shared" si="1045"/>
        <v>13</v>
      </c>
      <c r="U3051" s="11">
        <f t="shared" si="1046"/>
        <v>64.8</v>
      </c>
      <c r="W3051" s="11" t="s">
        <v>703</v>
      </c>
      <c r="X3051" s="307">
        <f>M12</f>
        <v>2.4</v>
      </c>
      <c r="Y3051" s="11" t="str">
        <f>L12</f>
        <v>g</v>
      </c>
      <c r="Z3051" s="11">
        <v>20</v>
      </c>
      <c r="AA3051" s="11">
        <f t="shared" si="1043"/>
        <v>48</v>
      </c>
      <c r="AB3051" s="11">
        <f>AL13</f>
        <v>0.35</v>
      </c>
      <c r="AC3051" s="11">
        <f t="shared" si="1047"/>
        <v>7</v>
      </c>
      <c r="AD3051" s="11">
        <f t="shared" si="1048"/>
        <v>13</v>
      </c>
      <c r="AE3051" s="11">
        <f t="shared" si="1049"/>
        <v>64.8</v>
      </c>
    </row>
    <row r="3052" spans="4:31" s="29" customFormat="1" x14ac:dyDescent="0.25">
      <c r="D3052" s="955" t="s">
        <v>3</v>
      </c>
      <c r="E3052" s="955"/>
      <c r="F3052" s="955"/>
      <c r="G3052" s="957" t="s">
        <v>890</v>
      </c>
      <c r="H3052" s="956"/>
      <c r="I3052" s="956"/>
      <c r="J3052" s="956"/>
      <c r="K3052" s="956"/>
      <c r="M3052" s="11" t="s">
        <v>741</v>
      </c>
      <c r="N3052" s="11">
        <f>M7</f>
        <v>1.1419999999999999</v>
      </c>
      <c r="O3052" s="11" t="str">
        <f>L7</f>
        <v>g</v>
      </c>
      <c r="P3052" s="11">
        <v>10</v>
      </c>
      <c r="Q3052" s="11">
        <f t="shared" si="1042"/>
        <v>11.419999999999998</v>
      </c>
      <c r="R3052" s="11">
        <f>AL8</f>
        <v>0.36</v>
      </c>
      <c r="S3052" s="11">
        <f t="shared" si="1044"/>
        <v>3.5999999999999996</v>
      </c>
      <c r="T3052" s="11">
        <f t="shared" si="1045"/>
        <v>6.4</v>
      </c>
      <c r="U3052" s="11">
        <f t="shared" si="1046"/>
        <v>15.531199999999997</v>
      </c>
      <c r="W3052" s="11" t="s">
        <v>741</v>
      </c>
      <c r="X3052" s="307">
        <f>M7</f>
        <v>1.1419999999999999</v>
      </c>
      <c r="Y3052" s="11" t="str">
        <f>L7</f>
        <v>g</v>
      </c>
      <c r="Z3052" s="11">
        <v>10</v>
      </c>
      <c r="AA3052" s="11">
        <f t="shared" si="1043"/>
        <v>11.419999999999998</v>
      </c>
      <c r="AB3052" s="11">
        <f>AL8</f>
        <v>0.36</v>
      </c>
      <c r="AC3052" s="11">
        <f t="shared" si="1047"/>
        <v>3.5999999999999996</v>
      </c>
      <c r="AD3052" s="11">
        <f t="shared" si="1048"/>
        <v>6.4</v>
      </c>
      <c r="AE3052" s="11">
        <f t="shared" si="1049"/>
        <v>15.531199999999997</v>
      </c>
    </row>
    <row r="3053" spans="4:31" s="29" customFormat="1" x14ac:dyDescent="0.25">
      <c r="D3053" s="955"/>
      <c r="E3053" s="955"/>
      <c r="F3053" s="955"/>
      <c r="G3053" s="956"/>
      <c r="H3053" s="956"/>
      <c r="I3053" s="956"/>
      <c r="J3053" s="956"/>
      <c r="K3053" s="956"/>
      <c r="M3053" s="11" t="s">
        <v>435</v>
      </c>
      <c r="N3053" s="11">
        <f>P5</f>
        <v>2.5</v>
      </c>
      <c r="O3053" s="11" t="str">
        <f>O5</f>
        <v>g</v>
      </c>
      <c r="P3053" s="11">
        <v>5</v>
      </c>
      <c r="Q3053" s="11">
        <f t="shared" si="1042"/>
        <v>12.5</v>
      </c>
      <c r="R3053" s="11">
        <f>AJ3</f>
        <v>0.37</v>
      </c>
      <c r="S3053" s="11">
        <f t="shared" si="1044"/>
        <v>1.85</v>
      </c>
      <c r="T3053" s="11">
        <f t="shared" si="1045"/>
        <v>3.15</v>
      </c>
      <c r="U3053" s="11">
        <f t="shared" si="1046"/>
        <v>17.125</v>
      </c>
      <c r="W3053" s="11" t="s">
        <v>435</v>
      </c>
      <c r="X3053" s="307">
        <f>P5</f>
        <v>2.5</v>
      </c>
      <c r="Y3053" s="11" t="str">
        <f>O5</f>
        <v>g</v>
      </c>
      <c r="Z3053" s="11">
        <v>5</v>
      </c>
      <c r="AA3053" s="11">
        <f t="shared" si="1043"/>
        <v>12.5</v>
      </c>
      <c r="AB3053" s="11">
        <f>AJ3</f>
        <v>0.37</v>
      </c>
      <c r="AC3053" s="11">
        <f t="shared" si="1047"/>
        <v>1.85</v>
      </c>
      <c r="AD3053" s="11">
        <f t="shared" si="1048"/>
        <v>3.15</v>
      </c>
      <c r="AE3053" s="11">
        <f t="shared" si="1049"/>
        <v>17.125</v>
      </c>
    </row>
    <row r="3054" spans="4:31" s="29" customFormat="1" x14ac:dyDescent="0.25">
      <c r="D3054" s="955"/>
      <c r="E3054" s="955"/>
      <c r="F3054" s="955"/>
      <c r="G3054" s="956"/>
      <c r="H3054" s="956"/>
      <c r="I3054" s="956"/>
      <c r="J3054" s="956"/>
      <c r="K3054" s="956"/>
      <c r="M3054" s="11" t="s">
        <v>436</v>
      </c>
      <c r="N3054" s="11">
        <f>P31</f>
        <v>2.6</v>
      </c>
      <c r="O3054" s="11" t="str">
        <f>O31</f>
        <v>g</v>
      </c>
      <c r="P3054" s="11">
        <v>10</v>
      </c>
      <c r="Q3054" s="11">
        <f t="shared" si="1042"/>
        <v>26</v>
      </c>
      <c r="R3054" s="11">
        <f>AJ19</f>
        <v>0.37</v>
      </c>
      <c r="S3054" s="11">
        <f t="shared" si="1044"/>
        <v>3.7</v>
      </c>
      <c r="T3054" s="11">
        <f t="shared" si="1045"/>
        <v>6.3</v>
      </c>
      <c r="U3054" s="11">
        <f t="shared" si="1046"/>
        <v>35.620000000000005</v>
      </c>
      <c r="W3054" s="11" t="s">
        <v>436</v>
      </c>
      <c r="X3054" s="307">
        <f>P31</f>
        <v>2.6</v>
      </c>
      <c r="Y3054" s="11" t="str">
        <f>O31</f>
        <v>g</v>
      </c>
      <c r="Z3054" s="11">
        <v>10</v>
      </c>
      <c r="AA3054" s="11">
        <f t="shared" si="1043"/>
        <v>26</v>
      </c>
      <c r="AB3054" s="11">
        <f>AJ19</f>
        <v>0.37</v>
      </c>
      <c r="AC3054" s="11">
        <f t="shared" si="1047"/>
        <v>3.7</v>
      </c>
      <c r="AD3054" s="11">
        <f t="shared" si="1048"/>
        <v>6.3</v>
      </c>
      <c r="AE3054" s="11">
        <f t="shared" si="1049"/>
        <v>35.620000000000005</v>
      </c>
    </row>
    <row r="3055" spans="4:31" s="29" customFormat="1" x14ac:dyDescent="0.25">
      <c r="D3055" s="955" t="s">
        <v>4</v>
      </c>
      <c r="E3055" s="955"/>
      <c r="F3055" s="955"/>
      <c r="G3055" s="956" t="s">
        <v>825</v>
      </c>
      <c r="H3055" s="956"/>
      <c r="I3055" s="956"/>
      <c r="J3055" s="956"/>
      <c r="K3055" s="956"/>
      <c r="M3055" s="11" t="s">
        <v>443</v>
      </c>
      <c r="N3055" s="122">
        <f>Y7</f>
        <v>3.6</v>
      </c>
      <c r="O3055" s="11" t="str">
        <f>X7</f>
        <v>g</v>
      </c>
      <c r="P3055" s="11">
        <v>4</v>
      </c>
      <c r="Q3055" s="11">
        <f t="shared" si="1042"/>
        <v>14.4</v>
      </c>
      <c r="R3055" s="11">
        <v>0</v>
      </c>
      <c r="S3055" s="11">
        <f t="shared" si="1044"/>
        <v>0</v>
      </c>
      <c r="T3055" s="11">
        <f t="shared" si="1045"/>
        <v>4</v>
      </c>
      <c r="U3055" s="11">
        <f t="shared" si="1046"/>
        <v>14.4</v>
      </c>
      <c r="W3055" s="11" t="s">
        <v>1882</v>
      </c>
      <c r="X3055" s="431">
        <f>AE34</f>
        <v>235</v>
      </c>
      <c r="Y3055" s="11" t="str">
        <f>AD34</f>
        <v>g</v>
      </c>
      <c r="Z3055" s="11">
        <v>4</v>
      </c>
      <c r="AA3055" s="11">
        <f t="shared" si="1043"/>
        <v>940</v>
      </c>
      <c r="AB3055" s="11">
        <v>0</v>
      </c>
      <c r="AC3055" s="11">
        <f t="shared" si="1047"/>
        <v>0</v>
      </c>
      <c r="AD3055" s="11">
        <f t="shared" si="1048"/>
        <v>4</v>
      </c>
      <c r="AE3055" s="11">
        <f t="shared" si="1049"/>
        <v>940</v>
      </c>
    </row>
    <row r="3056" spans="4:31" s="29" customFormat="1" x14ac:dyDescent="0.25">
      <c r="D3056" s="955"/>
      <c r="E3056" s="955"/>
      <c r="F3056" s="955"/>
      <c r="G3056" s="956"/>
      <c r="H3056" s="956"/>
      <c r="I3056" s="956"/>
      <c r="J3056" s="956"/>
      <c r="K3056" s="956"/>
      <c r="M3056" s="11" t="s">
        <v>910</v>
      </c>
      <c r="N3056" s="11">
        <f>Y24</f>
        <v>31.58</v>
      </c>
      <c r="O3056" s="11" t="str">
        <f>X24</f>
        <v>g</v>
      </c>
      <c r="P3056" s="11">
        <v>2</v>
      </c>
      <c r="Q3056" s="11">
        <f t="shared" si="1042"/>
        <v>63.16</v>
      </c>
      <c r="R3056" s="11">
        <v>0</v>
      </c>
      <c r="S3056" s="11">
        <f t="shared" si="1044"/>
        <v>0</v>
      </c>
      <c r="T3056" s="11">
        <f t="shared" si="1045"/>
        <v>2</v>
      </c>
      <c r="U3056" s="11">
        <f t="shared" si="1046"/>
        <v>63.16</v>
      </c>
      <c r="W3056" s="11" t="s">
        <v>910</v>
      </c>
      <c r="X3056" s="307">
        <f>Y24</f>
        <v>31.58</v>
      </c>
      <c r="Y3056" s="11" t="str">
        <f>X24</f>
        <v>g</v>
      </c>
      <c r="Z3056" s="11">
        <v>2</v>
      </c>
      <c r="AA3056" s="11">
        <f t="shared" si="1043"/>
        <v>63.16</v>
      </c>
      <c r="AB3056" s="11">
        <v>0</v>
      </c>
      <c r="AC3056" s="11">
        <f t="shared" si="1047"/>
        <v>0</v>
      </c>
      <c r="AD3056" s="11">
        <f t="shared" si="1048"/>
        <v>2</v>
      </c>
      <c r="AE3056" s="11">
        <f t="shared" si="1049"/>
        <v>63.16</v>
      </c>
    </row>
    <row r="3057" spans="4:31" s="29" customFormat="1" x14ac:dyDescent="0.25">
      <c r="D3057" s="955"/>
      <c r="E3057" s="955"/>
      <c r="F3057" s="955"/>
      <c r="G3057" s="956"/>
      <c r="H3057" s="956"/>
      <c r="I3057" s="956"/>
      <c r="J3057" s="956"/>
      <c r="K3057" s="956"/>
      <c r="M3057" s="11"/>
      <c r="N3057" s="11"/>
      <c r="O3057" s="11"/>
      <c r="P3057" s="11"/>
      <c r="Q3057" s="11"/>
      <c r="R3057" s="11"/>
      <c r="S3057" s="11"/>
      <c r="T3057" s="11"/>
      <c r="U3057" s="11"/>
      <c r="W3057" s="11"/>
      <c r="X3057" s="11"/>
      <c r="Y3057" s="11"/>
      <c r="Z3057" s="11"/>
      <c r="AA3057" s="11"/>
      <c r="AB3057" s="11"/>
      <c r="AC3057" s="11"/>
      <c r="AD3057" s="11"/>
      <c r="AE3057" s="11"/>
    </row>
    <row r="3058" spans="4:31" s="29" customFormat="1" x14ac:dyDescent="0.25">
      <c r="D3058" s="955" t="s">
        <v>5</v>
      </c>
      <c r="E3058" s="955"/>
      <c r="F3058" s="955"/>
      <c r="G3058" s="956" t="s">
        <v>892</v>
      </c>
      <c r="H3058" s="956"/>
      <c r="I3058" s="956"/>
      <c r="J3058" s="956"/>
      <c r="K3058" s="956"/>
      <c r="M3058" s="11" t="s">
        <v>337</v>
      </c>
      <c r="N3058" s="122">
        <f>SUM(N3049:N3056)</f>
        <v>48.572000000000003</v>
      </c>
      <c r="O3058" s="11"/>
      <c r="P3058" s="11">
        <f>SUM(P3049:P3056)</f>
        <v>91</v>
      </c>
      <c r="Q3058" s="11">
        <f>SUM(Q3049:Q3057)</f>
        <v>270.48</v>
      </c>
      <c r="R3058" s="11"/>
      <c r="S3058" s="11"/>
      <c r="T3058" s="11"/>
      <c r="U3058" s="11">
        <f>SUM(U3049:U3057)</f>
        <v>322.53620000000001</v>
      </c>
      <c r="W3058" s="11" t="s">
        <v>337</v>
      </c>
      <c r="X3058" s="122">
        <f>SUM(X3049:X3056)</f>
        <v>279.97199999999998</v>
      </c>
      <c r="Y3058" s="11"/>
      <c r="Z3058" s="11">
        <f>SUM(Z3049:Z3056)</f>
        <v>91</v>
      </c>
      <c r="AA3058" s="11">
        <f>SUM(AA3049:AA3057)</f>
        <v>1196.0800000000002</v>
      </c>
      <c r="AB3058" s="11"/>
      <c r="AC3058" s="11"/>
      <c r="AD3058" s="11"/>
      <c r="AE3058" s="11">
        <f>SUM(AE3049:AE3057)</f>
        <v>1248.1362000000001</v>
      </c>
    </row>
    <row r="3059" spans="4:31" s="29" customFormat="1" x14ac:dyDescent="0.25">
      <c r="D3059" s="955"/>
      <c r="E3059" s="955"/>
      <c r="F3059" s="955"/>
      <c r="G3059" s="956"/>
      <c r="H3059" s="956"/>
      <c r="I3059" s="956"/>
      <c r="J3059" s="956"/>
      <c r="K3059" s="956"/>
    </row>
    <row r="3060" spans="4:31" s="29" customFormat="1" x14ac:dyDescent="0.25">
      <c r="D3060" s="955"/>
      <c r="E3060" s="955"/>
      <c r="F3060" s="955"/>
      <c r="G3060" s="956"/>
      <c r="H3060" s="956"/>
      <c r="I3060" s="956"/>
      <c r="J3060" s="956"/>
      <c r="K3060" s="956"/>
      <c r="Q3060" s="11" t="s">
        <v>1681</v>
      </c>
      <c r="R3060" s="11">
        <f>U3058</f>
        <v>322.53620000000001</v>
      </c>
      <c r="S3060" s="608" t="s">
        <v>2142</v>
      </c>
      <c r="T3060" s="608">
        <f>(R3060*100)/R3067</f>
        <v>27.832666690971557</v>
      </c>
      <c r="AA3060" s="11" t="s">
        <v>1681</v>
      </c>
      <c r="AB3060" s="11">
        <f>AE3058</f>
        <v>1248.1362000000001</v>
      </c>
      <c r="AC3060" s="608" t="s">
        <v>2142</v>
      </c>
      <c r="AD3060" s="608">
        <f>(AB3060*100)/AB3067</f>
        <v>45.250570800451861</v>
      </c>
    </row>
    <row r="3061" spans="4:31" s="29" customFormat="1" x14ac:dyDescent="0.25">
      <c r="D3061" s="955" t="s">
        <v>6</v>
      </c>
      <c r="E3061" s="955"/>
      <c r="F3061" s="955"/>
      <c r="G3061" s="956" t="s">
        <v>9</v>
      </c>
      <c r="H3061" s="956"/>
      <c r="I3061" s="956"/>
      <c r="J3061" s="956"/>
      <c r="K3061" s="956"/>
      <c r="Q3061" s="11" t="s">
        <v>2326</v>
      </c>
      <c r="R3061" s="11">
        <f>$AM$26</f>
        <v>131.82146077125219</v>
      </c>
      <c r="AA3061" s="11" t="s">
        <v>2326</v>
      </c>
      <c r="AB3061" s="11">
        <f>$AM$26</f>
        <v>131.82146077125219</v>
      </c>
    </row>
    <row r="3062" spans="4:31" s="29" customFormat="1" x14ac:dyDescent="0.25">
      <c r="D3062" s="955"/>
      <c r="E3062" s="955"/>
      <c r="F3062" s="955"/>
      <c r="G3062" s="956"/>
      <c r="H3062" s="956"/>
      <c r="I3062" s="956"/>
      <c r="J3062" s="956"/>
      <c r="K3062" s="956"/>
      <c r="Q3062" s="11" t="s">
        <v>2325</v>
      </c>
      <c r="R3062" s="11">
        <f>$AM$27</f>
        <v>75.599999999999994</v>
      </c>
      <c r="AA3062" s="11" t="s">
        <v>2325</v>
      </c>
      <c r="AB3062" s="11">
        <f>$AM$27</f>
        <v>75.599999999999994</v>
      </c>
    </row>
    <row r="3063" spans="4:31" s="29" customFormat="1" x14ac:dyDescent="0.25">
      <c r="D3063" s="955"/>
      <c r="E3063" s="955"/>
      <c r="F3063" s="955"/>
      <c r="G3063" s="956"/>
      <c r="H3063" s="956"/>
      <c r="I3063" s="956"/>
      <c r="J3063" s="956"/>
      <c r="K3063" s="956"/>
      <c r="Q3063" s="11" t="s">
        <v>1684</v>
      </c>
      <c r="R3063" s="11">
        <f>$AM$29</f>
        <v>140.66759979375703</v>
      </c>
      <c r="AA3063" s="11" t="s">
        <v>1684</v>
      </c>
      <c r="AB3063" s="11">
        <f>$AM$29</f>
        <v>140.66759979375703</v>
      </c>
    </row>
    <row r="3064" spans="4:31" s="29" customFormat="1" x14ac:dyDescent="0.25">
      <c r="D3064" s="955" t="s">
        <v>7</v>
      </c>
      <c r="E3064" s="955"/>
      <c r="F3064" s="955"/>
      <c r="G3064" s="956" t="s">
        <v>893</v>
      </c>
      <c r="H3064" s="956"/>
      <c r="I3064" s="956"/>
      <c r="J3064" s="956"/>
      <c r="K3064" s="956"/>
      <c r="Q3064" s="11" t="s">
        <v>1685</v>
      </c>
      <c r="R3064" s="11">
        <v>0.6</v>
      </c>
      <c r="AA3064" s="11" t="s">
        <v>1685</v>
      </c>
      <c r="AB3064" s="11">
        <v>0.6</v>
      </c>
    </row>
    <row r="3065" spans="4:31" s="29" customFormat="1" x14ac:dyDescent="0.25">
      <c r="D3065" s="955"/>
      <c r="E3065" s="955"/>
      <c r="F3065" s="955"/>
      <c r="G3065" s="956"/>
      <c r="H3065" s="956"/>
      <c r="I3065" s="956"/>
      <c r="J3065" s="956"/>
      <c r="K3065" s="956"/>
      <c r="Q3065" s="11" t="s">
        <v>1708</v>
      </c>
      <c r="R3065" s="11">
        <f>(SUM(R3060:R3063)*R3064)+SUM(R3060:R3063)</f>
        <v>1073.0004169040149</v>
      </c>
      <c r="AA3065" s="11" t="s">
        <v>1708</v>
      </c>
      <c r="AB3065" s="11">
        <f>(SUM(AB3060:AB3063)*AB3064)+SUM(AB3060:AB3063)</f>
        <v>2553.9604169040149</v>
      </c>
    </row>
    <row r="3066" spans="4:31" s="29" customFormat="1" x14ac:dyDescent="0.25">
      <c r="D3066" s="955"/>
      <c r="E3066" s="955"/>
      <c r="F3066" s="955"/>
      <c r="G3066" s="956"/>
      <c r="H3066" s="956"/>
      <c r="I3066" s="956"/>
      <c r="J3066" s="956"/>
      <c r="K3066" s="956"/>
      <c r="Q3066" s="11" t="s">
        <v>2130</v>
      </c>
      <c r="R3066" s="11">
        <f>R3065*0.08</f>
        <v>85.840033352321186</v>
      </c>
      <c r="AA3066" s="11" t="s">
        <v>2130</v>
      </c>
      <c r="AB3066" s="11">
        <f>AB3065*0.08</f>
        <v>204.3168333523212</v>
      </c>
    </row>
    <row r="3067" spans="4:31" s="29" customFormat="1" x14ac:dyDescent="0.25">
      <c r="Q3067" s="11" t="s">
        <v>1686</v>
      </c>
      <c r="R3067" s="11">
        <f>SUM(R3065+R3066)</f>
        <v>1158.840450256336</v>
      </c>
      <c r="AA3067" s="11" t="s">
        <v>1686</v>
      </c>
      <c r="AB3067" s="11">
        <f>SUM(AB3065+AB3066)</f>
        <v>2758.2772502563362</v>
      </c>
    </row>
    <row r="3068" spans="4:31" s="29" customFormat="1" x14ac:dyDescent="0.25"/>
    <row r="3069" spans="4:31" s="29" customFormat="1" x14ac:dyDescent="0.25">
      <c r="D3069" s="953" t="s">
        <v>8</v>
      </c>
      <c r="E3069" s="953"/>
      <c r="F3069" s="953"/>
      <c r="G3069" s="953"/>
      <c r="H3069" s="953"/>
      <c r="I3069" s="953"/>
      <c r="J3069" s="953"/>
      <c r="K3069" s="953"/>
    </row>
    <row r="3070" spans="4:31" s="29" customFormat="1" x14ac:dyDescent="0.25">
      <c r="D3070" s="954" t="s">
        <v>0</v>
      </c>
      <c r="E3070" s="954"/>
      <c r="F3070" s="954"/>
      <c r="G3070" s="954" t="s">
        <v>1</v>
      </c>
      <c r="H3070" s="954"/>
      <c r="I3070" s="954"/>
      <c r="J3070" s="954"/>
      <c r="K3070" s="954"/>
    </row>
    <row r="3071" spans="4:31" s="29" customFormat="1" x14ac:dyDescent="0.25">
      <c r="D3071" s="955" t="s">
        <v>2</v>
      </c>
      <c r="E3071" s="955"/>
      <c r="F3071" s="955"/>
      <c r="G3071" s="956" t="s">
        <v>895</v>
      </c>
      <c r="H3071" s="956"/>
      <c r="I3071" s="956"/>
      <c r="J3071" s="956"/>
      <c r="K3071" s="956"/>
      <c r="M3071" s="10" t="s">
        <v>336</v>
      </c>
      <c r="N3071" s="10" t="s">
        <v>174</v>
      </c>
      <c r="O3071" s="10" t="s">
        <v>248</v>
      </c>
      <c r="P3071" s="10" t="s">
        <v>176</v>
      </c>
      <c r="Q3071" s="10" t="s">
        <v>337</v>
      </c>
      <c r="R3071" s="10" t="s">
        <v>1641</v>
      </c>
      <c r="S3071" s="10" t="s">
        <v>1642</v>
      </c>
      <c r="T3071" s="10" t="s">
        <v>1643</v>
      </c>
      <c r="U3071" s="10" t="s">
        <v>1644</v>
      </c>
      <c r="W3071" s="10" t="s">
        <v>336</v>
      </c>
      <c r="X3071" s="10" t="s">
        <v>174</v>
      </c>
      <c r="Y3071" s="10" t="s">
        <v>248</v>
      </c>
      <c r="Z3071" s="10" t="s">
        <v>176</v>
      </c>
      <c r="AA3071" s="10" t="s">
        <v>337</v>
      </c>
      <c r="AB3071" s="10" t="s">
        <v>1641</v>
      </c>
      <c r="AC3071" s="10" t="s">
        <v>1642</v>
      </c>
      <c r="AD3071" s="10" t="s">
        <v>1643</v>
      </c>
      <c r="AE3071" s="10" t="s">
        <v>1644</v>
      </c>
    </row>
    <row r="3072" spans="4:31" s="29" customFormat="1" x14ac:dyDescent="0.25">
      <c r="D3072" s="955"/>
      <c r="E3072" s="955"/>
      <c r="F3072" s="955"/>
      <c r="G3072" s="956"/>
      <c r="H3072" s="956"/>
      <c r="I3072" s="956"/>
      <c r="J3072" s="956"/>
      <c r="K3072" s="956"/>
      <c r="M3072" s="11" t="s">
        <v>704</v>
      </c>
      <c r="N3072" s="11">
        <f>M5</f>
        <v>7</v>
      </c>
      <c r="O3072" s="11" t="str">
        <f>L5</f>
        <v>g</v>
      </c>
      <c r="P3072" s="11">
        <v>20</v>
      </c>
      <c r="Q3072" s="11">
        <f t="shared" ref="Q3072:Q3078" si="1050">N3072*P3072</f>
        <v>140</v>
      </c>
      <c r="R3072" s="11">
        <v>0</v>
      </c>
      <c r="S3072" s="11">
        <f>P3072*R3072</f>
        <v>0</v>
      </c>
      <c r="T3072" s="11">
        <f>P3072-S3072</f>
        <v>20</v>
      </c>
      <c r="U3072" s="11">
        <f>Q3072+((S3072*Q3072)/P3072)</f>
        <v>140</v>
      </c>
      <c r="W3072" s="11" t="s">
        <v>704</v>
      </c>
      <c r="X3072" s="307">
        <f>M5</f>
        <v>7</v>
      </c>
      <c r="Y3072" s="11" t="str">
        <f>L5</f>
        <v>g</v>
      </c>
      <c r="Z3072" s="11">
        <v>40</v>
      </c>
      <c r="AA3072" s="11">
        <f t="shared" ref="AA3072:AA3078" si="1051">X3072*Z3072</f>
        <v>280</v>
      </c>
      <c r="AB3072" s="11">
        <v>0</v>
      </c>
      <c r="AC3072" s="11">
        <f>Z3072*AB3072</f>
        <v>0</v>
      </c>
      <c r="AD3072" s="11">
        <f>Z3072-AC3072</f>
        <v>40</v>
      </c>
      <c r="AE3072" s="11">
        <f>AA3072+((AC3072*AA3072)/Z3072)</f>
        <v>280</v>
      </c>
    </row>
    <row r="3073" spans="4:31" s="29" customFormat="1" x14ac:dyDescent="0.25">
      <c r="D3073" s="955"/>
      <c r="E3073" s="955"/>
      <c r="F3073" s="955"/>
      <c r="G3073" s="956"/>
      <c r="H3073" s="956"/>
      <c r="I3073" s="956"/>
      <c r="J3073" s="956"/>
      <c r="K3073" s="956"/>
      <c r="M3073" s="11" t="s">
        <v>935</v>
      </c>
      <c r="N3073" s="11">
        <f>M28</f>
        <v>3.4</v>
      </c>
      <c r="O3073" s="11" t="str">
        <f>L28</f>
        <v>g</v>
      </c>
      <c r="P3073" s="11">
        <v>20</v>
      </c>
      <c r="Q3073" s="11">
        <f t="shared" si="1050"/>
        <v>68</v>
      </c>
      <c r="R3073" s="11">
        <f>AL13</f>
        <v>0.35</v>
      </c>
      <c r="S3073" s="11">
        <f t="shared" ref="S3073:S3078" si="1052">P3073*R3073</f>
        <v>7</v>
      </c>
      <c r="T3073" s="11">
        <f t="shared" ref="T3073:T3078" si="1053">P3073-S3073</f>
        <v>13</v>
      </c>
      <c r="U3073" s="11">
        <f t="shared" ref="U3073:U3078" si="1054">Q3073+((S3073*Q3073)/P3073)</f>
        <v>91.8</v>
      </c>
      <c r="W3073" s="11" t="s">
        <v>935</v>
      </c>
      <c r="X3073" s="307">
        <f>M28</f>
        <v>3.4</v>
      </c>
      <c r="Y3073" s="11" t="str">
        <f>L28</f>
        <v>g</v>
      </c>
      <c r="Z3073" s="11">
        <v>20</v>
      </c>
      <c r="AA3073" s="11">
        <f t="shared" si="1051"/>
        <v>68</v>
      </c>
      <c r="AB3073" s="11">
        <f>AL13</f>
        <v>0.35</v>
      </c>
      <c r="AC3073" s="11">
        <f t="shared" ref="AC3073:AC3078" si="1055">Z3073*AB3073</f>
        <v>7</v>
      </c>
      <c r="AD3073" s="11">
        <f t="shared" ref="AD3073:AD3078" si="1056">Z3073-AC3073</f>
        <v>13</v>
      </c>
      <c r="AE3073" s="11">
        <f t="shared" ref="AE3073:AE3078" si="1057">AA3073+((AC3073*AA3073)/Z3073)</f>
        <v>91.8</v>
      </c>
    </row>
    <row r="3074" spans="4:31" s="29" customFormat="1" x14ac:dyDescent="0.25">
      <c r="D3074" s="954" t="s">
        <v>0</v>
      </c>
      <c r="E3074" s="954"/>
      <c r="F3074" s="954"/>
      <c r="G3074" s="954" t="s">
        <v>1</v>
      </c>
      <c r="H3074" s="954"/>
      <c r="I3074" s="954"/>
      <c r="J3074" s="954"/>
      <c r="K3074" s="954"/>
      <c r="M3074" s="11" t="s">
        <v>904</v>
      </c>
      <c r="N3074" s="11">
        <f>M17</f>
        <v>3.5</v>
      </c>
      <c r="O3074" s="11" t="str">
        <f>L17</f>
        <v>g</v>
      </c>
      <c r="P3074" s="11">
        <v>10</v>
      </c>
      <c r="Q3074" s="11">
        <f t="shared" si="1050"/>
        <v>35</v>
      </c>
      <c r="R3074" s="11">
        <v>0</v>
      </c>
      <c r="S3074" s="11">
        <f t="shared" si="1052"/>
        <v>0</v>
      </c>
      <c r="T3074" s="11">
        <f t="shared" si="1053"/>
        <v>10</v>
      </c>
      <c r="U3074" s="11">
        <f t="shared" si="1054"/>
        <v>35</v>
      </c>
      <c r="W3074" s="11" t="s">
        <v>904</v>
      </c>
      <c r="X3074" s="307">
        <f>M17</f>
        <v>3.5</v>
      </c>
      <c r="Y3074" s="11" t="str">
        <f>L17</f>
        <v>g</v>
      </c>
      <c r="Z3074" s="11">
        <v>10</v>
      </c>
      <c r="AA3074" s="11">
        <f t="shared" si="1051"/>
        <v>35</v>
      </c>
      <c r="AB3074" s="11">
        <v>0</v>
      </c>
      <c r="AC3074" s="11">
        <f t="shared" si="1055"/>
        <v>0</v>
      </c>
      <c r="AD3074" s="11">
        <f t="shared" si="1056"/>
        <v>10</v>
      </c>
      <c r="AE3074" s="11">
        <f t="shared" si="1057"/>
        <v>35</v>
      </c>
    </row>
    <row r="3075" spans="4:31" s="29" customFormat="1" x14ac:dyDescent="0.25">
      <c r="D3075" s="955" t="s">
        <v>3</v>
      </c>
      <c r="E3075" s="955"/>
      <c r="F3075" s="955"/>
      <c r="G3075" s="957" t="s">
        <v>894</v>
      </c>
      <c r="H3075" s="956"/>
      <c r="I3075" s="956"/>
      <c r="J3075" s="956"/>
      <c r="K3075" s="956"/>
      <c r="M3075" s="11" t="s">
        <v>923</v>
      </c>
      <c r="N3075" s="11">
        <f>M24</f>
        <v>2.5</v>
      </c>
      <c r="O3075" s="11" t="str">
        <f>L24</f>
        <v>g</v>
      </c>
      <c r="P3075" s="11">
        <v>10</v>
      </c>
      <c r="Q3075" s="11">
        <f t="shared" si="1050"/>
        <v>25</v>
      </c>
      <c r="R3075" s="11">
        <f>AL9</f>
        <v>0.37</v>
      </c>
      <c r="S3075" s="11">
        <f t="shared" si="1052"/>
        <v>3.7</v>
      </c>
      <c r="T3075" s="11">
        <f t="shared" si="1053"/>
        <v>6.3</v>
      </c>
      <c r="U3075" s="11">
        <f t="shared" si="1054"/>
        <v>34.25</v>
      </c>
      <c r="W3075" s="11" t="s">
        <v>923</v>
      </c>
      <c r="X3075" s="307">
        <f>M24</f>
        <v>2.5</v>
      </c>
      <c r="Y3075" s="11" t="str">
        <f>L24</f>
        <v>g</v>
      </c>
      <c r="Z3075" s="11">
        <v>10</v>
      </c>
      <c r="AA3075" s="11">
        <f t="shared" si="1051"/>
        <v>25</v>
      </c>
      <c r="AB3075" s="11">
        <f>AL9</f>
        <v>0.37</v>
      </c>
      <c r="AC3075" s="11">
        <f t="shared" si="1055"/>
        <v>3.7</v>
      </c>
      <c r="AD3075" s="11">
        <f t="shared" si="1056"/>
        <v>6.3</v>
      </c>
      <c r="AE3075" s="11">
        <f t="shared" si="1057"/>
        <v>34.25</v>
      </c>
    </row>
    <row r="3076" spans="4:31" s="29" customFormat="1" x14ac:dyDescent="0.25">
      <c r="D3076" s="955"/>
      <c r="E3076" s="955"/>
      <c r="F3076" s="955"/>
      <c r="G3076" s="956"/>
      <c r="H3076" s="956"/>
      <c r="I3076" s="956"/>
      <c r="J3076" s="956"/>
      <c r="K3076" s="956"/>
      <c r="M3076" s="11" t="s">
        <v>741</v>
      </c>
      <c r="N3076" s="11">
        <f>M7</f>
        <v>1.1419999999999999</v>
      </c>
      <c r="O3076" s="11" t="str">
        <f>L7</f>
        <v>g</v>
      </c>
      <c r="P3076" s="11">
        <v>20</v>
      </c>
      <c r="Q3076" s="11">
        <f t="shared" si="1050"/>
        <v>22.839999999999996</v>
      </c>
      <c r="R3076" s="11">
        <f>AL8</f>
        <v>0.36</v>
      </c>
      <c r="S3076" s="11">
        <f t="shared" si="1052"/>
        <v>7.1999999999999993</v>
      </c>
      <c r="T3076" s="11">
        <f t="shared" si="1053"/>
        <v>12.8</v>
      </c>
      <c r="U3076" s="11">
        <f t="shared" si="1054"/>
        <v>31.062399999999993</v>
      </c>
      <c r="W3076" s="11" t="s">
        <v>741</v>
      </c>
      <c r="X3076" s="307">
        <f>M7</f>
        <v>1.1419999999999999</v>
      </c>
      <c r="Y3076" s="11" t="str">
        <f>L7</f>
        <v>g</v>
      </c>
      <c r="Z3076" s="11">
        <v>20</v>
      </c>
      <c r="AA3076" s="11">
        <f t="shared" si="1051"/>
        <v>22.839999999999996</v>
      </c>
      <c r="AB3076" s="11">
        <f>AL8</f>
        <v>0.36</v>
      </c>
      <c r="AC3076" s="11">
        <f t="shared" si="1055"/>
        <v>7.1999999999999993</v>
      </c>
      <c r="AD3076" s="11">
        <f t="shared" si="1056"/>
        <v>12.8</v>
      </c>
      <c r="AE3076" s="11">
        <f t="shared" si="1057"/>
        <v>31.062399999999993</v>
      </c>
    </row>
    <row r="3077" spans="4:31" s="29" customFormat="1" x14ac:dyDescent="0.25">
      <c r="D3077" s="955"/>
      <c r="E3077" s="955"/>
      <c r="F3077" s="955"/>
      <c r="G3077" s="956"/>
      <c r="H3077" s="956"/>
      <c r="I3077" s="956"/>
      <c r="J3077" s="956"/>
      <c r="K3077" s="956"/>
      <c r="M3077" s="11" t="s">
        <v>910</v>
      </c>
      <c r="N3077" s="11">
        <f>Y24</f>
        <v>31.58</v>
      </c>
      <c r="O3077" s="11" t="str">
        <f>X24</f>
        <v>g</v>
      </c>
      <c r="P3077" s="11">
        <v>2</v>
      </c>
      <c r="Q3077" s="11">
        <f t="shared" si="1050"/>
        <v>63.16</v>
      </c>
      <c r="R3077" s="11">
        <v>0</v>
      </c>
      <c r="S3077" s="11">
        <f t="shared" si="1052"/>
        <v>0</v>
      </c>
      <c r="T3077" s="11">
        <f t="shared" si="1053"/>
        <v>2</v>
      </c>
      <c r="U3077" s="11">
        <f t="shared" si="1054"/>
        <v>63.16</v>
      </c>
      <c r="W3077" s="11" t="s">
        <v>910</v>
      </c>
      <c r="X3077" s="307">
        <f>Y24</f>
        <v>31.58</v>
      </c>
      <c r="Y3077" s="11" t="str">
        <f>X24</f>
        <v>g</v>
      </c>
      <c r="Z3077" s="11">
        <v>2</v>
      </c>
      <c r="AA3077" s="11">
        <f t="shared" si="1051"/>
        <v>63.16</v>
      </c>
      <c r="AB3077" s="11">
        <v>0</v>
      </c>
      <c r="AC3077" s="11">
        <f t="shared" si="1055"/>
        <v>0</v>
      </c>
      <c r="AD3077" s="11">
        <f t="shared" si="1056"/>
        <v>2</v>
      </c>
      <c r="AE3077" s="11">
        <f t="shared" si="1057"/>
        <v>63.16</v>
      </c>
    </row>
    <row r="3078" spans="4:31" s="29" customFormat="1" x14ac:dyDescent="0.25">
      <c r="D3078" s="955" t="s">
        <v>4</v>
      </c>
      <c r="E3078" s="955"/>
      <c r="F3078" s="955"/>
      <c r="G3078" s="956" t="s">
        <v>825</v>
      </c>
      <c r="H3078" s="956"/>
      <c r="I3078" s="956"/>
      <c r="J3078" s="956"/>
      <c r="K3078" s="956"/>
      <c r="M3078" s="11" t="s">
        <v>443</v>
      </c>
      <c r="N3078" s="11">
        <f>Y7</f>
        <v>3.6</v>
      </c>
      <c r="O3078" s="11" t="str">
        <f>X7</f>
        <v>g</v>
      </c>
      <c r="P3078" s="11">
        <v>4</v>
      </c>
      <c r="Q3078" s="11">
        <f t="shared" si="1050"/>
        <v>14.4</v>
      </c>
      <c r="R3078" s="11">
        <v>0</v>
      </c>
      <c r="S3078" s="11">
        <f t="shared" si="1052"/>
        <v>0</v>
      </c>
      <c r="T3078" s="11">
        <f t="shared" si="1053"/>
        <v>4</v>
      </c>
      <c r="U3078" s="11">
        <f t="shared" si="1054"/>
        <v>14.4</v>
      </c>
      <c r="W3078" s="11" t="s">
        <v>1882</v>
      </c>
      <c r="X3078" s="307">
        <f>AE34</f>
        <v>235</v>
      </c>
      <c r="Y3078" s="11" t="str">
        <f>AD34</f>
        <v>g</v>
      </c>
      <c r="Z3078" s="11">
        <v>4</v>
      </c>
      <c r="AA3078" s="11">
        <f t="shared" si="1051"/>
        <v>940</v>
      </c>
      <c r="AB3078" s="11">
        <v>0</v>
      </c>
      <c r="AC3078" s="11">
        <f t="shared" si="1055"/>
        <v>0</v>
      </c>
      <c r="AD3078" s="11">
        <f t="shared" si="1056"/>
        <v>4</v>
      </c>
      <c r="AE3078" s="11">
        <f t="shared" si="1057"/>
        <v>940</v>
      </c>
    </row>
    <row r="3079" spans="4:31" s="29" customFormat="1" x14ac:dyDescent="0.25">
      <c r="D3079" s="955"/>
      <c r="E3079" s="955"/>
      <c r="F3079" s="955"/>
      <c r="G3079" s="956"/>
      <c r="H3079" s="956"/>
      <c r="I3079" s="956"/>
      <c r="J3079" s="956"/>
      <c r="K3079" s="956"/>
      <c r="M3079" s="11"/>
      <c r="N3079" s="11"/>
      <c r="O3079" s="11"/>
      <c r="P3079" s="11"/>
      <c r="Q3079" s="11"/>
      <c r="R3079" s="11"/>
      <c r="S3079" s="11"/>
      <c r="T3079" s="11"/>
      <c r="U3079" s="11"/>
      <c r="W3079" s="11"/>
      <c r="X3079" s="11"/>
      <c r="Y3079" s="11"/>
      <c r="Z3079" s="11"/>
      <c r="AA3079" s="11"/>
      <c r="AB3079" s="11"/>
      <c r="AC3079" s="11"/>
      <c r="AD3079" s="11"/>
      <c r="AE3079" s="11"/>
    </row>
    <row r="3080" spans="4:31" s="29" customFormat="1" x14ac:dyDescent="0.25">
      <c r="D3080" s="955"/>
      <c r="E3080" s="955"/>
      <c r="F3080" s="955"/>
      <c r="G3080" s="956"/>
      <c r="H3080" s="956"/>
      <c r="I3080" s="956"/>
      <c r="J3080" s="956"/>
      <c r="K3080" s="956"/>
      <c r="M3080" s="11" t="s">
        <v>337</v>
      </c>
      <c r="N3080" s="11">
        <f>SUM(N3072:N3078)</f>
        <v>52.722000000000001</v>
      </c>
      <c r="O3080" s="11"/>
      <c r="P3080" s="11">
        <f>SUM(P3072:P3078)</f>
        <v>86</v>
      </c>
      <c r="Q3080" s="11">
        <f>SUM(Q3072:Q3079)</f>
        <v>368.4</v>
      </c>
      <c r="R3080" s="11"/>
      <c r="S3080" s="11"/>
      <c r="T3080" s="11"/>
      <c r="U3080" s="11">
        <f>SUM(U3072:U3079)</f>
        <v>409.67239999999993</v>
      </c>
      <c r="W3080" s="11" t="s">
        <v>337</v>
      </c>
      <c r="X3080" s="11">
        <f>SUM(X3072:X3078)</f>
        <v>284.12200000000001</v>
      </c>
      <c r="Y3080" s="11"/>
      <c r="Z3080" s="11">
        <f>SUM(Z3072:Z3078)</f>
        <v>106</v>
      </c>
      <c r="AA3080" s="11">
        <f>SUM(AA3072:AA3079)</f>
        <v>1434</v>
      </c>
      <c r="AB3080" s="11"/>
      <c r="AC3080" s="11"/>
      <c r="AD3080" s="11"/>
      <c r="AE3080" s="11">
        <f>SUM(AE3072:AE3079)</f>
        <v>1475.2723999999998</v>
      </c>
    </row>
    <row r="3081" spans="4:31" s="29" customFormat="1" x14ac:dyDescent="0.25">
      <c r="D3081" s="955" t="s">
        <v>5</v>
      </c>
      <c r="E3081" s="955"/>
      <c r="F3081" s="955"/>
      <c r="G3081" s="956" t="s">
        <v>896</v>
      </c>
      <c r="H3081" s="956"/>
      <c r="I3081" s="956"/>
      <c r="J3081" s="956"/>
      <c r="K3081" s="956"/>
    </row>
    <row r="3082" spans="4:31" s="29" customFormat="1" x14ac:dyDescent="0.25">
      <c r="D3082" s="955"/>
      <c r="E3082" s="955"/>
      <c r="F3082" s="955"/>
      <c r="G3082" s="956"/>
      <c r="H3082" s="956"/>
      <c r="I3082" s="956"/>
      <c r="J3082" s="956"/>
      <c r="K3082" s="956"/>
      <c r="Q3082" s="11" t="s">
        <v>1681</v>
      </c>
      <c r="R3082" s="11">
        <f>U3080</f>
        <v>409.67239999999993</v>
      </c>
      <c r="S3082" s="608" t="s">
        <v>2142</v>
      </c>
      <c r="T3082" s="608">
        <f>(R3082*100)/R3089</f>
        <v>31.286750187639804</v>
      </c>
      <c r="AA3082" s="11" t="s">
        <v>1681</v>
      </c>
      <c r="AB3082" s="11">
        <f>AE3080</f>
        <v>1475.2723999999998</v>
      </c>
      <c r="AC3082" s="608" t="s">
        <v>2142</v>
      </c>
      <c r="AD3082" s="608">
        <f>(AB3082*100)/AB3089</f>
        <v>46.822619667923654</v>
      </c>
    </row>
    <row r="3083" spans="4:31" s="29" customFormat="1" x14ac:dyDescent="0.25">
      <c r="D3083" s="955"/>
      <c r="E3083" s="955"/>
      <c r="F3083" s="955"/>
      <c r="G3083" s="956"/>
      <c r="H3083" s="956"/>
      <c r="I3083" s="956"/>
      <c r="J3083" s="956"/>
      <c r="K3083" s="956"/>
      <c r="Q3083" s="11" t="s">
        <v>2326</v>
      </c>
      <c r="R3083" s="11">
        <f>$AM$26</f>
        <v>131.82146077125219</v>
      </c>
      <c r="AA3083" s="11" t="s">
        <v>2326</v>
      </c>
      <c r="AB3083" s="11">
        <f>$AM$26</f>
        <v>131.82146077125219</v>
      </c>
    </row>
    <row r="3084" spans="4:31" s="29" customFormat="1" x14ac:dyDescent="0.25">
      <c r="D3084" s="955" t="s">
        <v>6</v>
      </c>
      <c r="E3084" s="955"/>
      <c r="F3084" s="955"/>
      <c r="G3084" s="956" t="s">
        <v>9</v>
      </c>
      <c r="H3084" s="956"/>
      <c r="I3084" s="956"/>
      <c r="J3084" s="956"/>
      <c r="K3084" s="956"/>
      <c r="Q3084" s="11" t="s">
        <v>2325</v>
      </c>
      <c r="R3084" s="11">
        <f>$AM$27</f>
        <v>75.599999999999994</v>
      </c>
      <c r="AA3084" s="11" t="s">
        <v>2325</v>
      </c>
      <c r="AB3084" s="11">
        <f>$AM$27</f>
        <v>75.599999999999994</v>
      </c>
    </row>
    <row r="3085" spans="4:31" s="29" customFormat="1" x14ac:dyDescent="0.25">
      <c r="D3085" s="955"/>
      <c r="E3085" s="955"/>
      <c r="F3085" s="955"/>
      <c r="G3085" s="956"/>
      <c r="H3085" s="956"/>
      <c r="I3085" s="956"/>
      <c r="J3085" s="956"/>
      <c r="K3085" s="956"/>
      <c r="Q3085" s="11" t="s">
        <v>1684</v>
      </c>
      <c r="R3085" s="11">
        <f>$AM$29</f>
        <v>140.66759979375703</v>
      </c>
      <c r="AA3085" s="11" t="s">
        <v>1684</v>
      </c>
      <c r="AB3085" s="11">
        <f>$AM$29</f>
        <v>140.66759979375703</v>
      </c>
    </row>
    <row r="3086" spans="4:31" s="29" customFormat="1" x14ac:dyDescent="0.25">
      <c r="D3086" s="955"/>
      <c r="E3086" s="955"/>
      <c r="F3086" s="955"/>
      <c r="G3086" s="956"/>
      <c r="H3086" s="956"/>
      <c r="I3086" s="956"/>
      <c r="J3086" s="956"/>
      <c r="K3086" s="956"/>
      <c r="Q3086" s="11" t="s">
        <v>1685</v>
      </c>
      <c r="R3086" s="11">
        <v>0.6</v>
      </c>
      <c r="AA3086" s="11" t="s">
        <v>1685</v>
      </c>
      <c r="AB3086" s="11">
        <v>0.6</v>
      </c>
    </row>
    <row r="3087" spans="4:31" s="29" customFormat="1" x14ac:dyDescent="0.25">
      <c r="D3087" s="955" t="s">
        <v>7</v>
      </c>
      <c r="E3087" s="955"/>
      <c r="F3087" s="955"/>
      <c r="G3087" s="956" t="s">
        <v>897</v>
      </c>
      <c r="H3087" s="956"/>
      <c r="I3087" s="956"/>
      <c r="J3087" s="956"/>
      <c r="K3087" s="956"/>
      <c r="Q3087" s="11" t="s">
        <v>1708</v>
      </c>
      <c r="R3087" s="11">
        <f>(SUM(R3082:R3085)*R3086)+SUM(R3082:R3085)</f>
        <v>1212.4183369040147</v>
      </c>
      <c r="AA3087" s="11" t="s">
        <v>1708</v>
      </c>
      <c r="AB3087" s="11">
        <f>(SUM(AB3082:AB3085)*AB3086)+SUM(AB3082:AB3085)</f>
        <v>2917.3783369040138</v>
      </c>
    </row>
    <row r="3088" spans="4:31" s="29" customFormat="1" x14ac:dyDescent="0.25">
      <c r="D3088" s="955"/>
      <c r="E3088" s="955"/>
      <c r="F3088" s="955"/>
      <c r="G3088" s="956"/>
      <c r="H3088" s="956"/>
      <c r="I3088" s="956"/>
      <c r="J3088" s="956"/>
      <c r="K3088" s="956"/>
      <c r="Q3088" s="11" t="s">
        <v>2130</v>
      </c>
      <c r="R3088" s="11">
        <f>R3087*0.08</f>
        <v>96.993466952321185</v>
      </c>
      <c r="AA3088" s="11" t="s">
        <v>2130</v>
      </c>
      <c r="AB3088" s="11">
        <f>AB3087*0.08</f>
        <v>233.3902669523211</v>
      </c>
    </row>
    <row r="3089" spans="4:28" s="29" customFormat="1" x14ac:dyDescent="0.25">
      <c r="D3089" s="955"/>
      <c r="E3089" s="955"/>
      <c r="F3089" s="955"/>
      <c r="G3089" s="956"/>
      <c r="H3089" s="956"/>
      <c r="I3089" s="956"/>
      <c r="J3089" s="956"/>
      <c r="K3089" s="956"/>
      <c r="Q3089" s="11" t="s">
        <v>1686</v>
      </c>
      <c r="R3089" s="11">
        <f>SUM(R3087+R3088)</f>
        <v>1309.4118038563358</v>
      </c>
      <c r="AA3089" s="11" t="s">
        <v>1686</v>
      </c>
      <c r="AB3089" s="11">
        <f>SUM(AB3087+AB3088)</f>
        <v>3150.7686038563352</v>
      </c>
    </row>
    <row r="3090" spans="4:28" s="29" customFormat="1" x14ac:dyDescent="0.25">
      <c r="D3090" s="29" t="s">
        <v>898</v>
      </c>
    </row>
    <row r="3091" spans="4:28" s="29" customFormat="1" x14ac:dyDescent="0.25"/>
    <row r="3092" spans="4:28" s="29" customFormat="1" x14ac:dyDescent="0.25">
      <c r="D3092" s="885" t="s">
        <v>8</v>
      </c>
      <c r="E3092" s="885"/>
      <c r="F3092" s="885"/>
      <c r="G3092" s="885"/>
      <c r="H3092" s="885"/>
      <c r="I3092" s="885"/>
      <c r="J3092" s="885"/>
      <c r="K3092" s="885"/>
    </row>
    <row r="3093" spans="4:28" s="29" customFormat="1" x14ac:dyDescent="0.25">
      <c r="D3093" s="886" t="s">
        <v>0</v>
      </c>
      <c r="E3093" s="886"/>
      <c r="F3093" s="886"/>
      <c r="G3093" s="886" t="s">
        <v>1</v>
      </c>
      <c r="H3093" s="886"/>
      <c r="I3093" s="886"/>
      <c r="J3093" s="886"/>
      <c r="K3093" s="886"/>
    </row>
    <row r="3094" spans="4:28" s="29" customFormat="1" x14ac:dyDescent="0.25">
      <c r="D3094" s="887" t="s">
        <v>2</v>
      </c>
      <c r="E3094" s="887"/>
      <c r="F3094" s="887"/>
      <c r="G3094" s="888" t="s">
        <v>1259</v>
      </c>
      <c r="H3094" s="888"/>
      <c r="I3094" s="888"/>
      <c r="J3094" s="888"/>
      <c r="K3094" s="888"/>
      <c r="M3094" s="79" t="s">
        <v>336</v>
      </c>
      <c r="N3094" s="79" t="s">
        <v>174</v>
      </c>
      <c r="O3094" s="79" t="s">
        <v>248</v>
      </c>
      <c r="P3094" s="79" t="s">
        <v>176</v>
      </c>
      <c r="Q3094" s="79" t="s">
        <v>337</v>
      </c>
      <c r="R3094" s="79" t="s">
        <v>1641</v>
      </c>
      <c r="S3094" s="79" t="s">
        <v>1642</v>
      </c>
      <c r="T3094" s="79" t="s">
        <v>1643</v>
      </c>
      <c r="U3094" s="79" t="s">
        <v>1644</v>
      </c>
    </row>
    <row r="3095" spans="4:28" s="29" customFormat="1" x14ac:dyDescent="0.25">
      <c r="D3095" s="887"/>
      <c r="E3095" s="887"/>
      <c r="F3095" s="887"/>
      <c r="G3095" s="888"/>
      <c r="H3095" s="888"/>
      <c r="I3095" s="888"/>
      <c r="J3095" s="888"/>
      <c r="K3095" s="888"/>
      <c r="M3095" s="123" t="s">
        <v>741</v>
      </c>
      <c r="N3095" s="123">
        <f>M7</f>
        <v>1.1419999999999999</v>
      </c>
      <c r="O3095" s="123" t="str">
        <f>L7</f>
        <v>g</v>
      </c>
      <c r="P3095" s="123">
        <v>30</v>
      </c>
      <c r="Q3095" s="123">
        <f>N3095*P3095</f>
        <v>34.26</v>
      </c>
      <c r="R3095" s="123">
        <f>AL8</f>
        <v>0.36</v>
      </c>
      <c r="S3095" s="123">
        <f>P3095*R3095</f>
        <v>10.799999999999999</v>
      </c>
      <c r="T3095" s="123">
        <f>P3095-S3095</f>
        <v>19.200000000000003</v>
      </c>
      <c r="U3095" s="123">
        <f>Q3095+((S3095*Q3095)/P3095)</f>
        <v>46.593599999999995</v>
      </c>
    </row>
    <row r="3096" spans="4:28" s="29" customFormat="1" x14ac:dyDescent="0.25">
      <c r="D3096" s="887"/>
      <c r="E3096" s="887"/>
      <c r="F3096" s="887"/>
      <c r="G3096" s="888"/>
      <c r="H3096" s="888"/>
      <c r="I3096" s="888"/>
      <c r="J3096" s="888"/>
      <c r="K3096" s="888"/>
      <c r="M3096" s="123" t="s">
        <v>1300</v>
      </c>
      <c r="N3096" s="123">
        <f>V17</f>
        <v>23.09</v>
      </c>
      <c r="O3096" s="123" t="str">
        <f>U17</f>
        <v>g</v>
      </c>
      <c r="P3096" s="123">
        <v>40</v>
      </c>
      <c r="Q3096" s="123">
        <f t="shared" ref="Q3096:Q3099" si="1058">N3096*P3096</f>
        <v>923.6</v>
      </c>
      <c r="R3096" s="123">
        <v>0</v>
      </c>
      <c r="S3096" s="123">
        <f t="shared" ref="S3096:S3099" si="1059">P3096*R3096</f>
        <v>0</v>
      </c>
      <c r="T3096" s="123">
        <f t="shared" ref="T3096:T3099" si="1060">P3096-S3096</f>
        <v>40</v>
      </c>
      <c r="U3096" s="123">
        <f t="shared" ref="U3096:U3099" si="1061">Q3096+((S3096*Q3096)/P3096)</f>
        <v>923.6</v>
      </c>
    </row>
    <row r="3097" spans="4:28" s="29" customFormat="1" x14ac:dyDescent="0.25">
      <c r="D3097" s="886" t="s">
        <v>0</v>
      </c>
      <c r="E3097" s="886"/>
      <c r="F3097" s="886"/>
      <c r="G3097" s="886" t="s">
        <v>1</v>
      </c>
      <c r="H3097" s="886"/>
      <c r="I3097" s="886"/>
      <c r="J3097" s="886"/>
      <c r="K3097" s="886"/>
      <c r="M3097" s="123" t="s">
        <v>348</v>
      </c>
      <c r="N3097" s="123">
        <f>V2</f>
        <v>13.11</v>
      </c>
      <c r="O3097" s="123" t="str">
        <f>U2</f>
        <v>g</v>
      </c>
      <c r="P3097" s="123">
        <v>60</v>
      </c>
      <c r="Q3097" s="123">
        <f t="shared" si="1058"/>
        <v>786.59999999999991</v>
      </c>
      <c r="R3097" s="123">
        <v>0</v>
      </c>
      <c r="S3097" s="123">
        <f t="shared" si="1059"/>
        <v>0</v>
      </c>
      <c r="T3097" s="123">
        <f t="shared" si="1060"/>
        <v>60</v>
      </c>
      <c r="U3097" s="123">
        <f t="shared" si="1061"/>
        <v>786.59999999999991</v>
      </c>
    </row>
    <row r="3098" spans="4:28" s="29" customFormat="1" x14ac:dyDescent="0.25">
      <c r="D3098" s="887" t="s">
        <v>3</v>
      </c>
      <c r="E3098" s="887"/>
      <c r="F3098" s="887"/>
      <c r="G3098" s="889" t="s">
        <v>1260</v>
      </c>
      <c r="H3098" s="888"/>
      <c r="I3098" s="888"/>
      <c r="J3098" s="888"/>
      <c r="K3098" s="888"/>
      <c r="M3098" s="123" t="s">
        <v>1301</v>
      </c>
      <c r="N3098" s="123">
        <f>AE22</f>
        <v>78.33</v>
      </c>
      <c r="O3098" s="123" t="str">
        <f>AD22</f>
        <v>g</v>
      </c>
      <c r="P3098" s="123">
        <v>60</v>
      </c>
      <c r="Q3098" s="123">
        <f t="shared" si="1058"/>
        <v>4699.8</v>
      </c>
      <c r="R3098" s="123">
        <v>0</v>
      </c>
      <c r="S3098" s="123">
        <f t="shared" si="1059"/>
        <v>0</v>
      </c>
      <c r="T3098" s="123">
        <f t="shared" si="1060"/>
        <v>60</v>
      </c>
      <c r="U3098" s="123">
        <f t="shared" si="1061"/>
        <v>4699.8</v>
      </c>
    </row>
    <row r="3099" spans="4:28" s="29" customFormat="1" x14ac:dyDescent="0.25">
      <c r="D3099" s="887"/>
      <c r="E3099" s="887"/>
      <c r="F3099" s="887"/>
      <c r="G3099" s="888"/>
      <c r="H3099" s="888"/>
      <c r="I3099" s="888"/>
      <c r="J3099" s="888"/>
      <c r="K3099" s="888"/>
      <c r="M3099" s="123" t="s">
        <v>1302</v>
      </c>
      <c r="N3099" s="123">
        <f>AE23</f>
        <v>31.48</v>
      </c>
      <c r="O3099" s="123" t="str">
        <f>AD23</f>
        <v>g</v>
      </c>
      <c r="P3099" s="123">
        <v>40</v>
      </c>
      <c r="Q3099" s="123">
        <f t="shared" si="1058"/>
        <v>1259.2</v>
      </c>
      <c r="R3099" s="123">
        <v>0</v>
      </c>
      <c r="S3099" s="123">
        <f t="shared" si="1059"/>
        <v>0</v>
      </c>
      <c r="T3099" s="123">
        <f t="shared" si="1060"/>
        <v>40</v>
      </c>
      <c r="U3099" s="123">
        <f t="shared" si="1061"/>
        <v>1259.2</v>
      </c>
    </row>
    <row r="3100" spans="4:28" s="29" customFormat="1" x14ac:dyDescent="0.25">
      <c r="D3100" s="887"/>
      <c r="E3100" s="887"/>
      <c r="F3100" s="887"/>
      <c r="G3100" s="888"/>
      <c r="H3100" s="888"/>
      <c r="I3100" s="888"/>
      <c r="J3100" s="888"/>
      <c r="K3100" s="888"/>
      <c r="M3100" s="123"/>
      <c r="N3100" s="123"/>
      <c r="O3100" s="123"/>
      <c r="P3100" s="123"/>
      <c r="Q3100" s="123"/>
      <c r="R3100" s="123"/>
      <c r="S3100" s="123"/>
      <c r="T3100" s="123"/>
      <c r="U3100" s="123"/>
    </row>
    <row r="3101" spans="4:28" s="29" customFormat="1" x14ac:dyDescent="0.25">
      <c r="D3101" s="887" t="s">
        <v>4</v>
      </c>
      <c r="E3101" s="887"/>
      <c r="F3101" s="887"/>
      <c r="G3101" s="888" t="s">
        <v>825</v>
      </c>
      <c r="H3101" s="888"/>
      <c r="I3101" s="888"/>
      <c r="J3101" s="888"/>
      <c r="K3101" s="888"/>
      <c r="M3101" s="123"/>
      <c r="N3101" s="123"/>
      <c r="O3101" s="123"/>
      <c r="P3101" s="123"/>
      <c r="Q3101" s="123"/>
      <c r="R3101" s="123"/>
      <c r="S3101" s="123"/>
      <c r="T3101" s="123"/>
      <c r="U3101" s="123"/>
    </row>
    <row r="3102" spans="4:28" s="29" customFormat="1" x14ac:dyDescent="0.25">
      <c r="D3102" s="887"/>
      <c r="E3102" s="887"/>
      <c r="F3102" s="887"/>
      <c r="G3102" s="888"/>
      <c r="H3102" s="888"/>
      <c r="I3102" s="888"/>
      <c r="J3102" s="888"/>
      <c r="K3102" s="888"/>
      <c r="M3102" s="123"/>
      <c r="N3102" s="123"/>
      <c r="O3102" s="123"/>
      <c r="P3102" s="123"/>
      <c r="Q3102" s="123"/>
      <c r="R3102" s="123"/>
      <c r="S3102" s="123"/>
      <c r="T3102" s="123"/>
      <c r="U3102" s="123"/>
    </row>
    <row r="3103" spans="4:28" s="29" customFormat="1" x14ac:dyDescent="0.25">
      <c r="D3103" s="887"/>
      <c r="E3103" s="887"/>
      <c r="F3103" s="887"/>
      <c r="G3103" s="888"/>
      <c r="H3103" s="888"/>
      <c r="I3103" s="888"/>
      <c r="J3103" s="888"/>
      <c r="K3103" s="888"/>
      <c r="M3103" s="123" t="s">
        <v>337</v>
      </c>
      <c r="N3103" s="123">
        <f>SUM(N3095:N3102)</f>
        <v>147.15199999999999</v>
      </c>
      <c r="O3103" s="123"/>
      <c r="P3103" s="123">
        <f>SUM(P3095:P3102)</f>
        <v>230</v>
      </c>
      <c r="Q3103" s="123">
        <f>SUM(Q3095:Q3102)</f>
        <v>7703.46</v>
      </c>
      <c r="R3103" s="123"/>
      <c r="S3103" s="123"/>
      <c r="T3103" s="123"/>
      <c r="U3103" s="123">
        <f>SUM(U3095:U3102)</f>
        <v>7715.7936</v>
      </c>
    </row>
    <row r="3104" spans="4:28" s="29" customFormat="1" x14ac:dyDescent="0.25">
      <c r="D3104" s="887" t="s">
        <v>5</v>
      </c>
      <c r="E3104" s="887"/>
      <c r="F3104" s="887"/>
      <c r="G3104" s="888" t="s">
        <v>1261</v>
      </c>
      <c r="H3104" s="888"/>
      <c r="I3104" s="888"/>
      <c r="J3104" s="888"/>
      <c r="K3104" s="888"/>
    </row>
    <row r="3105" spans="4:21" s="29" customFormat="1" x14ac:dyDescent="0.25">
      <c r="D3105" s="887"/>
      <c r="E3105" s="887"/>
      <c r="F3105" s="887"/>
      <c r="G3105" s="888"/>
      <c r="H3105" s="888"/>
      <c r="I3105" s="888"/>
      <c r="J3105" s="888"/>
      <c r="K3105" s="888"/>
      <c r="Q3105" s="123" t="s">
        <v>1681</v>
      </c>
      <c r="R3105" s="123">
        <f>U3103</f>
        <v>7715.7936</v>
      </c>
      <c r="S3105" s="608" t="s">
        <v>2142</v>
      </c>
      <c r="T3105" s="608">
        <f>(R3105*100)/R3112</f>
        <v>47.635319029876413</v>
      </c>
    </row>
    <row r="3106" spans="4:21" s="29" customFormat="1" x14ac:dyDescent="0.25">
      <c r="D3106" s="887"/>
      <c r="E3106" s="887"/>
      <c r="F3106" s="887"/>
      <c r="G3106" s="888"/>
      <c r="H3106" s="888"/>
      <c r="I3106" s="888"/>
      <c r="J3106" s="888"/>
      <c r="K3106" s="888"/>
      <c r="Q3106" s="123" t="s">
        <v>2326</v>
      </c>
      <c r="R3106" s="123">
        <f>$AN$26</f>
        <v>956.11849518817462</v>
      </c>
    </row>
    <row r="3107" spans="4:21" s="29" customFormat="1" x14ac:dyDescent="0.25">
      <c r="D3107" s="887" t="s">
        <v>6</v>
      </c>
      <c r="E3107" s="887"/>
      <c r="F3107" s="887"/>
      <c r="G3107" s="888" t="s">
        <v>9</v>
      </c>
      <c r="H3107" s="888"/>
      <c r="I3107" s="888"/>
      <c r="J3107" s="888"/>
      <c r="K3107" s="888"/>
      <c r="Q3107" s="123" t="s">
        <v>2325</v>
      </c>
      <c r="R3107" s="123">
        <f>$AN$27</f>
        <v>82.78</v>
      </c>
    </row>
    <row r="3108" spans="4:21" s="29" customFormat="1" x14ac:dyDescent="0.25">
      <c r="D3108" s="887"/>
      <c r="E3108" s="887"/>
      <c r="F3108" s="887"/>
      <c r="G3108" s="888"/>
      <c r="H3108" s="888"/>
      <c r="I3108" s="888"/>
      <c r="J3108" s="888"/>
      <c r="K3108" s="888"/>
      <c r="Q3108" s="123" t="s">
        <v>1684</v>
      </c>
      <c r="R3108" s="123">
        <f>$AN$29</f>
        <v>618.93743909253101</v>
      </c>
    </row>
    <row r="3109" spans="4:21" s="29" customFormat="1" x14ac:dyDescent="0.25">
      <c r="D3109" s="887"/>
      <c r="E3109" s="887"/>
      <c r="F3109" s="887"/>
      <c r="G3109" s="888"/>
      <c r="H3109" s="888"/>
      <c r="I3109" s="888"/>
      <c r="J3109" s="888"/>
      <c r="K3109" s="888"/>
      <c r="Q3109" s="123" t="s">
        <v>1685</v>
      </c>
      <c r="R3109" s="123">
        <v>0.6</v>
      </c>
    </row>
    <row r="3110" spans="4:21" s="29" customFormat="1" x14ac:dyDescent="0.25">
      <c r="D3110" s="887" t="s">
        <v>7</v>
      </c>
      <c r="E3110" s="887"/>
      <c r="F3110" s="887"/>
      <c r="G3110" s="889" t="s">
        <v>1262</v>
      </c>
      <c r="H3110" s="888"/>
      <c r="I3110" s="888"/>
      <c r="J3110" s="888"/>
      <c r="K3110" s="888"/>
      <c r="Q3110" s="123" t="s">
        <v>1708</v>
      </c>
      <c r="R3110" s="123">
        <f>(SUM(R3105:R3108)*R3109)+SUM(R3105:R3108)</f>
        <v>14997.807254849129</v>
      </c>
    </row>
    <row r="3111" spans="4:21" s="29" customFormat="1" x14ac:dyDescent="0.25">
      <c r="D3111" s="887"/>
      <c r="E3111" s="887"/>
      <c r="F3111" s="887"/>
      <c r="G3111" s="888"/>
      <c r="H3111" s="888"/>
      <c r="I3111" s="888"/>
      <c r="J3111" s="888"/>
      <c r="K3111" s="888"/>
      <c r="Q3111" s="123" t="s">
        <v>2130</v>
      </c>
      <c r="R3111" s="123">
        <f>R3110*0.08</f>
        <v>1199.8245803879304</v>
      </c>
    </row>
    <row r="3112" spans="4:21" s="29" customFormat="1" x14ac:dyDescent="0.25">
      <c r="D3112" s="887"/>
      <c r="E3112" s="887"/>
      <c r="F3112" s="887"/>
      <c r="G3112" s="888"/>
      <c r="H3112" s="888"/>
      <c r="I3112" s="888"/>
      <c r="J3112" s="888"/>
      <c r="K3112" s="888"/>
      <c r="Q3112" s="123" t="s">
        <v>1686</v>
      </c>
      <c r="R3112" s="123">
        <f>SUM(R3110+R3111)</f>
        <v>16197.63183523706</v>
      </c>
    </row>
    <row r="3113" spans="4:21" s="29" customFormat="1" x14ac:dyDescent="0.25"/>
    <row r="3114" spans="4:21" s="29" customFormat="1" x14ac:dyDescent="0.25"/>
    <row r="3115" spans="4:21" s="29" customFormat="1" x14ac:dyDescent="0.25">
      <c r="D3115" s="885" t="s">
        <v>8</v>
      </c>
      <c r="E3115" s="885"/>
      <c r="F3115" s="885"/>
      <c r="G3115" s="885"/>
      <c r="H3115" s="885"/>
      <c r="I3115" s="885"/>
      <c r="J3115" s="885"/>
      <c r="K3115" s="885"/>
    </row>
    <row r="3116" spans="4:21" s="29" customFormat="1" x14ac:dyDescent="0.25">
      <c r="D3116" s="886" t="s">
        <v>0</v>
      </c>
      <c r="E3116" s="886"/>
      <c r="F3116" s="886"/>
      <c r="G3116" s="886" t="s">
        <v>1</v>
      </c>
      <c r="H3116" s="886"/>
      <c r="I3116" s="886"/>
      <c r="J3116" s="886"/>
      <c r="K3116" s="886"/>
    </row>
    <row r="3117" spans="4:21" s="29" customFormat="1" x14ac:dyDescent="0.25">
      <c r="D3117" s="887" t="s">
        <v>2</v>
      </c>
      <c r="E3117" s="887"/>
      <c r="F3117" s="887"/>
      <c r="G3117" s="888" t="s">
        <v>1253</v>
      </c>
      <c r="H3117" s="888"/>
      <c r="I3117" s="888"/>
      <c r="J3117" s="888"/>
      <c r="K3117" s="888"/>
      <c r="M3117" s="79" t="s">
        <v>336</v>
      </c>
      <c r="N3117" s="79" t="s">
        <v>174</v>
      </c>
      <c r="O3117" s="79" t="s">
        <v>248</v>
      </c>
      <c r="P3117" s="79" t="s">
        <v>176</v>
      </c>
      <c r="Q3117" s="79" t="s">
        <v>337</v>
      </c>
      <c r="R3117" s="79" t="s">
        <v>1641</v>
      </c>
      <c r="S3117" s="79" t="s">
        <v>1642</v>
      </c>
      <c r="T3117" s="79" t="s">
        <v>1643</v>
      </c>
      <c r="U3117" s="79" t="s">
        <v>1644</v>
      </c>
    </row>
    <row r="3118" spans="4:21" s="29" customFormat="1" x14ac:dyDescent="0.25">
      <c r="D3118" s="887"/>
      <c r="E3118" s="887"/>
      <c r="F3118" s="887"/>
      <c r="G3118" s="888"/>
      <c r="H3118" s="888"/>
      <c r="I3118" s="888"/>
      <c r="J3118" s="888"/>
      <c r="K3118" s="888"/>
      <c r="M3118" s="123" t="s">
        <v>745</v>
      </c>
      <c r="N3118" s="123">
        <f>M10</f>
        <v>4.5</v>
      </c>
      <c r="O3118" s="123" t="str">
        <f>L10</f>
        <v>g</v>
      </c>
      <c r="P3118" s="123">
        <v>30</v>
      </c>
      <c r="Q3118" s="123">
        <f>N3118*P3118</f>
        <v>135</v>
      </c>
      <c r="R3118" s="123">
        <v>0</v>
      </c>
      <c r="S3118" s="123">
        <f>P3118*R3118</f>
        <v>0</v>
      </c>
      <c r="T3118" s="123">
        <f>P3118-S3118</f>
        <v>30</v>
      </c>
      <c r="U3118" s="123">
        <f>Q3118+((S3118*Q3118)/P3118)</f>
        <v>135</v>
      </c>
    </row>
    <row r="3119" spans="4:21" s="29" customFormat="1" x14ac:dyDescent="0.25">
      <c r="D3119" s="887"/>
      <c r="E3119" s="887"/>
      <c r="F3119" s="887"/>
      <c r="G3119" s="888"/>
      <c r="H3119" s="888"/>
      <c r="I3119" s="888"/>
      <c r="J3119" s="888"/>
      <c r="K3119" s="888"/>
      <c r="M3119" s="123" t="s">
        <v>1300</v>
      </c>
      <c r="N3119" s="123">
        <f>V17</f>
        <v>23.09</v>
      </c>
      <c r="O3119" s="123" t="str">
        <f>U17</f>
        <v>g</v>
      </c>
      <c r="P3119" s="123">
        <v>40</v>
      </c>
      <c r="Q3119" s="123">
        <f t="shared" ref="Q3119:Q3122" si="1062">N3119*P3119</f>
        <v>923.6</v>
      </c>
      <c r="R3119" s="123">
        <v>0</v>
      </c>
      <c r="S3119" s="123">
        <f t="shared" ref="S3119:S3122" si="1063">P3119*R3119</f>
        <v>0</v>
      </c>
      <c r="T3119" s="123">
        <f t="shared" ref="T3119:T3122" si="1064">P3119-S3119</f>
        <v>40</v>
      </c>
      <c r="U3119" s="123">
        <f t="shared" ref="U3119:U3122" si="1065">Q3119+((S3119*Q3119)/P3119)</f>
        <v>923.6</v>
      </c>
    </row>
    <row r="3120" spans="4:21" s="29" customFormat="1" x14ac:dyDescent="0.25">
      <c r="D3120" s="886" t="s">
        <v>0</v>
      </c>
      <c r="E3120" s="886"/>
      <c r="F3120" s="886"/>
      <c r="G3120" s="886" t="s">
        <v>1</v>
      </c>
      <c r="H3120" s="886"/>
      <c r="I3120" s="886"/>
      <c r="J3120" s="886"/>
      <c r="K3120" s="886"/>
      <c r="M3120" s="123" t="s">
        <v>348</v>
      </c>
      <c r="N3120" s="123">
        <f>V2</f>
        <v>13.11</v>
      </c>
      <c r="O3120" s="123" t="str">
        <f>U2</f>
        <v>g</v>
      </c>
      <c r="P3120" s="123">
        <v>60</v>
      </c>
      <c r="Q3120" s="123">
        <f t="shared" si="1062"/>
        <v>786.59999999999991</v>
      </c>
      <c r="R3120" s="123">
        <v>0</v>
      </c>
      <c r="S3120" s="123">
        <f t="shared" si="1063"/>
        <v>0</v>
      </c>
      <c r="T3120" s="123">
        <f t="shared" si="1064"/>
        <v>60</v>
      </c>
      <c r="U3120" s="123">
        <f t="shared" si="1065"/>
        <v>786.59999999999991</v>
      </c>
    </row>
    <row r="3121" spans="4:21" s="29" customFormat="1" x14ac:dyDescent="0.25">
      <c r="D3121" s="887" t="s">
        <v>3</v>
      </c>
      <c r="E3121" s="887"/>
      <c r="F3121" s="887"/>
      <c r="G3121" s="889" t="s">
        <v>1263</v>
      </c>
      <c r="H3121" s="888"/>
      <c r="I3121" s="888"/>
      <c r="J3121" s="888"/>
      <c r="K3121" s="888"/>
      <c r="M3121" s="123" t="s">
        <v>1301</v>
      </c>
      <c r="N3121" s="123">
        <f>AE22</f>
        <v>78.33</v>
      </c>
      <c r="O3121" s="123" t="str">
        <f>AD22</f>
        <v>g</v>
      </c>
      <c r="P3121" s="123">
        <v>60</v>
      </c>
      <c r="Q3121" s="123">
        <f t="shared" si="1062"/>
        <v>4699.8</v>
      </c>
      <c r="R3121" s="123">
        <v>0</v>
      </c>
      <c r="S3121" s="123">
        <f t="shared" si="1063"/>
        <v>0</v>
      </c>
      <c r="T3121" s="123">
        <f t="shared" si="1064"/>
        <v>60</v>
      </c>
      <c r="U3121" s="123">
        <f t="shared" si="1065"/>
        <v>4699.8</v>
      </c>
    </row>
    <row r="3122" spans="4:21" s="29" customFormat="1" x14ac:dyDescent="0.25">
      <c r="D3122" s="887"/>
      <c r="E3122" s="887"/>
      <c r="F3122" s="887"/>
      <c r="G3122" s="888"/>
      <c r="H3122" s="888"/>
      <c r="I3122" s="888"/>
      <c r="J3122" s="888"/>
      <c r="K3122" s="888"/>
      <c r="M3122" s="123" t="s">
        <v>1302</v>
      </c>
      <c r="N3122" s="123">
        <f>AE23</f>
        <v>31.48</v>
      </c>
      <c r="O3122" s="123" t="str">
        <f>AD23</f>
        <v>g</v>
      </c>
      <c r="P3122" s="123">
        <v>40</v>
      </c>
      <c r="Q3122" s="123">
        <f t="shared" si="1062"/>
        <v>1259.2</v>
      </c>
      <c r="R3122" s="123">
        <v>0</v>
      </c>
      <c r="S3122" s="123">
        <f t="shared" si="1063"/>
        <v>0</v>
      </c>
      <c r="T3122" s="123">
        <f t="shared" si="1064"/>
        <v>40</v>
      </c>
      <c r="U3122" s="123">
        <f t="shared" si="1065"/>
        <v>1259.2</v>
      </c>
    </row>
    <row r="3123" spans="4:21" s="29" customFormat="1" x14ac:dyDescent="0.25">
      <c r="D3123" s="887"/>
      <c r="E3123" s="887"/>
      <c r="F3123" s="887"/>
      <c r="G3123" s="888"/>
      <c r="H3123" s="888"/>
      <c r="I3123" s="888"/>
      <c r="J3123" s="888"/>
      <c r="K3123" s="888"/>
      <c r="M3123" s="123"/>
      <c r="N3123" s="123"/>
      <c r="O3123" s="123"/>
      <c r="P3123" s="123"/>
      <c r="Q3123" s="123"/>
      <c r="R3123" s="123"/>
      <c r="S3123" s="123"/>
      <c r="T3123" s="123"/>
      <c r="U3123" s="123"/>
    </row>
    <row r="3124" spans="4:21" s="29" customFormat="1" x14ac:dyDescent="0.25">
      <c r="D3124" s="887" t="s">
        <v>4</v>
      </c>
      <c r="E3124" s="887"/>
      <c r="F3124" s="887"/>
      <c r="G3124" s="888" t="s">
        <v>825</v>
      </c>
      <c r="H3124" s="888"/>
      <c r="I3124" s="888"/>
      <c r="J3124" s="888"/>
      <c r="K3124" s="888"/>
      <c r="M3124" s="123"/>
      <c r="N3124" s="123"/>
      <c r="O3124" s="123"/>
      <c r="P3124" s="123"/>
      <c r="Q3124" s="123"/>
      <c r="R3124" s="123"/>
      <c r="S3124" s="123"/>
      <c r="T3124" s="123"/>
      <c r="U3124" s="123"/>
    </row>
    <row r="3125" spans="4:21" s="29" customFormat="1" x14ac:dyDescent="0.25">
      <c r="D3125" s="887"/>
      <c r="E3125" s="887"/>
      <c r="F3125" s="887"/>
      <c r="G3125" s="888"/>
      <c r="H3125" s="888"/>
      <c r="I3125" s="888"/>
      <c r="J3125" s="888"/>
      <c r="K3125" s="888"/>
      <c r="M3125" s="123"/>
      <c r="N3125" s="123"/>
      <c r="O3125" s="123"/>
      <c r="P3125" s="123"/>
      <c r="Q3125" s="123"/>
      <c r="R3125" s="123"/>
      <c r="S3125" s="123"/>
      <c r="T3125" s="123"/>
      <c r="U3125" s="123"/>
    </row>
    <row r="3126" spans="4:21" s="29" customFormat="1" x14ac:dyDescent="0.25">
      <c r="D3126" s="887"/>
      <c r="E3126" s="887"/>
      <c r="F3126" s="887"/>
      <c r="G3126" s="888"/>
      <c r="H3126" s="888"/>
      <c r="I3126" s="888"/>
      <c r="J3126" s="888"/>
      <c r="K3126" s="888"/>
      <c r="M3126" s="123" t="s">
        <v>337</v>
      </c>
      <c r="N3126" s="123">
        <f>SUM(N3118:N3125)</f>
        <v>150.51</v>
      </c>
      <c r="O3126" s="123"/>
      <c r="P3126" s="123">
        <f>SUM(P3118:P3125)</f>
        <v>230</v>
      </c>
      <c r="Q3126" s="123">
        <f>SUM(Q3118:Q3125)</f>
        <v>7804.2</v>
      </c>
      <c r="R3126" s="123"/>
      <c r="S3126" s="123"/>
      <c r="T3126" s="123"/>
      <c r="U3126" s="123">
        <f>SUM(U3118:U3125)</f>
        <v>7804.2</v>
      </c>
    </row>
    <row r="3127" spans="4:21" s="29" customFormat="1" x14ac:dyDescent="0.25">
      <c r="D3127" s="887" t="s">
        <v>5</v>
      </c>
      <c r="E3127" s="887"/>
      <c r="F3127" s="887"/>
      <c r="G3127" s="888" t="s">
        <v>1264</v>
      </c>
      <c r="H3127" s="888"/>
      <c r="I3127" s="888"/>
      <c r="J3127" s="888"/>
      <c r="K3127" s="888"/>
    </row>
    <row r="3128" spans="4:21" s="29" customFormat="1" x14ac:dyDescent="0.25">
      <c r="D3128" s="887"/>
      <c r="E3128" s="887"/>
      <c r="F3128" s="887"/>
      <c r="G3128" s="888"/>
      <c r="H3128" s="888"/>
      <c r="I3128" s="888"/>
      <c r="J3128" s="888"/>
      <c r="K3128" s="888"/>
      <c r="Q3128" s="123" t="s">
        <v>1681</v>
      </c>
      <c r="R3128" s="123">
        <f>U3126</f>
        <v>7804.2</v>
      </c>
      <c r="S3128" s="608" t="s">
        <v>2142</v>
      </c>
      <c r="T3128" s="608">
        <f>(R3128*100)/R3135</f>
        <v>47.730947925085957</v>
      </c>
    </row>
    <row r="3129" spans="4:21" s="29" customFormat="1" x14ac:dyDescent="0.25">
      <c r="D3129" s="887"/>
      <c r="E3129" s="887"/>
      <c r="F3129" s="887"/>
      <c r="G3129" s="888"/>
      <c r="H3129" s="888"/>
      <c r="I3129" s="888"/>
      <c r="J3129" s="888"/>
      <c r="K3129" s="888"/>
      <c r="Q3129" s="123" t="s">
        <v>2326</v>
      </c>
      <c r="R3129" s="123">
        <f>$AN$26</f>
        <v>956.11849518817462</v>
      </c>
    </row>
    <row r="3130" spans="4:21" s="29" customFormat="1" x14ac:dyDescent="0.25">
      <c r="D3130" s="887" t="s">
        <v>6</v>
      </c>
      <c r="E3130" s="887"/>
      <c r="F3130" s="887"/>
      <c r="G3130" s="888" t="s">
        <v>9</v>
      </c>
      <c r="H3130" s="888"/>
      <c r="I3130" s="888"/>
      <c r="J3130" s="888"/>
      <c r="K3130" s="888"/>
      <c r="Q3130" s="123" t="s">
        <v>2325</v>
      </c>
      <c r="R3130" s="123">
        <f>$AN$27</f>
        <v>82.78</v>
      </c>
    </row>
    <row r="3131" spans="4:21" s="29" customFormat="1" x14ac:dyDescent="0.25">
      <c r="D3131" s="887"/>
      <c r="E3131" s="887"/>
      <c r="F3131" s="887"/>
      <c r="G3131" s="888"/>
      <c r="H3131" s="888"/>
      <c r="I3131" s="888"/>
      <c r="J3131" s="888"/>
      <c r="K3131" s="888"/>
      <c r="Q3131" s="123" t="s">
        <v>1684</v>
      </c>
      <c r="R3131" s="123">
        <f>$AN$29</f>
        <v>618.93743909253101</v>
      </c>
    </row>
    <row r="3132" spans="4:21" s="29" customFormat="1" x14ac:dyDescent="0.25">
      <c r="D3132" s="887"/>
      <c r="E3132" s="887"/>
      <c r="F3132" s="887"/>
      <c r="G3132" s="888"/>
      <c r="H3132" s="888"/>
      <c r="I3132" s="888"/>
      <c r="J3132" s="888"/>
      <c r="K3132" s="888"/>
      <c r="Q3132" s="123" t="s">
        <v>1685</v>
      </c>
      <c r="R3132" s="123">
        <v>0.6</v>
      </c>
    </row>
    <row r="3133" spans="4:21" s="29" customFormat="1" x14ac:dyDescent="0.25">
      <c r="D3133" s="887" t="s">
        <v>7</v>
      </c>
      <c r="E3133" s="887"/>
      <c r="F3133" s="887"/>
      <c r="G3133" s="889" t="s">
        <v>1265</v>
      </c>
      <c r="H3133" s="888"/>
      <c r="I3133" s="888"/>
      <c r="J3133" s="888"/>
      <c r="K3133" s="888"/>
      <c r="Q3133" s="123" t="s">
        <v>1708</v>
      </c>
      <c r="R3133" s="123">
        <f>(SUM(R3128:R3131)*R3132)+SUM(R3128:R3131)</f>
        <v>15139.257494849129</v>
      </c>
    </row>
    <row r="3134" spans="4:21" s="29" customFormat="1" x14ac:dyDescent="0.25">
      <c r="D3134" s="887"/>
      <c r="E3134" s="887"/>
      <c r="F3134" s="887"/>
      <c r="G3134" s="888"/>
      <c r="H3134" s="888"/>
      <c r="I3134" s="888"/>
      <c r="J3134" s="888"/>
      <c r="K3134" s="888"/>
      <c r="Q3134" s="123" t="s">
        <v>2130</v>
      </c>
      <c r="R3134" s="123">
        <f>R3133*0.08</f>
        <v>1211.1405995879304</v>
      </c>
    </row>
    <row r="3135" spans="4:21" s="29" customFormat="1" x14ac:dyDescent="0.25">
      <c r="D3135" s="887"/>
      <c r="E3135" s="887"/>
      <c r="F3135" s="887"/>
      <c r="G3135" s="888"/>
      <c r="H3135" s="888"/>
      <c r="I3135" s="888"/>
      <c r="J3135" s="888"/>
      <c r="K3135" s="888"/>
      <c r="Q3135" s="123" t="s">
        <v>1686</v>
      </c>
      <c r="R3135" s="123">
        <f>SUM(R3133+R3134)</f>
        <v>16350.39809443706</v>
      </c>
    </row>
    <row r="3136" spans="4:21" s="29" customFormat="1" x14ac:dyDescent="0.25"/>
    <row r="3137" spans="4:21" s="29" customFormat="1" x14ac:dyDescent="0.25"/>
    <row r="3138" spans="4:21" s="29" customFormat="1" x14ac:dyDescent="0.25">
      <c r="D3138" s="885" t="s">
        <v>8</v>
      </c>
      <c r="E3138" s="885"/>
      <c r="F3138" s="885"/>
      <c r="G3138" s="885"/>
      <c r="H3138" s="885"/>
      <c r="I3138" s="885"/>
      <c r="J3138" s="885"/>
      <c r="K3138" s="885"/>
    </row>
    <row r="3139" spans="4:21" s="29" customFormat="1" x14ac:dyDescent="0.25">
      <c r="D3139" s="886" t="s">
        <v>0</v>
      </c>
      <c r="E3139" s="886"/>
      <c r="F3139" s="886"/>
      <c r="G3139" s="886" t="s">
        <v>1</v>
      </c>
      <c r="H3139" s="886"/>
      <c r="I3139" s="886"/>
      <c r="J3139" s="886"/>
      <c r="K3139" s="886"/>
    </row>
    <row r="3140" spans="4:21" s="29" customFormat="1" x14ac:dyDescent="0.25">
      <c r="D3140" s="887" t="s">
        <v>2</v>
      </c>
      <c r="E3140" s="887"/>
      <c r="F3140" s="887"/>
      <c r="G3140" s="888" t="s">
        <v>1254</v>
      </c>
      <c r="H3140" s="888"/>
      <c r="I3140" s="888"/>
      <c r="J3140" s="888"/>
      <c r="K3140" s="888"/>
      <c r="M3140" s="79" t="s">
        <v>336</v>
      </c>
      <c r="N3140" s="79" t="s">
        <v>174</v>
      </c>
      <c r="O3140" s="79" t="s">
        <v>248</v>
      </c>
      <c r="P3140" s="79" t="s">
        <v>176</v>
      </c>
      <c r="Q3140" s="79" t="s">
        <v>337</v>
      </c>
      <c r="R3140" s="79" t="s">
        <v>1641</v>
      </c>
      <c r="S3140" s="79" t="s">
        <v>1642</v>
      </c>
      <c r="T3140" s="79" t="s">
        <v>1643</v>
      </c>
      <c r="U3140" s="79" t="s">
        <v>1644</v>
      </c>
    </row>
    <row r="3141" spans="4:21" s="29" customFormat="1" x14ac:dyDescent="0.25">
      <c r="D3141" s="887"/>
      <c r="E3141" s="887"/>
      <c r="F3141" s="887"/>
      <c r="G3141" s="888"/>
      <c r="H3141" s="888"/>
      <c r="I3141" s="888"/>
      <c r="J3141" s="888"/>
      <c r="K3141" s="888"/>
      <c r="M3141" s="123" t="s">
        <v>740</v>
      </c>
      <c r="N3141" s="123">
        <f>M8</f>
        <v>3.2</v>
      </c>
      <c r="O3141" s="123" t="str">
        <f>L8</f>
        <v>g</v>
      </c>
      <c r="P3141" s="123">
        <v>30</v>
      </c>
      <c r="Q3141" s="123">
        <f>N3141*P3141</f>
        <v>96</v>
      </c>
      <c r="R3141" s="123">
        <v>0</v>
      </c>
      <c r="S3141" s="123">
        <f>P3141*R3141</f>
        <v>0</v>
      </c>
      <c r="T3141" s="123">
        <f>P3141-S3141</f>
        <v>30</v>
      </c>
      <c r="U3141" s="123">
        <f>Q3141+((S3141*Q3141)/P3141)</f>
        <v>96</v>
      </c>
    </row>
    <row r="3142" spans="4:21" s="29" customFormat="1" x14ac:dyDescent="0.25">
      <c r="D3142" s="887"/>
      <c r="E3142" s="887"/>
      <c r="F3142" s="887"/>
      <c r="G3142" s="888"/>
      <c r="H3142" s="888"/>
      <c r="I3142" s="888"/>
      <c r="J3142" s="888"/>
      <c r="K3142" s="888"/>
      <c r="M3142" s="123" t="s">
        <v>1300</v>
      </c>
      <c r="N3142" s="123">
        <f>V17</f>
        <v>23.09</v>
      </c>
      <c r="O3142" s="123" t="str">
        <f>U17</f>
        <v>g</v>
      </c>
      <c r="P3142" s="123">
        <v>40</v>
      </c>
      <c r="Q3142" s="123">
        <f t="shared" ref="Q3142:Q3145" si="1066">N3142*P3142</f>
        <v>923.6</v>
      </c>
      <c r="R3142" s="123">
        <v>0</v>
      </c>
      <c r="S3142" s="123">
        <f t="shared" ref="S3142:S3145" si="1067">P3142*R3142</f>
        <v>0</v>
      </c>
      <c r="T3142" s="123">
        <f t="shared" ref="T3142:T3145" si="1068">P3142-S3142</f>
        <v>40</v>
      </c>
      <c r="U3142" s="123">
        <f t="shared" ref="U3142:U3145" si="1069">Q3142+((S3142*Q3142)/P3142)</f>
        <v>923.6</v>
      </c>
    </row>
    <row r="3143" spans="4:21" s="29" customFormat="1" x14ac:dyDescent="0.25">
      <c r="D3143" s="886" t="s">
        <v>0</v>
      </c>
      <c r="E3143" s="886"/>
      <c r="F3143" s="886"/>
      <c r="G3143" s="886" t="s">
        <v>1</v>
      </c>
      <c r="H3143" s="886"/>
      <c r="I3143" s="886"/>
      <c r="J3143" s="886"/>
      <c r="K3143" s="886"/>
      <c r="M3143" s="123" t="s">
        <v>348</v>
      </c>
      <c r="N3143" s="123">
        <f>V2</f>
        <v>13.11</v>
      </c>
      <c r="O3143" s="123" t="str">
        <f>U2</f>
        <v>g</v>
      </c>
      <c r="P3143" s="123">
        <v>60</v>
      </c>
      <c r="Q3143" s="123">
        <f t="shared" si="1066"/>
        <v>786.59999999999991</v>
      </c>
      <c r="R3143" s="123">
        <v>0</v>
      </c>
      <c r="S3143" s="123">
        <f t="shared" si="1067"/>
        <v>0</v>
      </c>
      <c r="T3143" s="123">
        <f t="shared" si="1068"/>
        <v>60</v>
      </c>
      <c r="U3143" s="123">
        <f t="shared" si="1069"/>
        <v>786.59999999999991</v>
      </c>
    </row>
    <row r="3144" spans="4:21" s="29" customFormat="1" x14ac:dyDescent="0.25">
      <c r="D3144" s="887" t="s">
        <v>3</v>
      </c>
      <c r="E3144" s="887"/>
      <c r="F3144" s="887"/>
      <c r="G3144" s="889" t="s">
        <v>1266</v>
      </c>
      <c r="H3144" s="888"/>
      <c r="I3144" s="888"/>
      <c r="J3144" s="888"/>
      <c r="K3144" s="888"/>
      <c r="M3144" s="123" t="s">
        <v>1301</v>
      </c>
      <c r="N3144" s="123">
        <f>AE22</f>
        <v>78.33</v>
      </c>
      <c r="O3144" s="123" t="str">
        <f>AD22</f>
        <v>g</v>
      </c>
      <c r="P3144" s="123">
        <v>60</v>
      </c>
      <c r="Q3144" s="123">
        <f t="shared" si="1066"/>
        <v>4699.8</v>
      </c>
      <c r="R3144" s="123">
        <v>0</v>
      </c>
      <c r="S3144" s="123">
        <f t="shared" si="1067"/>
        <v>0</v>
      </c>
      <c r="T3144" s="123">
        <f t="shared" si="1068"/>
        <v>60</v>
      </c>
      <c r="U3144" s="123">
        <f t="shared" si="1069"/>
        <v>4699.8</v>
      </c>
    </row>
    <row r="3145" spans="4:21" s="29" customFormat="1" x14ac:dyDescent="0.25">
      <c r="D3145" s="887"/>
      <c r="E3145" s="887"/>
      <c r="F3145" s="887"/>
      <c r="G3145" s="888"/>
      <c r="H3145" s="888"/>
      <c r="I3145" s="888"/>
      <c r="J3145" s="888"/>
      <c r="K3145" s="888"/>
      <c r="M3145" s="123" t="s">
        <v>1302</v>
      </c>
      <c r="N3145" s="123">
        <f>AE23</f>
        <v>31.48</v>
      </c>
      <c r="O3145" s="123" t="str">
        <f>AD23</f>
        <v>g</v>
      </c>
      <c r="P3145" s="123">
        <v>40</v>
      </c>
      <c r="Q3145" s="123">
        <f t="shared" si="1066"/>
        <v>1259.2</v>
      </c>
      <c r="R3145" s="123">
        <v>0</v>
      </c>
      <c r="S3145" s="123">
        <f t="shared" si="1067"/>
        <v>0</v>
      </c>
      <c r="T3145" s="123">
        <f t="shared" si="1068"/>
        <v>40</v>
      </c>
      <c r="U3145" s="123">
        <f t="shared" si="1069"/>
        <v>1259.2</v>
      </c>
    </row>
    <row r="3146" spans="4:21" s="29" customFormat="1" x14ac:dyDescent="0.25">
      <c r="D3146" s="887"/>
      <c r="E3146" s="887"/>
      <c r="F3146" s="887"/>
      <c r="G3146" s="888"/>
      <c r="H3146" s="888"/>
      <c r="I3146" s="888"/>
      <c r="J3146" s="888"/>
      <c r="K3146" s="888"/>
      <c r="M3146" s="123"/>
      <c r="N3146" s="123"/>
      <c r="O3146" s="123"/>
      <c r="P3146" s="123"/>
      <c r="Q3146" s="123"/>
      <c r="R3146" s="123"/>
      <c r="S3146" s="123"/>
      <c r="T3146" s="123"/>
      <c r="U3146" s="123"/>
    </row>
    <row r="3147" spans="4:21" s="29" customFormat="1" x14ac:dyDescent="0.25">
      <c r="D3147" s="887" t="s">
        <v>4</v>
      </c>
      <c r="E3147" s="887"/>
      <c r="F3147" s="887"/>
      <c r="G3147" s="888" t="s">
        <v>825</v>
      </c>
      <c r="H3147" s="888"/>
      <c r="I3147" s="888"/>
      <c r="J3147" s="888"/>
      <c r="K3147" s="888"/>
      <c r="M3147" s="123"/>
      <c r="N3147" s="123"/>
      <c r="O3147" s="123"/>
      <c r="P3147" s="123"/>
      <c r="Q3147" s="123"/>
      <c r="R3147" s="123"/>
      <c r="S3147" s="123"/>
      <c r="T3147" s="123"/>
      <c r="U3147" s="123"/>
    </row>
    <row r="3148" spans="4:21" s="29" customFormat="1" x14ac:dyDescent="0.25">
      <c r="D3148" s="887"/>
      <c r="E3148" s="887"/>
      <c r="F3148" s="887"/>
      <c r="G3148" s="888"/>
      <c r="H3148" s="888"/>
      <c r="I3148" s="888"/>
      <c r="J3148" s="888"/>
      <c r="K3148" s="888"/>
      <c r="M3148" s="123"/>
      <c r="N3148" s="123"/>
      <c r="O3148" s="123"/>
      <c r="P3148" s="123"/>
      <c r="Q3148" s="123"/>
      <c r="R3148" s="123"/>
      <c r="S3148" s="123"/>
      <c r="T3148" s="123"/>
      <c r="U3148" s="123"/>
    </row>
    <row r="3149" spans="4:21" s="29" customFormat="1" x14ac:dyDescent="0.25">
      <c r="D3149" s="887"/>
      <c r="E3149" s="887"/>
      <c r="F3149" s="887"/>
      <c r="G3149" s="888"/>
      <c r="H3149" s="888"/>
      <c r="I3149" s="888"/>
      <c r="J3149" s="888"/>
      <c r="K3149" s="888"/>
      <c r="M3149" s="123" t="s">
        <v>337</v>
      </c>
      <c r="N3149" s="123">
        <f>SUM(N3141:N3148)</f>
        <v>149.20999999999998</v>
      </c>
      <c r="O3149" s="123"/>
      <c r="P3149" s="123">
        <f>SUM(P3141:P3148)</f>
        <v>230</v>
      </c>
      <c r="Q3149" s="123">
        <f>SUM(Q3141:Q3148)</f>
        <v>7765.2</v>
      </c>
      <c r="R3149" s="123"/>
      <c r="S3149" s="123"/>
      <c r="T3149" s="123"/>
      <c r="U3149" s="123">
        <f>SUM(U3141:U3148)</f>
        <v>7765.2</v>
      </c>
    </row>
    <row r="3150" spans="4:21" s="29" customFormat="1" x14ac:dyDescent="0.25">
      <c r="D3150" s="887" t="s">
        <v>5</v>
      </c>
      <c r="E3150" s="887"/>
      <c r="F3150" s="887"/>
      <c r="G3150" s="888" t="s">
        <v>1267</v>
      </c>
      <c r="H3150" s="888"/>
      <c r="I3150" s="888"/>
      <c r="J3150" s="888"/>
      <c r="K3150" s="888"/>
    </row>
    <row r="3151" spans="4:21" s="29" customFormat="1" x14ac:dyDescent="0.25">
      <c r="D3151" s="887"/>
      <c r="E3151" s="887"/>
      <c r="F3151" s="887"/>
      <c r="G3151" s="888"/>
      <c r="H3151" s="888"/>
      <c r="I3151" s="888"/>
      <c r="J3151" s="888"/>
      <c r="K3151" s="888"/>
      <c r="Q3151" s="123" t="s">
        <v>1681</v>
      </c>
      <c r="R3151" s="123">
        <f>U3149</f>
        <v>7765.2</v>
      </c>
      <c r="S3151" s="608" t="s">
        <v>2142</v>
      </c>
      <c r="T3151" s="608">
        <f>(R3151*100)/R3158</f>
        <v>47.688982949241229</v>
      </c>
    </row>
    <row r="3152" spans="4:21" s="29" customFormat="1" x14ac:dyDescent="0.25">
      <c r="D3152" s="887"/>
      <c r="E3152" s="887"/>
      <c r="F3152" s="887"/>
      <c r="G3152" s="888"/>
      <c r="H3152" s="888"/>
      <c r="I3152" s="888"/>
      <c r="J3152" s="888"/>
      <c r="K3152" s="888"/>
      <c r="Q3152" s="123" t="s">
        <v>2326</v>
      </c>
      <c r="R3152" s="123">
        <f>$AN$26</f>
        <v>956.11849518817462</v>
      </c>
    </row>
    <row r="3153" spans="4:21" s="29" customFormat="1" x14ac:dyDescent="0.25">
      <c r="D3153" s="887" t="s">
        <v>6</v>
      </c>
      <c r="E3153" s="887"/>
      <c r="F3153" s="887"/>
      <c r="G3153" s="888" t="s">
        <v>9</v>
      </c>
      <c r="H3153" s="888"/>
      <c r="I3153" s="888"/>
      <c r="J3153" s="888"/>
      <c r="K3153" s="888"/>
      <c r="Q3153" s="123" t="s">
        <v>2325</v>
      </c>
      <c r="R3153" s="123">
        <f>$AN$27</f>
        <v>82.78</v>
      </c>
    </row>
    <row r="3154" spans="4:21" s="29" customFormat="1" x14ac:dyDescent="0.25">
      <c r="D3154" s="887"/>
      <c r="E3154" s="887"/>
      <c r="F3154" s="887"/>
      <c r="G3154" s="888"/>
      <c r="H3154" s="888"/>
      <c r="I3154" s="888"/>
      <c r="J3154" s="888"/>
      <c r="K3154" s="888"/>
      <c r="Q3154" s="123" t="s">
        <v>1684</v>
      </c>
      <c r="R3154" s="123">
        <f>$AN$29</f>
        <v>618.93743909253101</v>
      </c>
    </row>
    <row r="3155" spans="4:21" s="29" customFormat="1" x14ac:dyDescent="0.25">
      <c r="D3155" s="887"/>
      <c r="E3155" s="887"/>
      <c r="F3155" s="887"/>
      <c r="G3155" s="888"/>
      <c r="H3155" s="888"/>
      <c r="I3155" s="888"/>
      <c r="J3155" s="888"/>
      <c r="K3155" s="888"/>
      <c r="Q3155" s="123" t="s">
        <v>1685</v>
      </c>
      <c r="R3155" s="123">
        <v>0.6</v>
      </c>
    </row>
    <row r="3156" spans="4:21" s="29" customFormat="1" x14ac:dyDescent="0.25">
      <c r="D3156" s="887" t="s">
        <v>7</v>
      </c>
      <c r="E3156" s="887"/>
      <c r="F3156" s="887"/>
      <c r="G3156" s="889" t="s">
        <v>1268</v>
      </c>
      <c r="H3156" s="888"/>
      <c r="I3156" s="888"/>
      <c r="J3156" s="888"/>
      <c r="K3156" s="888"/>
      <c r="Q3156" s="123" t="s">
        <v>1708</v>
      </c>
      <c r="R3156" s="123">
        <f>(SUM(R3151:R3154)*R3155)+SUM(R3151:R3154)</f>
        <v>15076.85749484913</v>
      </c>
    </row>
    <row r="3157" spans="4:21" s="29" customFormat="1" x14ac:dyDescent="0.25">
      <c r="D3157" s="887"/>
      <c r="E3157" s="887"/>
      <c r="F3157" s="887"/>
      <c r="G3157" s="888"/>
      <c r="H3157" s="888"/>
      <c r="I3157" s="888"/>
      <c r="J3157" s="888"/>
      <c r="K3157" s="888"/>
      <c r="Q3157" s="123" t="s">
        <v>2130</v>
      </c>
      <c r="R3157" s="123">
        <f>R3156*0.08</f>
        <v>1206.1485995879304</v>
      </c>
    </row>
    <row r="3158" spans="4:21" s="29" customFormat="1" x14ac:dyDescent="0.25">
      <c r="D3158" s="887"/>
      <c r="E3158" s="887"/>
      <c r="F3158" s="887"/>
      <c r="G3158" s="888"/>
      <c r="H3158" s="888"/>
      <c r="I3158" s="888"/>
      <c r="J3158" s="888"/>
      <c r="K3158" s="888"/>
      <c r="Q3158" s="123" t="s">
        <v>1686</v>
      </c>
      <c r="R3158" s="123">
        <f>SUM(R3156+R3157)</f>
        <v>16283.00609443706</v>
      </c>
    </row>
    <row r="3159" spans="4:21" s="29" customFormat="1" x14ac:dyDescent="0.25"/>
    <row r="3160" spans="4:21" s="29" customFormat="1" x14ac:dyDescent="0.25"/>
    <row r="3161" spans="4:21" s="29" customFormat="1" x14ac:dyDescent="0.25">
      <c r="D3161" s="885" t="s">
        <v>8</v>
      </c>
      <c r="E3161" s="885"/>
      <c r="F3161" s="885"/>
      <c r="G3161" s="885"/>
      <c r="H3161" s="885"/>
      <c r="I3161" s="885"/>
      <c r="J3161" s="885"/>
      <c r="K3161" s="885"/>
    </row>
    <row r="3162" spans="4:21" s="29" customFormat="1" x14ac:dyDescent="0.25">
      <c r="D3162" s="886" t="s">
        <v>0</v>
      </c>
      <c r="E3162" s="886"/>
      <c r="F3162" s="886"/>
      <c r="G3162" s="886" t="s">
        <v>1</v>
      </c>
      <c r="H3162" s="886"/>
      <c r="I3162" s="886"/>
      <c r="J3162" s="886"/>
      <c r="K3162" s="886"/>
    </row>
    <row r="3163" spans="4:21" s="29" customFormat="1" x14ac:dyDescent="0.25">
      <c r="D3163" s="887" t="s">
        <v>2</v>
      </c>
      <c r="E3163" s="887"/>
      <c r="F3163" s="887"/>
      <c r="G3163" s="888" t="s">
        <v>1255</v>
      </c>
      <c r="H3163" s="888"/>
      <c r="I3163" s="888"/>
      <c r="J3163" s="888"/>
      <c r="K3163" s="888"/>
      <c r="M3163" s="79" t="s">
        <v>336</v>
      </c>
      <c r="N3163" s="79" t="s">
        <v>174</v>
      </c>
      <c r="O3163" s="79" t="s">
        <v>248</v>
      </c>
      <c r="P3163" s="79" t="s">
        <v>176</v>
      </c>
      <c r="Q3163" s="79" t="s">
        <v>337</v>
      </c>
      <c r="R3163" s="79" t="s">
        <v>1641</v>
      </c>
      <c r="S3163" s="79" t="s">
        <v>1642</v>
      </c>
      <c r="T3163" s="79" t="s">
        <v>1643</v>
      </c>
      <c r="U3163" s="79" t="s">
        <v>1644</v>
      </c>
    </row>
    <row r="3164" spans="4:21" s="29" customFormat="1" x14ac:dyDescent="0.25">
      <c r="D3164" s="887"/>
      <c r="E3164" s="887"/>
      <c r="F3164" s="887"/>
      <c r="G3164" s="888"/>
      <c r="H3164" s="888"/>
      <c r="I3164" s="888"/>
      <c r="J3164" s="888"/>
      <c r="K3164" s="888"/>
      <c r="M3164" s="123" t="s">
        <v>1304</v>
      </c>
      <c r="N3164" s="123">
        <f>M5+M11+M20</f>
        <v>13.606999999999999</v>
      </c>
      <c r="O3164" s="123" t="str">
        <f>L20</f>
        <v>g</v>
      </c>
      <c r="P3164" s="123">
        <v>30</v>
      </c>
      <c r="Q3164" s="123">
        <f>N3164*P3164</f>
        <v>408.21</v>
      </c>
      <c r="R3164" s="123">
        <f>AL12</f>
        <v>7.0000000000000007E-2</v>
      </c>
      <c r="S3164" s="123">
        <f>P3164*R3164</f>
        <v>2.1</v>
      </c>
      <c r="T3164" s="123">
        <f>P3164-S3164</f>
        <v>27.9</v>
      </c>
      <c r="U3164" s="123">
        <f>Q3164+((S3164*Q3164)/P3164)</f>
        <v>436.78469999999999</v>
      </c>
    </row>
    <row r="3165" spans="4:21" s="29" customFormat="1" x14ac:dyDescent="0.25">
      <c r="D3165" s="887"/>
      <c r="E3165" s="887"/>
      <c r="F3165" s="887"/>
      <c r="G3165" s="888"/>
      <c r="H3165" s="888"/>
      <c r="I3165" s="888"/>
      <c r="J3165" s="888"/>
      <c r="K3165" s="888"/>
      <c r="M3165" s="123" t="s">
        <v>1300</v>
      </c>
      <c r="N3165" s="123">
        <f>V17</f>
        <v>23.09</v>
      </c>
      <c r="O3165" s="123" t="str">
        <f>U17</f>
        <v>g</v>
      </c>
      <c r="P3165" s="123">
        <v>40</v>
      </c>
      <c r="Q3165" s="123">
        <f t="shared" ref="Q3165:Q3168" si="1070">N3165*P3165</f>
        <v>923.6</v>
      </c>
      <c r="R3165" s="123">
        <v>0</v>
      </c>
      <c r="S3165" s="123">
        <f t="shared" ref="S3165:S3168" si="1071">P3165*R3165</f>
        <v>0</v>
      </c>
      <c r="T3165" s="123">
        <f t="shared" ref="T3165:T3168" si="1072">P3165-S3165</f>
        <v>40</v>
      </c>
      <c r="U3165" s="123">
        <f t="shared" ref="U3165:U3168" si="1073">Q3165+((S3165*Q3165)/P3165)</f>
        <v>923.6</v>
      </c>
    </row>
    <row r="3166" spans="4:21" s="29" customFormat="1" x14ac:dyDescent="0.25">
      <c r="D3166" s="886" t="s">
        <v>0</v>
      </c>
      <c r="E3166" s="886"/>
      <c r="F3166" s="886"/>
      <c r="G3166" s="886" t="s">
        <v>1</v>
      </c>
      <c r="H3166" s="886"/>
      <c r="I3166" s="886"/>
      <c r="J3166" s="886"/>
      <c r="K3166" s="886"/>
      <c r="M3166" s="123" t="s">
        <v>348</v>
      </c>
      <c r="N3166" s="123">
        <f>V2</f>
        <v>13.11</v>
      </c>
      <c r="O3166" s="123" t="str">
        <f>U2</f>
        <v>g</v>
      </c>
      <c r="P3166" s="123">
        <v>60</v>
      </c>
      <c r="Q3166" s="123">
        <f t="shared" si="1070"/>
        <v>786.59999999999991</v>
      </c>
      <c r="R3166" s="123">
        <v>0</v>
      </c>
      <c r="S3166" s="123">
        <f t="shared" si="1071"/>
        <v>0</v>
      </c>
      <c r="T3166" s="123">
        <f t="shared" si="1072"/>
        <v>60</v>
      </c>
      <c r="U3166" s="123">
        <f t="shared" si="1073"/>
        <v>786.59999999999991</v>
      </c>
    </row>
    <row r="3167" spans="4:21" s="29" customFormat="1" x14ac:dyDescent="0.25">
      <c r="D3167" s="887" t="s">
        <v>3</v>
      </c>
      <c r="E3167" s="887"/>
      <c r="F3167" s="887"/>
      <c r="G3167" s="889" t="s">
        <v>1269</v>
      </c>
      <c r="H3167" s="888"/>
      <c r="I3167" s="888"/>
      <c r="J3167" s="888"/>
      <c r="K3167" s="888"/>
      <c r="M3167" s="123" t="s">
        <v>1301</v>
      </c>
      <c r="N3167" s="123">
        <f>AE22</f>
        <v>78.33</v>
      </c>
      <c r="O3167" s="123" t="str">
        <f>AD22</f>
        <v>g</v>
      </c>
      <c r="P3167" s="123">
        <v>60</v>
      </c>
      <c r="Q3167" s="123">
        <f t="shared" si="1070"/>
        <v>4699.8</v>
      </c>
      <c r="R3167" s="123">
        <v>0</v>
      </c>
      <c r="S3167" s="123">
        <f t="shared" si="1071"/>
        <v>0</v>
      </c>
      <c r="T3167" s="123">
        <f t="shared" si="1072"/>
        <v>60</v>
      </c>
      <c r="U3167" s="123">
        <f t="shared" si="1073"/>
        <v>4699.8</v>
      </c>
    </row>
    <row r="3168" spans="4:21" s="29" customFormat="1" x14ac:dyDescent="0.25">
      <c r="D3168" s="887"/>
      <c r="E3168" s="887"/>
      <c r="F3168" s="887"/>
      <c r="G3168" s="888"/>
      <c r="H3168" s="888"/>
      <c r="I3168" s="888"/>
      <c r="J3168" s="888"/>
      <c r="K3168" s="888"/>
      <c r="M3168" s="123" t="s">
        <v>1302</v>
      </c>
      <c r="N3168" s="123">
        <f>AE23</f>
        <v>31.48</v>
      </c>
      <c r="O3168" s="123" t="str">
        <f>AD23</f>
        <v>g</v>
      </c>
      <c r="P3168" s="123">
        <v>40</v>
      </c>
      <c r="Q3168" s="123">
        <f t="shared" si="1070"/>
        <v>1259.2</v>
      </c>
      <c r="R3168" s="123">
        <v>0</v>
      </c>
      <c r="S3168" s="123">
        <f t="shared" si="1071"/>
        <v>0</v>
      </c>
      <c r="T3168" s="123">
        <f t="shared" si="1072"/>
        <v>40</v>
      </c>
      <c r="U3168" s="123">
        <f t="shared" si="1073"/>
        <v>1259.2</v>
      </c>
    </row>
    <row r="3169" spans="4:21" s="29" customFormat="1" x14ac:dyDescent="0.25">
      <c r="D3169" s="887"/>
      <c r="E3169" s="887"/>
      <c r="F3169" s="887"/>
      <c r="G3169" s="888"/>
      <c r="H3169" s="888"/>
      <c r="I3169" s="888"/>
      <c r="J3169" s="888"/>
      <c r="K3169" s="888"/>
      <c r="M3169" s="123"/>
      <c r="N3169" s="123"/>
      <c r="O3169" s="123"/>
      <c r="P3169" s="123"/>
      <c r="Q3169" s="123"/>
      <c r="R3169" s="123"/>
      <c r="S3169" s="123"/>
      <c r="T3169" s="123"/>
      <c r="U3169" s="123"/>
    </row>
    <row r="3170" spans="4:21" s="29" customFormat="1" x14ac:dyDescent="0.25">
      <c r="D3170" s="887" t="s">
        <v>4</v>
      </c>
      <c r="E3170" s="887"/>
      <c r="F3170" s="887"/>
      <c r="G3170" s="888" t="s">
        <v>825</v>
      </c>
      <c r="H3170" s="888"/>
      <c r="I3170" s="888"/>
      <c r="J3170" s="888"/>
      <c r="K3170" s="888"/>
      <c r="M3170" s="123"/>
      <c r="N3170" s="123"/>
      <c r="O3170" s="123"/>
      <c r="P3170" s="123"/>
      <c r="Q3170" s="123"/>
      <c r="R3170" s="123"/>
      <c r="S3170" s="123"/>
      <c r="T3170" s="123"/>
      <c r="U3170" s="123"/>
    </row>
    <row r="3171" spans="4:21" s="29" customFormat="1" x14ac:dyDescent="0.25">
      <c r="D3171" s="887"/>
      <c r="E3171" s="887"/>
      <c r="F3171" s="887"/>
      <c r="G3171" s="888"/>
      <c r="H3171" s="888"/>
      <c r="I3171" s="888"/>
      <c r="J3171" s="888"/>
      <c r="K3171" s="888"/>
      <c r="M3171" s="123"/>
      <c r="N3171" s="123"/>
      <c r="O3171" s="123"/>
      <c r="P3171" s="123"/>
      <c r="Q3171" s="123"/>
      <c r="R3171" s="123"/>
      <c r="S3171" s="123"/>
      <c r="T3171" s="123"/>
      <c r="U3171" s="123"/>
    </row>
    <row r="3172" spans="4:21" s="29" customFormat="1" x14ac:dyDescent="0.25">
      <c r="D3172" s="887"/>
      <c r="E3172" s="887"/>
      <c r="F3172" s="887"/>
      <c r="G3172" s="888"/>
      <c r="H3172" s="888"/>
      <c r="I3172" s="888"/>
      <c r="J3172" s="888"/>
      <c r="K3172" s="888"/>
      <c r="M3172" s="123" t="s">
        <v>337</v>
      </c>
      <c r="N3172" s="123">
        <f>SUM(N3164:N3171)</f>
        <v>159.61699999999999</v>
      </c>
      <c r="O3172" s="123"/>
      <c r="P3172" s="123">
        <f>SUM(P3164:P3171)</f>
        <v>230</v>
      </c>
      <c r="Q3172" s="123">
        <f>SUM(Q3164:Q3171)</f>
        <v>8077.41</v>
      </c>
      <c r="R3172" s="123"/>
      <c r="S3172" s="123"/>
      <c r="T3172" s="123"/>
      <c r="U3172" s="123">
        <f>SUM(U3164:U3171)</f>
        <v>8105.9847</v>
      </c>
    </row>
    <row r="3173" spans="4:21" s="29" customFormat="1" x14ac:dyDescent="0.25">
      <c r="D3173" s="887" t="s">
        <v>5</v>
      </c>
      <c r="E3173" s="887"/>
      <c r="F3173" s="887"/>
      <c r="G3173" s="888" t="s">
        <v>1270</v>
      </c>
      <c r="H3173" s="888"/>
      <c r="I3173" s="888"/>
      <c r="J3173" s="888"/>
      <c r="K3173" s="888"/>
    </row>
    <row r="3174" spans="4:21" s="29" customFormat="1" x14ac:dyDescent="0.25">
      <c r="D3174" s="887"/>
      <c r="E3174" s="887"/>
      <c r="F3174" s="887"/>
      <c r="G3174" s="888"/>
      <c r="H3174" s="888"/>
      <c r="I3174" s="888"/>
      <c r="J3174" s="888"/>
      <c r="K3174" s="888"/>
      <c r="Q3174" s="123" t="s">
        <v>1681</v>
      </c>
      <c r="R3174" s="123">
        <f>U3172</f>
        <v>8105.9847</v>
      </c>
      <c r="S3174" s="608" t="s">
        <v>2142</v>
      </c>
      <c r="T3174" s="608">
        <f>(R3174*100)/R3181</f>
        <v>48.044341900194439</v>
      </c>
    </row>
    <row r="3175" spans="4:21" s="29" customFormat="1" x14ac:dyDescent="0.25">
      <c r="D3175" s="887"/>
      <c r="E3175" s="887"/>
      <c r="F3175" s="887"/>
      <c r="G3175" s="888"/>
      <c r="H3175" s="888"/>
      <c r="I3175" s="888"/>
      <c r="J3175" s="888"/>
      <c r="K3175" s="888"/>
      <c r="Q3175" s="123" t="s">
        <v>2326</v>
      </c>
      <c r="R3175" s="123">
        <f>$AN$26</f>
        <v>956.11849518817462</v>
      </c>
    </row>
    <row r="3176" spans="4:21" s="29" customFormat="1" x14ac:dyDescent="0.25">
      <c r="D3176" s="887" t="s">
        <v>6</v>
      </c>
      <c r="E3176" s="887"/>
      <c r="F3176" s="887"/>
      <c r="G3176" s="888" t="s">
        <v>9</v>
      </c>
      <c r="H3176" s="888"/>
      <c r="I3176" s="888"/>
      <c r="J3176" s="888"/>
      <c r="K3176" s="888"/>
      <c r="Q3176" s="123" t="s">
        <v>2325</v>
      </c>
      <c r="R3176" s="123">
        <f>$AN$27</f>
        <v>82.78</v>
      </c>
    </row>
    <row r="3177" spans="4:21" s="29" customFormat="1" x14ac:dyDescent="0.25">
      <c r="D3177" s="887"/>
      <c r="E3177" s="887"/>
      <c r="F3177" s="887"/>
      <c r="G3177" s="888"/>
      <c r="H3177" s="888"/>
      <c r="I3177" s="888"/>
      <c r="J3177" s="888"/>
      <c r="K3177" s="888"/>
      <c r="Q3177" s="123" t="s">
        <v>1684</v>
      </c>
      <c r="R3177" s="123">
        <f>$AN$29</f>
        <v>618.93743909253101</v>
      </c>
    </row>
    <row r="3178" spans="4:21" s="29" customFormat="1" x14ac:dyDescent="0.25">
      <c r="D3178" s="887"/>
      <c r="E3178" s="887"/>
      <c r="F3178" s="887"/>
      <c r="G3178" s="888"/>
      <c r="H3178" s="888"/>
      <c r="I3178" s="888"/>
      <c r="J3178" s="888"/>
      <c r="K3178" s="888"/>
      <c r="Q3178" s="123" t="s">
        <v>1685</v>
      </c>
      <c r="R3178" s="123">
        <v>0.6</v>
      </c>
    </row>
    <row r="3179" spans="4:21" s="29" customFormat="1" x14ac:dyDescent="0.25">
      <c r="D3179" s="887" t="s">
        <v>7</v>
      </c>
      <c r="E3179" s="887"/>
      <c r="F3179" s="887"/>
      <c r="G3179" s="889" t="s">
        <v>1271</v>
      </c>
      <c r="H3179" s="888"/>
      <c r="I3179" s="888"/>
      <c r="J3179" s="888"/>
      <c r="K3179" s="888"/>
      <c r="Q3179" s="123" t="s">
        <v>1708</v>
      </c>
      <c r="R3179" s="123">
        <f>(SUM(R3174:R3177)*R3178)+SUM(R3174:R3177)</f>
        <v>15622.113014849128</v>
      </c>
    </row>
    <row r="3180" spans="4:21" s="29" customFormat="1" x14ac:dyDescent="0.25">
      <c r="D3180" s="887"/>
      <c r="E3180" s="887"/>
      <c r="F3180" s="887"/>
      <c r="G3180" s="888"/>
      <c r="H3180" s="888"/>
      <c r="I3180" s="888"/>
      <c r="J3180" s="888"/>
      <c r="K3180" s="888"/>
      <c r="Q3180" s="123" t="s">
        <v>2130</v>
      </c>
      <c r="R3180" s="123">
        <f>R3179*0.08</f>
        <v>1249.7690411879303</v>
      </c>
    </row>
    <row r="3181" spans="4:21" s="29" customFormat="1" x14ac:dyDescent="0.25">
      <c r="D3181" s="887"/>
      <c r="E3181" s="887"/>
      <c r="F3181" s="887"/>
      <c r="G3181" s="888"/>
      <c r="H3181" s="888"/>
      <c r="I3181" s="888"/>
      <c r="J3181" s="888"/>
      <c r="K3181" s="888"/>
      <c r="Q3181" s="123" t="s">
        <v>1686</v>
      </c>
      <c r="R3181" s="123">
        <f>SUM(R3179+R3180)</f>
        <v>16871.882056037059</v>
      </c>
    </row>
    <row r="3182" spans="4:21" s="29" customFormat="1" x14ac:dyDescent="0.25"/>
    <row r="3183" spans="4:21" s="29" customFormat="1" x14ac:dyDescent="0.25"/>
    <row r="3184" spans="4:21" s="29" customFormat="1" x14ac:dyDescent="0.25">
      <c r="D3184" s="885" t="s">
        <v>8</v>
      </c>
      <c r="E3184" s="885"/>
      <c r="F3184" s="885"/>
      <c r="G3184" s="885"/>
      <c r="H3184" s="885"/>
      <c r="I3184" s="885"/>
      <c r="J3184" s="885"/>
      <c r="K3184" s="885"/>
    </row>
    <row r="3185" spans="4:21" s="29" customFormat="1" x14ac:dyDescent="0.25">
      <c r="D3185" s="886" t="s">
        <v>0</v>
      </c>
      <c r="E3185" s="886"/>
      <c r="F3185" s="886"/>
      <c r="G3185" s="886" t="s">
        <v>1</v>
      </c>
      <c r="H3185" s="886"/>
      <c r="I3185" s="886"/>
      <c r="J3185" s="886"/>
      <c r="K3185" s="886"/>
    </row>
    <row r="3186" spans="4:21" s="29" customFormat="1" x14ac:dyDescent="0.25">
      <c r="D3186" s="887" t="s">
        <v>2</v>
      </c>
      <c r="E3186" s="887"/>
      <c r="F3186" s="887"/>
      <c r="G3186" s="888" t="s">
        <v>1256</v>
      </c>
      <c r="H3186" s="888"/>
      <c r="I3186" s="888"/>
      <c r="J3186" s="888"/>
      <c r="K3186" s="888"/>
      <c r="M3186" s="79" t="s">
        <v>336</v>
      </c>
      <c r="N3186" s="79" t="s">
        <v>174</v>
      </c>
      <c r="O3186" s="79" t="s">
        <v>248</v>
      </c>
      <c r="P3186" s="79" t="s">
        <v>176</v>
      </c>
      <c r="Q3186" s="79" t="s">
        <v>337</v>
      </c>
      <c r="R3186" s="79" t="s">
        <v>1641</v>
      </c>
      <c r="S3186" s="79" t="s">
        <v>1642</v>
      </c>
      <c r="T3186" s="79" t="s">
        <v>1643</v>
      </c>
      <c r="U3186" s="79" t="s">
        <v>1644</v>
      </c>
    </row>
    <row r="3187" spans="4:21" s="29" customFormat="1" x14ac:dyDescent="0.25">
      <c r="D3187" s="887"/>
      <c r="E3187" s="887"/>
      <c r="F3187" s="887"/>
      <c r="G3187" s="888"/>
      <c r="H3187" s="888"/>
      <c r="I3187" s="888"/>
      <c r="J3187" s="888"/>
      <c r="K3187" s="888"/>
      <c r="M3187" s="123" t="s">
        <v>1305</v>
      </c>
      <c r="N3187" s="123">
        <f>V20</f>
        <v>17.350000000000001</v>
      </c>
      <c r="O3187" s="123" t="str">
        <f>U20</f>
        <v>g</v>
      </c>
      <c r="P3187" s="123">
        <v>40</v>
      </c>
      <c r="Q3187" s="123">
        <f>N3187*P3187</f>
        <v>694</v>
      </c>
      <c r="R3187" s="123">
        <v>0</v>
      </c>
      <c r="S3187" s="123">
        <f>P3187*R3187</f>
        <v>0</v>
      </c>
      <c r="T3187" s="123">
        <f>P3187-S3187</f>
        <v>40</v>
      </c>
      <c r="U3187" s="123">
        <f>Q3187+((S3187*Q3187)/P3187)</f>
        <v>694</v>
      </c>
    </row>
    <row r="3188" spans="4:21" s="29" customFormat="1" x14ac:dyDescent="0.25">
      <c r="D3188" s="887"/>
      <c r="E3188" s="887"/>
      <c r="F3188" s="887"/>
      <c r="G3188" s="888"/>
      <c r="H3188" s="888"/>
      <c r="I3188" s="888"/>
      <c r="J3188" s="888"/>
      <c r="K3188" s="888"/>
      <c r="M3188" s="123" t="s">
        <v>1306</v>
      </c>
      <c r="N3188" s="123">
        <f>AE25</f>
        <v>9.58</v>
      </c>
      <c r="O3188" s="123" t="str">
        <f>AD25</f>
        <v>g</v>
      </c>
      <c r="P3188" s="123">
        <v>20</v>
      </c>
      <c r="Q3188" s="123">
        <f t="shared" ref="Q3188:Q3192" si="1074">N3188*P3188</f>
        <v>191.6</v>
      </c>
      <c r="R3188" s="123">
        <v>0</v>
      </c>
      <c r="S3188" s="123">
        <f t="shared" ref="S3188:S3192" si="1075">P3188*R3188</f>
        <v>0</v>
      </c>
      <c r="T3188" s="123">
        <f t="shared" ref="T3188:T3192" si="1076">P3188-S3188</f>
        <v>20</v>
      </c>
      <c r="U3188" s="123">
        <f t="shared" ref="U3188:U3192" si="1077">Q3188+((S3188*Q3188)/P3188)</f>
        <v>191.6</v>
      </c>
    </row>
    <row r="3189" spans="4:21" s="29" customFormat="1" x14ac:dyDescent="0.25">
      <c r="D3189" s="886" t="s">
        <v>0</v>
      </c>
      <c r="E3189" s="886"/>
      <c r="F3189" s="886"/>
      <c r="G3189" s="886" t="s">
        <v>1</v>
      </c>
      <c r="H3189" s="886"/>
      <c r="I3189" s="886"/>
      <c r="J3189" s="886"/>
      <c r="K3189" s="886"/>
      <c r="M3189" s="123" t="s">
        <v>1308</v>
      </c>
      <c r="N3189" s="123">
        <f>AE26</f>
        <v>9</v>
      </c>
      <c r="O3189" s="123" t="str">
        <f>AD26</f>
        <v>g</v>
      </c>
      <c r="P3189" s="123">
        <v>30</v>
      </c>
      <c r="Q3189" s="123">
        <f t="shared" si="1074"/>
        <v>270</v>
      </c>
      <c r="R3189" s="123">
        <v>0</v>
      </c>
      <c r="S3189" s="123">
        <f t="shared" si="1075"/>
        <v>0</v>
      </c>
      <c r="T3189" s="123">
        <f t="shared" si="1076"/>
        <v>30</v>
      </c>
      <c r="U3189" s="123">
        <f t="shared" si="1077"/>
        <v>270</v>
      </c>
    </row>
    <row r="3190" spans="4:21" s="29" customFormat="1" x14ac:dyDescent="0.25">
      <c r="D3190" s="887" t="s">
        <v>3</v>
      </c>
      <c r="E3190" s="887"/>
      <c r="F3190" s="887"/>
      <c r="G3190" s="889" t="s">
        <v>1273</v>
      </c>
      <c r="H3190" s="888"/>
      <c r="I3190" s="888"/>
      <c r="J3190" s="888"/>
      <c r="K3190" s="888"/>
      <c r="M3190" s="123" t="s">
        <v>1309</v>
      </c>
      <c r="N3190" s="123">
        <f>AE27</f>
        <v>15</v>
      </c>
      <c r="O3190" s="123" t="str">
        <f>AD27</f>
        <v>g</v>
      </c>
      <c r="P3190" s="123">
        <v>30</v>
      </c>
      <c r="Q3190" s="123">
        <f t="shared" si="1074"/>
        <v>450</v>
      </c>
      <c r="R3190" s="123">
        <v>0</v>
      </c>
      <c r="S3190" s="123">
        <f t="shared" si="1075"/>
        <v>0</v>
      </c>
      <c r="T3190" s="123">
        <f t="shared" si="1076"/>
        <v>30</v>
      </c>
      <c r="U3190" s="123">
        <f t="shared" si="1077"/>
        <v>450</v>
      </c>
    </row>
    <row r="3191" spans="4:21" s="29" customFormat="1" x14ac:dyDescent="0.25">
      <c r="D3191" s="887"/>
      <c r="E3191" s="887"/>
      <c r="F3191" s="887"/>
      <c r="G3191" s="888"/>
      <c r="H3191" s="888"/>
      <c r="I3191" s="888"/>
      <c r="J3191" s="888"/>
      <c r="K3191" s="888"/>
      <c r="M3191" s="123" t="s">
        <v>1310</v>
      </c>
      <c r="N3191" s="123">
        <f>AE24</f>
        <v>77.319999999999993</v>
      </c>
      <c r="O3191" s="123" t="str">
        <f>AD24</f>
        <v>mL</v>
      </c>
      <c r="P3191" s="123">
        <v>15</v>
      </c>
      <c r="Q3191" s="123">
        <f t="shared" si="1074"/>
        <v>1159.8</v>
      </c>
      <c r="R3191" s="123">
        <v>0</v>
      </c>
      <c r="S3191" s="123">
        <f t="shared" si="1075"/>
        <v>0</v>
      </c>
      <c r="T3191" s="123">
        <f t="shared" si="1076"/>
        <v>15</v>
      </c>
      <c r="U3191" s="123">
        <f t="shared" si="1077"/>
        <v>1159.8</v>
      </c>
    </row>
    <row r="3192" spans="4:21" s="29" customFormat="1" x14ac:dyDescent="0.25">
      <c r="D3192" s="887"/>
      <c r="E3192" s="887"/>
      <c r="F3192" s="887"/>
      <c r="G3192" s="888"/>
      <c r="H3192" s="888"/>
      <c r="I3192" s="888"/>
      <c r="J3192" s="888"/>
      <c r="K3192" s="888"/>
      <c r="M3192" s="123" t="s">
        <v>340</v>
      </c>
      <c r="N3192" s="123">
        <f>Y20</f>
        <v>0.64</v>
      </c>
      <c r="O3192" s="123" t="str">
        <f>X20</f>
        <v>g</v>
      </c>
      <c r="P3192" s="123">
        <v>3</v>
      </c>
      <c r="Q3192" s="123">
        <f t="shared" si="1074"/>
        <v>1.92</v>
      </c>
      <c r="R3192" s="123">
        <v>0</v>
      </c>
      <c r="S3192" s="123">
        <f t="shared" si="1075"/>
        <v>0</v>
      </c>
      <c r="T3192" s="123">
        <f t="shared" si="1076"/>
        <v>3</v>
      </c>
      <c r="U3192" s="123">
        <f t="shared" si="1077"/>
        <v>1.92</v>
      </c>
    </row>
    <row r="3193" spans="4:21" s="29" customFormat="1" x14ac:dyDescent="0.25">
      <c r="D3193" s="887" t="s">
        <v>4</v>
      </c>
      <c r="E3193" s="887"/>
      <c r="F3193" s="887"/>
      <c r="G3193" s="888" t="s">
        <v>825</v>
      </c>
      <c r="H3193" s="888"/>
      <c r="I3193" s="888"/>
      <c r="J3193" s="888"/>
      <c r="K3193" s="888"/>
      <c r="M3193" s="123"/>
      <c r="N3193" s="123"/>
      <c r="O3193" s="123"/>
      <c r="P3193" s="123"/>
      <c r="Q3193" s="123"/>
      <c r="R3193" s="123"/>
      <c r="S3193" s="123"/>
      <c r="T3193" s="123"/>
      <c r="U3193" s="123"/>
    </row>
    <row r="3194" spans="4:21" s="29" customFormat="1" x14ac:dyDescent="0.25">
      <c r="D3194" s="887"/>
      <c r="E3194" s="887"/>
      <c r="F3194" s="887"/>
      <c r="G3194" s="888"/>
      <c r="H3194" s="888"/>
      <c r="I3194" s="888"/>
      <c r="J3194" s="888"/>
      <c r="K3194" s="888"/>
      <c r="M3194" s="123"/>
      <c r="N3194" s="123"/>
      <c r="O3194" s="123"/>
      <c r="P3194" s="123"/>
      <c r="Q3194" s="123"/>
      <c r="R3194" s="123"/>
      <c r="S3194" s="123"/>
      <c r="T3194" s="123"/>
      <c r="U3194" s="123"/>
    </row>
    <row r="3195" spans="4:21" s="29" customFormat="1" x14ac:dyDescent="0.25">
      <c r="D3195" s="887"/>
      <c r="E3195" s="887"/>
      <c r="F3195" s="887"/>
      <c r="G3195" s="888"/>
      <c r="H3195" s="888"/>
      <c r="I3195" s="888"/>
      <c r="J3195" s="888"/>
      <c r="K3195" s="888"/>
      <c r="M3195" s="123" t="s">
        <v>337</v>
      </c>
      <c r="N3195" s="123">
        <f>SUM(N3187:N3194)</f>
        <v>128.88999999999999</v>
      </c>
      <c r="O3195" s="123"/>
      <c r="P3195" s="123">
        <f>SUM(P3187:P3194)</f>
        <v>138</v>
      </c>
      <c r="Q3195" s="123">
        <f>SUM(Q3187:Q3194)</f>
        <v>2767.3199999999997</v>
      </c>
      <c r="R3195" s="123"/>
      <c r="S3195" s="123"/>
      <c r="T3195" s="123"/>
      <c r="U3195" s="123">
        <f>SUM(U3187:U3194)</f>
        <v>2767.3199999999997</v>
      </c>
    </row>
    <row r="3196" spans="4:21" s="29" customFormat="1" x14ac:dyDescent="0.25">
      <c r="D3196" s="887" t="s">
        <v>5</v>
      </c>
      <c r="E3196" s="887"/>
      <c r="F3196" s="887"/>
      <c r="G3196" s="888" t="s">
        <v>1272</v>
      </c>
      <c r="H3196" s="888"/>
      <c r="I3196" s="888"/>
      <c r="J3196" s="888"/>
      <c r="K3196" s="888"/>
    </row>
    <row r="3197" spans="4:21" s="29" customFormat="1" x14ac:dyDescent="0.25">
      <c r="D3197" s="887"/>
      <c r="E3197" s="887"/>
      <c r="F3197" s="887"/>
      <c r="G3197" s="888"/>
      <c r="H3197" s="888"/>
      <c r="I3197" s="888"/>
      <c r="J3197" s="888"/>
      <c r="K3197" s="888"/>
      <c r="Q3197" s="123" t="s">
        <v>1681</v>
      </c>
      <c r="R3197" s="123">
        <f>U3195</f>
        <v>2767.3199999999997</v>
      </c>
      <c r="S3197" s="608" t="s">
        <v>2142</v>
      </c>
      <c r="T3197" s="608">
        <f>(R3197*100)/R3204</f>
        <v>36.189873466993312</v>
      </c>
    </row>
    <row r="3198" spans="4:21" s="29" customFormat="1" x14ac:dyDescent="0.25">
      <c r="D3198" s="887"/>
      <c r="E3198" s="887"/>
      <c r="F3198" s="887"/>
      <c r="G3198" s="888"/>
      <c r="H3198" s="888"/>
      <c r="I3198" s="888"/>
      <c r="J3198" s="888"/>
      <c r="K3198" s="888"/>
      <c r="Q3198" s="123" t="s">
        <v>2326</v>
      </c>
      <c r="R3198" s="123">
        <f>$AN$26</f>
        <v>956.11849518817462</v>
      </c>
    </row>
    <row r="3199" spans="4:21" s="29" customFormat="1" x14ac:dyDescent="0.25">
      <c r="D3199" s="887" t="s">
        <v>6</v>
      </c>
      <c r="E3199" s="887"/>
      <c r="F3199" s="887"/>
      <c r="G3199" s="888" t="s">
        <v>9</v>
      </c>
      <c r="H3199" s="888"/>
      <c r="I3199" s="888"/>
      <c r="J3199" s="888"/>
      <c r="K3199" s="888"/>
      <c r="Q3199" s="123" t="s">
        <v>2325</v>
      </c>
      <c r="R3199" s="123">
        <f>$AN$27</f>
        <v>82.78</v>
      </c>
    </row>
    <row r="3200" spans="4:21" s="29" customFormat="1" x14ac:dyDescent="0.25">
      <c r="D3200" s="887"/>
      <c r="E3200" s="887"/>
      <c r="F3200" s="887"/>
      <c r="G3200" s="888"/>
      <c r="H3200" s="888"/>
      <c r="I3200" s="888"/>
      <c r="J3200" s="888"/>
      <c r="K3200" s="888"/>
      <c r="Q3200" s="123" t="s">
        <v>1684</v>
      </c>
      <c r="R3200" s="123">
        <f>$AN$29</f>
        <v>618.93743909253101</v>
      </c>
    </row>
    <row r="3201" spans="4:21" s="29" customFormat="1" x14ac:dyDescent="0.25">
      <c r="D3201" s="887"/>
      <c r="E3201" s="887"/>
      <c r="F3201" s="887"/>
      <c r="G3201" s="888"/>
      <c r="H3201" s="888"/>
      <c r="I3201" s="888"/>
      <c r="J3201" s="888"/>
      <c r="K3201" s="888"/>
      <c r="Q3201" s="123" t="s">
        <v>1685</v>
      </c>
      <c r="R3201" s="123">
        <v>0.6</v>
      </c>
    </row>
    <row r="3202" spans="4:21" s="29" customFormat="1" x14ac:dyDescent="0.25">
      <c r="D3202" s="887" t="s">
        <v>7</v>
      </c>
      <c r="E3202" s="887"/>
      <c r="F3202" s="887"/>
      <c r="G3202" s="889" t="s">
        <v>1307</v>
      </c>
      <c r="H3202" s="888"/>
      <c r="I3202" s="888"/>
      <c r="J3202" s="888"/>
      <c r="K3202" s="888"/>
      <c r="Q3202" s="123" t="s">
        <v>1708</v>
      </c>
      <c r="R3202" s="123">
        <f>(SUM(R3197:R3200)*R3201)+SUM(R3197:R3200)</f>
        <v>7080.2494948491294</v>
      </c>
    </row>
    <row r="3203" spans="4:21" s="29" customFormat="1" x14ac:dyDescent="0.25">
      <c r="D3203" s="887"/>
      <c r="E3203" s="887"/>
      <c r="F3203" s="887"/>
      <c r="G3203" s="888"/>
      <c r="H3203" s="888"/>
      <c r="I3203" s="888"/>
      <c r="J3203" s="888"/>
      <c r="K3203" s="888"/>
      <c r="Q3203" s="123" t="s">
        <v>2130</v>
      </c>
      <c r="R3203" s="123">
        <f>R3202*0.08</f>
        <v>566.41995958793041</v>
      </c>
    </row>
    <row r="3204" spans="4:21" s="29" customFormat="1" x14ac:dyDescent="0.25">
      <c r="D3204" s="887"/>
      <c r="E3204" s="887"/>
      <c r="F3204" s="887"/>
      <c r="G3204" s="888"/>
      <c r="H3204" s="888"/>
      <c r="I3204" s="888"/>
      <c r="J3204" s="888"/>
      <c r="K3204" s="888"/>
      <c r="Q3204" s="123" t="s">
        <v>1686</v>
      </c>
      <c r="R3204" s="123">
        <f>SUM(R3202+R3203)</f>
        <v>7646.6694544370603</v>
      </c>
    </row>
    <row r="3205" spans="4:21" s="29" customFormat="1" x14ac:dyDescent="0.25"/>
    <row r="3206" spans="4:21" s="29" customFormat="1" x14ac:dyDescent="0.25"/>
    <row r="3207" spans="4:21" s="29" customFormat="1" x14ac:dyDescent="0.25">
      <c r="D3207" s="885" t="s">
        <v>8</v>
      </c>
      <c r="E3207" s="885"/>
      <c r="F3207" s="885"/>
      <c r="G3207" s="885"/>
      <c r="H3207" s="885"/>
      <c r="I3207" s="885"/>
      <c r="J3207" s="885"/>
      <c r="K3207" s="885"/>
    </row>
    <row r="3208" spans="4:21" s="29" customFormat="1" x14ac:dyDescent="0.25">
      <c r="D3208" s="886" t="s">
        <v>0</v>
      </c>
      <c r="E3208" s="886"/>
      <c r="F3208" s="886"/>
      <c r="G3208" s="886" t="s">
        <v>1</v>
      </c>
      <c r="H3208" s="886"/>
      <c r="I3208" s="886"/>
      <c r="J3208" s="886"/>
      <c r="K3208" s="886"/>
    </row>
    <row r="3209" spans="4:21" s="29" customFormat="1" x14ac:dyDescent="0.25">
      <c r="D3209" s="887" t="s">
        <v>2</v>
      </c>
      <c r="E3209" s="887"/>
      <c r="F3209" s="887"/>
      <c r="G3209" s="888" t="s">
        <v>1257</v>
      </c>
      <c r="H3209" s="888"/>
      <c r="I3209" s="888"/>
      <c r="J3209" s="888"/>
      <c r="K3209" s="888"/>
      <c r="M3209" s="79" t="s">
        <v>336</v>
      </c>
      <c r="N3209" s="79" t="s">
        <v>174</v>
      </c>
      <c r="O3209" s="79" t="s">
        <v>248</v>
      </c>
      <c r="P3209" s="79" t="s">
        <v>176</v>
      </c>
      <c r="Q3209" s="79" t="s">
        <v>337</v>
      </c>
      <c r="R3209" s="79" t="s">
        <v>1641</v>
      </c>
      <c r="S3209" s="79" t="s">
        <v>1642</v>
      </c>
      <c r="T3209" s="79" t="s">
        <v>1643</v>
      </c>
      <c r="U3209" s="79" t="s">
        <v>1644</v>
      </c>
    </row>
    <row r="3210" spans="4:21" s="29" customFormat="1" x14ac:dyDescent="0.25">
      <c r="D3210" s="887"/>
      <c r="E3210" s="887"/>
      <c r="F3210" s="887"/>
      <c r="G3210" s="888"/>
      <c r="H3210" s="888"/>
      <c r="I3210" s="888"/>
      <c r="J3210" s="888"/>
      <c r="K3210" s="888"/>
      <c r="M3210" s="123" t="s">
        <v>354</v>
      </c>
      <c r="N3210" s="123">
        <f>V4</f>
        <v>3.08</v>
      </c>
      <c r="O3210" s="123" t="str">
        <f>U4</f>
        <v>mL</v>
      </c>
      <c r="P3210" s="123">
        <v>40</v>
      </c>
      <c r="Q3210" s="123">
        <f>N3210*P3210</f>
        <v>123.2</v>
      </c>
      <c r="R3210" s="123">
        <v>0</v>
      </c>
      <c r="S3210" s="123">
        <f>P3210*R3210</f>
        <v>0</v>
      </c>
      <c r="T3210" s="123">
        <f>P3210-S3210</f>
        <v>40</v>
      </c>
      <c r="U3210" s="123">
        <f>Q3210+((S3210*Q3210)/P3210)</f>
        <v>123.2</v>
      </c>
    </row>
    <row r="3211" spans="4:21" s="29" customFormat="1" x14ac:dyDescent="0.25">
      <c r="D3211" s="887"/>
      <c r="E3211" s="887"/>
      <c r="F3211" s="887"/>
      <c r="G3211" s="888"/>
      <c r="H3211" s="888"/>
      <c r="I3211" s="888"/>
      <c r="J3211" s="888"/>
      <c r="K3211" s="888"/>
      <c r="M3211" s="123" t="s">
        <v>347</v>
      </c>
      <c r="N3211" s="123">
        <f>V6</f>
        <v>28.76</v>
      </c>
      <c r="O3211" s="123" t="str">
        <f>U6</f>
        <v>g</v>
      </c>
      <c r="P3211" s="123">
        <v>25</v>
      </c>
      <c r="Q3211" s="123">
        <f t="shared" ref="Q3211:Q3219" si="1078">N3211*P3211</f>
        <v>719</v>
      </c>
      <c r="R3211" s="123">
        <v>0</v>
      </c>
      <c r="S3211" s="123">
        <f t="shared" ref="S3211:S3219" si="1079">P3211*R3211</f>
        <v>0</v>
      </c>
      <c r="T3211" s="123">
        <f t="shared" ref="T3211:T3219" si="1080">P3211-S3211</f>
        <v>25</v>
      </c>
      <c r="U3211" s="123">
        <f t="shared" ref="U3211:U3219" si="1081">Q3211+((S3211*Q3211)/P3211)</f>
        <v>719</v>
      </c>
    </row>
    <row r="3212" spans="4:21" s="29" customFormat="1" x14ac:dyDescent="0.25">
      <c r="D3212" s="886" t="s">
        <v>0</v>
      </c>
      <c r="E3212" s="886"/>
      <c r="F3212" s="886"/>
      <c r="G3212" s="886" t="s">
        <v>1</v>
      </c>
      <c r="H3212" s="886"/>
      <c r="I3212" s="886"/>
      <c r="J3212" s="886"/>
      <c r="K3212" s="886"/>
      <c r="M3212" s="123" t="s">
        <v>338</v>
      </c>
      <c r="N3212" s="123">
        <f>AE4</f>
        <v>2.25</v>
      </c>
      <c r="O3212" s="123" t="str">
        <f>AD4</f>
        <v>g</v>
      </c>
      <c r="P3212" s="123">
        <v>20</v>
      </c>
      <c r="Q3212" s="123">
        <f t="shared" si="1078"/>
        <v>45</v>
      </c>
      <c r="R3212" s="123">
        <v>0</v>
      </c>
      <c r="S3212" s="123">
        <f t="shared" si="1079"/>
        <v>0</v>
      </c>
      <c r="T3212" s="123">
        <f t="shared" si="1080"/>
        <v>20</v>
      </c>
      <c r="U3212" s="123">
        <f t="shared" si="1081"/>
        <v>45</v>
      </c>
    </row>
    <row r="3213" spans="4:21" s="29" customFormat="1" x14ac:dyDescent="0.25">
      <c r="D3213" s="887" t="s">
        <v>3</v>
      </c>
      <c r="E3213" s="887"/>
      <c r="F3213" s="887"/>
      <c r="G3213" s="888" t="s">
        <v>1257</v>
      </c>
      <c r="H3213" s="888"/>
      <c r="I3213" s="888"/>
      <c r="J3213" s="888"/>
      <c r="K3213" s="888"/>
      <c r="M3213" s="123" t="s">
        <v>339</v>
      </c>
      <c r="N3213" s="123">
        <f>AE7</f>
        <v>0.4</v>
      </c>
      <c r="O3213" s="123" t="str">
        <f>AD7</f>
        <v>g</v>
      </c>
      <c r="P3213" s="123">
        <v>20</v>
      </c>
      <c r="Q3213" s="123">
        <f t="shared" si="1078"/>
        <v>8</v>
      </c>
      <c r="R3213" s="123">
        <v>0</v>
      </c>
      <c r="S3213" s="123">
        <f t="shared" si="1079"/>
        <v>0</v>
      </c>
      <c r="T3213" s="123">
        <f t="shared" si="1080"/>
        <v>20</v>
      </c>
      <c r="U3213" s="123">
        <f t="shared" si="1081"/>
        <v>8</v>
      </c>
    </row>
    <row r="3214" spans="4:21" s="29" customFormat="1" x14ac:dyDescent="0.25">
      <c r="D3214" s="887"/>
      <c r="E3214" s="887"/>
      <c r="F3214" s="887"/>
      <c r="G3214" s="888"/>
      <c r="H3214" s="888"/>
      <c r="I3214" s="888"/>
      <c r="J3214" s="888"/>
      <c r="K3214" s="888"/>
      <c r="M3214" s="123" t="s">
        <v>340</v>
      </c>
      <c r="N3214" s="123">
        <f>Y20</f>
        <v>0.64</v>
      </c>
      <c r="O3214" s="123" t="str">
        <f>X20</f>
        <v>g</v>
      </c>
      <c r="P3214" s="123">
        <v>4</v>
      </c>
      <c r="Q3214" s="123">
        <f>N3214*P3214</f>
        <v>2.56</v>
      </c>
      <c r="R3214" s="123">
        <v>0</v>
      </c>
      <c r="S3214" s="123">
        <f t="shared" si="1079"/>
        <v>0</v>
      </c>
      <c r="T3214" s="123">
        <f t="shared" si="1080"/>
        <v>4</v>
      </c>
      <c r="U3214" s="123">
        <f t="shared" si="1081"/>
        <v>2.56</v>
      </c>
    </row>
    <row r="3215" spans="4:21" s="29" customFormat="1" x14ac:dyDescent="0.25">
      <c r="D3215" s="887"/>
      <c r="E3215" s="887"/>
      <c r="F3215" s="887"/>
      <c r="G3215" s="888"/>
      <c r="H3215" s="888"/>
      <c r="I3215" s="888"/>
      <c r="J3215" s="888"/>
      <c r="K3215" s="888"/>
      <c r="M3215" s="123" t="s">
        <v>741</v>
      </c>
      <c r="N3215" s="123">
        <f>M7</f>
        <v>1.1419999999999999</v>
      </c>
      <c r="O3215" s="123" t="str">
        <f>L7</f>
        <v>g</v>
      </c>
      <c r="P3215" s="123">
        <v>20</v>
      </c>
      <c r="Q3215" s="123">
        <f t="shared" si="1078"/>
        <v>22.839999999999996</v>
      </c>
      <c r="R3215" s="123">
        <f>AL8</f>
        <v>0.36</v>
      </c>
      <c r="S3215" s="123">
        <f t="shared" si="1079"/>
        <v>7.1999999999999993</v>
      </c>
      <c r="T3215" s="123">
        <f t="shared" si="1080"/>
        <v>12.8</v>
      </c>
      <c r="U3215" s="123">
        <f t="shared" si="1081"/>
        <v>31.062399999999993</v>
      </c>
    </row>
    <row r="3216" spans="4:21" s="29" customFormat="1" x14ac:dyDescent="0.25">
      <c r="D3216" s="887" t="s">
        <v>4</v>
      </c>
      <c r="E3216" s="887"/>
      <c r="F3216" s="887"/>
      <c r="G3216" s="888" t="s">
        <v>825</v>
      </c>
      <c r="H3216" s="888"/>
      <c r="I3216" s="888"/>
      <c r="J3216" s="888"/>
      <c r="K3216" s="888"/>
      <c r="M3216" s="123" t="s">
        <v>718</v>
      </c>
      <c r="N3216" s="123">
        <f>Y9</f>
        <v>179.67</v>
      </c>
      <c r="O3216" s="123" t="str">
        <f>X9</f>
        <v>g</v>
      </c>
      <c r="P3216" s="123">
        <v>7</v>
      </c>
      <c r="Q3216" s="123">
        <f t="shared" si="1078"/>
        <v>1257.6899999999998</v>
      </c>
      <c r="R3216" s="123">
        <v>0</v>
      </c>
      <c r="S3216" s="123">
        <f t="shared" si="1079"/>
        <v>0</v>
      </c>
      <c r="T3216" s="123">
        <f t="shared" si="1080"/>
        <v>7</v>
      </c>
      <c r="U3216" s="123">
        <f t="shared" si="1081"/>
        <v>1257.6899999999998</v>
      </c>
    </row>
    <row r="3217" spans="4:21" s="29" customFormat="1" x14ac:dyDescent="0.25">
      <c r="D3217" s="887"/>
      <c r="E3217" s="887"/>
      <c r="F3217" s="887"/>
      <c r="G3217" s="888"/>
      <c r="H3217" s="888"/>
      <c r="I3217" s="888"/>
      <c r="J3217" s="888"/>
      <c r="K3217" s="888"/>
      <c r="M3217" s="123" t="s">
        <v>443</v>
      </c>
      <c r="N3217" s="123">
        <f>Y7</f>
        <v>3.6</v>
      </c>
      <c r="O3217" s="123" t="str">
        <f>X7</f>
        <v>g</v>
      </c>
      <c r="P3217" s="123">
        <v>4</v>
      </c>
      <c r="Q3217" s="123">
        <f t="shared" si="1078"/>
        <v>14.4</v>
      </c>
      <c r="R3217" s="123">
        <v>0</v>
      </c>
      <c r="S3217" s="123">
        <f t="shared" si="1079"/>
        <v>0</v>
      </c>
      <c r="T3217" s="123">
        <f t="shared" si="1080"/>
        <v>4</v>
      </c>
      <c r="U3217" s="123">
        <f t="shared" si="1081"/>
        <v>14.4</v>
      </c>
    </row>
    <row r="3218" spans="4:21" s="29" customFormat="1" x14ac:dyDescent="0.25">
      <c r="D3218" s="887"/>
      <c r="E3218" s="887"/>
      <c r="F3218" s="887"/>
      <c r="G3218" s="888"/>
      <c r="H3218" s="888"/>
      <c r="I3218" s="888"/>
      <c r="J3218" s="888"/>
      <c r="K3218" s="888"/>
      <c r="M3218" s="123" t="s">
        <v>1311</v>
      </c>
      <c r="N3218" s="123">
        <f>AE28</f>
        <v>25.44</v>
      </c>
      <c r="O3218" s="123" t="str">
        <f>AD28</f>
        <v>g</v>
      </c>
      <c r="P3218" s="123">
        <v>20</v>
      </c>
      <c r="Q3218" s="123">
        <f t="shared" si="1078"/>
        <v>508.8</v>
      </c>
      <c r="R3218" s="123">
        <v>0</v>
      </c>
      <c r="S3218" s="123">
        <f t="shared" si="1079"/>
        <v>0</v>
      </c>
      <c r="T3218" s="123">
        <f t="shared" si="1080"/>
        <v>20</v>
      </c>
      <c r="U3218" s="123">
        <f t="shared" si="1081"/>
        <v>508.8</v>
      </c>
    </row>
    <row r="3219" spans="4:21" s="29" customFormat="1" x14ac:dyDescent="0.25">
      <c r="D3219" s="887" t="s">
        <v>5</v>
      </c>
      <c r="E3219" s="887"/>
      <c r="F3219" s="887"/>
      <c r="G3219" s="888" t="s">
        <v>1276</v>
      </c>
      <c r="H3219" s="888"/>
      <c r="I3219" s="888"/>
      <c r="J3219" s="888"/>
      <c r="K3219" s="888"/>
      <c r="M3219" s="123" t="s">
        <v>1327</v>
      </c>
      <c r="N3219" s="123">
        <f>AE32</f>
        <v>145.76</v>
      </c>
      <c r="O3219" s="123" t="str">
        <f>AD32</f>
        <v>g</v>
      </c>
      <c r="P3219" s="123">
        <v>10</v>
      </c>
      <c r="Q3219" s="123">
        <f t="shared" si="1078"/>
        <v>1457.6</v>
      </c>
      <c r="R3219" s="123">
        <v>0</v>
      </c>
      <c r="S3219" s="123">
        <f t="shared" si="1079"/>
        <v>0</v>
      </c>
      <c r="T3219" s="123">
        <f t="shared" si="1080"/>
        <v>10</v>
      </c>
      <c r="U3219" s="123">
        <f t="shared" si="1081"/>
        <v>1457.6</v>
      </c>
    </row>
    <row r="3220" spans="4:21" s="29" customFormat="1" x14ac:dyDescent="0.25">
      <c r="D3220" s="887"/>
      <c r="E3220" s="887"/>
      <c r="F3220" s="887"/>
      <c r="G3220" s="888"/>
      <c r="H3220" s="888"/>
      <c r="I3220" s="888"/>
      <c r="J3220" s="888"/>
      <c r="K3220" s="888"/>
      <c r="M3220" s="123" t="s">
        <v>337</v>
      </c>
      <c r="N3220" s="123">
        <f>SUM(N3210:N3219)</f>
        <v>390.74199999999996</v>
      </c>
      <c r="O3220" s="123"/>
      <c r="P3220" s="123">
        <f>SUM(P3210:P3219)</f>
        <v>170</v>
      </c>
      <c r="Q3220" s="123">
        <f>SUM(Q3210:Q3219)</f>
        <v>4159.09</v>
      </c>
      <c r="R3220" s="123"/>
      <c r="S3220" s="123"/>
      <c r="T3220" s="123"/>
      <c r="U3220" s="123">
        <f>SUM(U3210:U3219)</f>
        <v>4167.3123999999998</v>
      </c>
    </row>
    <row r="3221" spans="4:21" s="29" customFormat="1" x14ac:dyDescent="0.25">
      <c r="D3221" s="887"/>
      <c r="E3221" s="887"/>
      <c r="F3221" s="887"/>
      <c r="G3221" s="888"/>
      <c r="H3221" s="888"/>
      <c r="I3221" s="888"/>
      <c r="J3221" s="888"/>
      <c r="K3221" s="888"/>
    </row>
    <row r="3222" spans="4:21" s="29" customFormat="1" x14ac:dyDescent="0.25">
      <c r="D3222" s="887" t="s">
        <v>6</v>
      </c>
      <c r="E3222" s="887"/>
      <c r="F3222" s="887"/>
      <c r="G3222" s="888" t="s">
        <v>9</v>
      </c>
      <c r="H3222" s="888"/>
      <c r="I3222" s="888"/>
      <c r="J3222" s="888"/>
      <c r="K3222" s="888"/>
      <c r="Q3222" s="123" t="s">
        <v>1681</v>
      </c>
      <c r="R3222" s="123">
        <f>U3220</f>
        <v>4167.3123999999998</v>
      </c>
      <c r="S3222" s="608" t="s">
        <v>2142</v>
      </c>
      <c r="T3222" s="608">
        <f>(R3222*100)/R3229</f>
        <v>41.400475695665904</v>
      </c>
    </row>
    <row r="3223" spans="4:21" s="29" customFormat="1" x14ac:dyDescent="0.25">
      <c r="D3223" s="887"/>
      <c r="E3223" s="887"/>
      <c r="F3223" s="887"/>
      <c r="G3223" s="888"/>
      <c r="H3223" s="888"/>
      <c r="I3223" s="888"/>
      <c r="J3223" s="888"/>
      <c r="K3223" s="888"/>
      <c r="Q3223" s="123" t="s">
        <v>2326</v>
      </c>
      <c r="R3223" s="123">
        <f>$AN$26</f>
        <v>956.11849518817462</v>
      </c>
    </row>
    <row r="3224" spans="4:21" s="29" customFormat="1" x14ac:dyDescent="0.25">
      <c r="D3224" s="887"/>
      <c r="E3224" s="887"/>
      <c r="F3224" s="887"/>
      <c r="G3224" s="888"/>
      <c r="H3224" s="888"/>
      <c r="I3224" s="888"/>
      <c r="J3224" s="888"/>
      <c r="K3224" s="888"/>
      <c r="Q3224" s="123" t="s">
        <v>2325</v>
      </c>
      <c r="R3224" s="123">
        <f>$AN$27</f>
        <v>82.78</v>
      </c>
    </row>
    <row r="3225" spans="4:21" s="29" customFormat="1" x14ac:dyDescent="0.25">
      <c r="D3225" s="887" t="s">
        <v>7</v>
      </c>
      <c r="E3225" s="887"/>
      <c r="F3225" s="887"/>
      <c r="G3225" s="888" t="s">
        <v>1326</v>
      </c>
      <c r="H3225" s="888"/>
      <c r="I3225" s="888"/>
      <c r="J3225" s="888"/>
      <c r="K3225" s="888"/>
      <c r="Q3225" s="123" t="s">
        <v>1684</v>
      </c>
      <c r="R3225" s="123">
        <f>$AN$29</f>
        <v>618.93743909253101</v>
      </c>
    </row>
    <row r="3226" spans="4:21" s="29" customFormat="1" x14ac:dyDescent="0.25">
      <c r="D3226" s="887"/>
      <c r="E3226" s="887"/>
      <c r="F3226" s="887"/>
      <c r="G3226" s="888"/>
      <c r="H3226" s="888"/>
      <c r="I3226" s="888"/>
      <c r="J3226" s="888"/>
      <c r="K3226" s="888"/>
      <c r="Q3226" s="123" t="s">
        <v>1685</v>
      </c>
      <c r="R3226" s="123">
        <v>0.6</v>
      </c>
    </row>
    <row r="3227" spans="4:21" s="29" customFormat="1" x14ac:dyDescent="0.25">
      <c r="D3227" s="887"/>
      <c r="E3227" s="887"/>
      <c r="F3227" s="887"/>
      <c r="G3227" s="888"/>
      <c r="H3227" s="888"/>
      <c r="I3227" s="888"/>
      <c r="J3227" s="888"/>
      <c r="K3227" s="888"/>
      <c r="Q3227" s="123" t="s">
        <v>1708</v>
      </c>
      <c r="R3227" s="123">
        <f>(SUM(R3222:R3225)*R3226)+SUM(R3222:R3225)</f>
        <v>9320.2373348491274</v>
      </c>
    </row>
    <row r="3228" spans="4:21" s="29" customFormat="1" x14ac:dyDescent="0.25">
      <c r="Q3228" s="123" t="s">
        <v>2130</v>
      </c>
      <c r="R3228" s="123">
        <f>R3227*0.08</f>
        <v>745.61898678793023</v>
      </c>
    </row>
    <row r="3229" spans="4:21" s="29" customFormat="1" x14ac:dyDescent="0.25">
      <c r="Q3229" s="123" t="s">
        <v>1686</v>
      </c>
      <c r="R3229" s="123">
        <f>SUM(R3227+R3228)</f>
        <v>10065.856321637057</v>
      </c>
    </row>
    <row r="3230" spans="4:21" s="29" customFormat="1" x14ac:dyDescent="0.25"/>
    <row r="3231" spans="4:21" s="29" customFormat="1" x14ac:dyDescent="0.25">
      <c r="D3231" s="885" t="s">
        <v>8</v>
      </c>
      <c r="E3231" s="885"/>
      <c r="F3231" s="885"/>
      <c r="G3231" s="885"/>
      <c r="H3231" s="885"/>
      <c r="I3231" s="885"/>
      <c r="J3231" s="885"/>
      <c r="K3231" s="885"/>
    </row>
    <row r="3232" spans="4:21" s="29" customFormat="1" x14ac:dyDescent="0.25">
      <c r="D3232" s="886" t="s">
        <v>0</v>
      </c>
      <c r="E3232" s="886"/>
      <c r="F3232" s="886"/>
      <c r="G3232" s="886" t="s">
        <v>1</v>
      </c>
      <c r="H3232" s="886"/>
      <c r="I3232" s="886"/>
      <c r="J3232" s="886"/>
      <c r="K3232" s="886"/>
    </row>
    <row r="3233" spans="4:21" s="29" customFormat="1" x14ac:dyDescent="0.25">
      <c r="D3233" s="887" t="s">
        <v>2</v>
      </c>
      <c r="E3233" s="887"/>
      <c r="F3233" s="887"/>
      <c r="G3233" s="888" t="s">
        <v>1258</v>
      </c>
      <c r="H3233" s="888"/>
      <c r="I3233" s="888"/>
      <c r="J3233" s="888"/>
      <c r="K3233" s="888"/>
      <c r="M3233" s="79" t="s">
        <v>336</v>
      </c>
      <c r="N3233" s="79" t="s">
        <v>174</v>
      </c>
      <c r="O3233" s="79" t="s">
        <v>248</v>
      </c>
      <c r="P3233" s="79" t="s">
        <v>176</v>
      </c>
      <c r="Q3233" s="79" t="s">
        <v>337</v>
      </c>
      <c r="R3233" s="79" t="s">
        <v>1641</v>
      </c>
      <c r="S3233" s="79" t="s">
        <v>1642</v>
      </c>
      <c r="T3233" s="79" t="s">
        <v>1643</v>
      </c>
      <c r="U3233" s="79" t="s">
        <v>1644</v>
      </c>
    </row>
    <row r="3234" spans="4:21" s="29" customFormat="1" x14ac:dyDescent="0.25">
      <c r="D3234" s="887"/>
      <c r="E3234" s="887"/>
      <c r="F3234" s="887"/>
      <c r="G3234" s="888"/>
      <c r="H3234" s="888"/>
      <c r="I3234" s="888"/>
      <c r="J3234" s="888"/>
      <c r="K3234" s="888"/>
      <c r="M3234" s="123" t="s">
        <v>354</v>
      </c>
      <c r="N3234" s="123">
        <f>V4</f>
        <v>3.08</v>
      </c>
      <c r="O3234" s="123" t="str">
        <f>U4</f>
        <v>mL</v>
      </c>
      <c r="P3234" s="123">
        <v>200</v>
      </c>
      <c r="Q3234" s="123">
        <f>N3234*P3234</f>
        <v>616</v>
      </c>
      <c r="R3234" s="123">
        <v>0</v>
      </c>
      <c r="S3234" s="123">
        <f>P3234*R3234</f>
        <v>0</v>
      </c>
      <c r="T3234" s="123">
        <f>P3234-S3234</f>
        <v>200</v>
      </c>
      <c r="U3234" s="123">
        <f>Q3234+((S3234*Q3234)/P3234)</f>
        <v>616</v>
      </c>
    </row>
    <row r="3235" spans="4:21" s="29" customFormat="1" x14ac:dyDescent="0.25">
      <c r="D3235" s="887"/>
      <c r="E3235" s="887"/>
      <c r="F3235" s="887"/>
      <c r="G3235" s="888"/>
      <c r="H3235" s="888"/>
      <c r="I3235" s="888"/>
      <c r="J3235" s="888"/>
      <c r="K3235" s="888"/>
      <c r="M3235" s="123" t="s">
        <v>1312</v>
      </c>
      <c r="N3235" s="123">
        <f>V21</f>
        <v>36.869999999999997</v>
      </c>
      <c r="O3235" s="123" t="str">
        <f>U21</f>
        <v>g</v>
      </c>
      <c r="P3235" s="123">
        <v>50</v>
      </c>
      <c r="Q3235" s="123">
        <f t="shared" ref="Q3235:Q3239" si="1082">N3235*P3235</f>
        <v>1843.4999999999998</v>
      </c>
      <c r="R3235" s="123">
        <v>0</v>
      </c>
      <c r="S3235" s="123">
        <f t="shared" ref="S3235:S3239" si="1083">P3235*R3235</f>
        <v>0</v>
      </c>
      <c r="T3235" s="123">
        <f t="shared" ref="T3235:T3239" si="1084">P3235-S3235</f>
        <v>50</v>
      </c>
      <c r="U3235" s="123">
        <f t="shared" ref="U3235:U3239" si="1085">Q3235+((S3235*Q3235)/P3235)</f>
        <v>1843.4999999999998</v>
      </c>
    </row>
    <row r="3236" spans="4:21" s="29" customFormat="1" x14ac:dyDescent="0.25">
      <c r="D3236" s="886" t="s">
        <v>0</v>
      </c>
      <c r="E3236" s="886"/>
      <c r="F3236" s="886"/>
      <c r="G3236" s="886" t="s">
        <v>1</v>
      </c>
      <c r="H3236" s="886"/>
      <c r="I3236" s="886"/>
      <c r="J3236" s="886"/>
      <c r="K3236" s="886"/>
      <c r="M3236" s="123" t="s">
        <v>443</v>
      </c>
      <c r="N3236" s="123">
        <f>Y7</f>
        <v>3.6</v>
      </c>
      <c r="O3236" s="123" t="str">
        <f>X7</f>
        <v>g</v>
      </c>
      <c r="P3236" s="123">
        <v>4</v>
      </c>
      <c r="Q3236" s="123">
        <f t="shared" si="1082"/>
        <v>14.4</v>
      </c>
      <c r="R3236" s="123">
        <v>0</v>
      </c>
      <c r="S3236" s="123">
        <f t="shared" si="1083"/>
        <v>0</v>
      </c>
      <c r="T3236" s="123">
        <f t="shared" si="1084"/>
        <v>4</v>
      </c>
      <c r="U3236" s="123">
        <f t="shared" si="1085"/>
        <v>14.4</v>
      </c>
    </row>
    <row r="3237" spans="4:21" s="29" customFormat="1" x14ac:dyDescent="0.25">
      <c r="D3237" s="887" t="s">
        <v>3</v>
      </c>
      <c r="E3237" s="887"/>
      <c r="F3237" s="887"/>
      <c r="G3237" s="889" t="s">
        <v>861</v>
      </c>
      <c r="H3237" s="888"/>
      <c r="I3237" s="888"/>
      <c r="J3237" s="888"/>
      <c r="K3237" s="888"/>
      <c r="M3237" s="123" t="s">
        <v>1313</v>
      </c>
      <c r="N3237" s="123">
        <f>V22</f>
        <v>2.95</v>
      </c>
      <c r="O3237" s="123" t="str">
        <f>U22</f>
        <v>mL</v>
      </c>
      <c r="P3237" s="123">
        <v>50</v>
      </c>
      <c r="Q3237" s="123">
        <f t="shared" si="1082"/>
        <v>147.5</v>
      </c>
      <c r="R3237" s="123">
        <v>0</v>
      </c>
      <c r="S3237" s="123">
        <f t="shared" si="1083"/>
        <v>0</v>
      </c>
      <c r="T3237" s="123">
        <f t="shared" si="1084"/>
        <v>50</v>
      </c>
      <c r="U3237" s="123">
        <f t="shared" si="1085"/>
        <v>147.5</v>
      </c>
    </row>
    <row r="3238" spans="4:21" s="29" customFormat="1" x14ac:dyDescent="0.25">
      <c r="D3238" s="887"/>
      <c r="E3238" s="887"/>
      <c r="F3238" s="887"/>
      <c r="G3238" s="888"/>
      <c r="H3238" s="888"/>
      <c r="I3238" s="888"/>
      <c r="J3238" s="888"/>
      <c r="K3238" s="888"/>
      <c r="M3238" s="123" t="s">
        <v>338</v>
      </c>
      <c r="N3238" s="123">
        <f>AE4</f>
        <v>2.25</v>
      </c>
      <c r="O3238" s="123" t="str">
        <f>AD4</f>
        <v>g</v>
      </c>
      <c r="P3238" s="123">
        <v>50</v>
      </c>
      <c r="Q3238" s="123">
        <f t="shared" si="1082"/>
        <v>112.5</v>
      </c>
      <c r="R3238" s="123">
        <v>0</v>
      </c>
      <c r="S3238" s="123">
        <f t="shared" si="1083"/>
        <v>0</v>
      </c>
      <c r="T3238" s="123">
        <f t="shared" si="1084"/>
        <v>50</v>
      </c>
      <c r="U3238" s="123">
        <f t="shared" si="1085"/>
        <v>112.5</v>
      </c>
    </row>
    <row r="3239" spans="4:21" s="29" customFormat="1" x14ac:dyDescent="0.25">
      <c r="D3239" s="887"/>
      <c r="E3239" s="887"/>
      <c r="F3239" s="887"/>
      <c r="G3239" s="888"/>
      <c r="H3239" s="888"/>
      <c r="I3239" s="888"/>
      <c r="J3239" s="888"/>
      <c r="K3239" s="888"/>
      <c r="M3239" s="123" t="s">
        <v>743</v>
      </c>
      <c r="N3239" s="123">
        <f>M11</f>
        <v>2.8570000000000002</v>
      </c>
      <c r="O3239" s="123" t="str">
        <f>L11</f>
        <v>g</v>
      </c>
      <c r="P3239" s="123">
        <v>50</v>
      </c>
      <c r="Q3239" s="123">
        <f t="shared" si="1082"/>
        <v>142.85000000000002</v>
      </c>
      <c r="R3239" s="123">
        <f>AL12</f>
        <v>7.0000000000000007E-2</v>
      </c>
      <c r="S3239" s="123">
        <f t="shared" si="1083"/>
        <v>3.5000000000000004</v>
      </c>
      <c r="T3239" s="123">
        <f t="shared" si="1084"/>
        <v>46.5</v>
      </c>
      <c r="U3239" s="123">
        <f t="shared" si="1085"/>
        <v>152.84950000000003</v>
      </c>
    </row>
    <row r="3240" spans="4:21" s="29" customFormat="1" x14ac:dyDescent="0.25">
      <c r="D3240" s="887" t="s">
        <v>4</v>
      </c>
      <c r="E3240" s="887"/>
      <c r="F3240" s="887"/>
      <c r="G3240" s="888" t="s">
        <v>825</v>
      </c>
      <c r="H3240" s="888"/>
      <c r="I3240" s="888"/>
      <c r="J3240" s="888"/>
      <c r="K3240" s="888"/>
      <c r="M3240" s="123"/>
      <c r="N3240" s="123"/>
      <c r="O3240" s="123"/>
      <c r="P3240" s="123"/>
      <c r="Q3240" s="123"/>
      <c r="R3240" s="123"/>
      <c r="S3240" s="123"/>
      <c r="T3240" s="123"/>
      <c r="U3240" s="123"/>
    </row>
    <row r="3241" spans="4:21" s="29" customFormat="1" x14ac:dyDescent="0.25">
      <c r="D3241" s="887"/>
      <c r="E3241" s="887"/>
      <c r="F3241" s="887"/>
      <c r="G3241" s="888"/>
      <c r="H3241" s="888"/>
      <c r="I3241" s="888"/>
      <c r="J3241" s="888"/>
      <c r="K3241" s="888"/>
      <c r="M3241" s="123" t="s">
        <v>337</v>
      </c>
      <c r="N3241" s="123">
        <f>SUM(N3234:N3240)</f>
        <v>51.606999999999999</v>
      </c>
      <c r="O3241" s="123"/>
      <c r="P3241" s="123">
        <f>SUM(P3234:P3240)</f>
        <v>404</v>
      </c>
      <c r="Q3241" s="123">
        <f>SUM(Q3234:Q3240)</f>
        <v>2876.75</v>
      </c>
      <c r="R3241" s="123"/>
      <c r="S3241" s="123"/>
      <c r="T3241" s="123"/>
      <c r="U3241" s="123">
        <f>SUM(U3234:U3240)</f>
        <v>2886.7494999999999</v>
      </c>
    </row>
    <row r="3242" spans="4:21" s="29" customFormat="1" x14ac:dyDescent="0.25">
      <c r="D3242" s="887"/>
      <c r="E3242" s="887"/>
      <c r="F3242" s="887"/>
      <c r="G3242" s="888"/>
      <c r="H3242" s="888"/>
      <c r="I3242" s="888"/>
      <c r="J3242" s="888"/>
      <c r="K3242" s="888"/>
      <c r="M3242" s="30"/>
      <c r="N3242" s="30"/>
      <c r="O3242" s="30"/>
      <c r="P3242" s="30"/>
      <c r="Q3242" s="30"/>
    </row>
    <row r="3243" spans="4:21" s="29" customFormat="1" x14ac:dyDescent="0.25">
      <c r="D3243" s="887" t="s">
        <v>5</v>
      </c>
      <c r="E3243" s="887"/>
      <c r="F3243" s="887"/>
      <c r="G3243" s="888" t="s">
        <v>863</v>
      </c>
      <c r="H3243" s="888"/>
      <c r="I3243" s="888"/>
      <c r="J3243" s="888"/>
      <c r="K3243" s="888"/>
      <c r="Q3243" s="123" t="s">
        <v>1681</v>
      </c>
      <c r="R3243" s="123">
        <f>U3241</f>
        <v>2886.7494999999999</v>
      </c>
      <c r="S3243" s="608" t="s">
        <v>2142</v>
      </c>
      <c r="T3243" s="608">
        <f>(R3243*100)/R3250</f>
        <v>36.759626405378043</v>
      </c>
    </row>
    <row r="3244" spans="4:21" s="29" customFormat="1" x14ac:dyDescent="0.25">
      <c r="D3244" s="887"/>
      <c r="E3244" s="887"/>
      <c r="F3244" s="887"/>
      <c r="G3244" s="888"/>
      <c r="H3244" s="888"/>
      <c r="I3244" s="888"/>
      <c r="J3244" s="888"/>
      <c r="K3244" s="888"/>
      <c r="Q3244" s="123" t="s">
        <v>2326</v>
      </c>
      <c r="R3244" s="123">
        <f>$AN$26</f>
        <v>956.11849518817462</v>
      </c>
    </row>
    <row r="3245" spans="4:21" s="29" customFormat="1" x14ac:dyDescent="0.25">
      <c r="D3245" s="887"/>
      <c r="E3245" s="887"/>
      <c r="F3245" s="887"/>
      <c r="G3245" s="888"/>
      <c r="H3245" s="888"/>
      <c r="I3245" s="888"/>
      <c r="J3245" s="888"/>
      <c r="K3245" s="888"/>
      <c r="Q3245" s="123" t="s">
        <v>2325</v>
      </c>
      <c r="R3245" s="123">
        <f>$AN$27</f>
        <v>82.78</v>
      </c>
    </row>
    <row r="3246" spans="4:21" s="29" customFormat="1" x14ac:dyDescent="0.25">
      <c r="D3246" s="887" t="s">
        <v>6</v>
      </c>
      <c r="E3246" s="887"/>
      <c r="F3246" s="887"/>
      <c r="G3246" s="888" t="s">
        <v>9</v>
      </c>
      <c r="H3246" s="888"/>
      <c r="I3246" s="888"/>
      <c r="J3246" s="888"/>
      <c r="K3246" s="888"/>
      <c r="Q3246" s="123" t="s">
        <v>1684</v>
      </c>
      <c r="R3246" s="123">
        <f>$AN$29</f>
        <v>618.93743909253101</v>
      </c>
    </row>
    <row r="3247" spans="4:21" s="29" customFormat="1" x14ac:dyDescent="0.25">
      <c r="D3247" s="887"/>
      <c r="E3247" s="887"/>
      <c r="F3247" s="887"/>
      <c r="G3247" s="888"/>
      <c r="H3247" s="888"/>
      <c r="I3247" s="888"/>
      <c r="J3247" s="888"/>
      <c r="K3247" s="888"/>
      <c r="Q3247" s="123" t="s">
        <v>1685</v>
      </c>
      <c r="R3247" s="123">
        <v>0.6</v>
      </c>
    </row>
    <row r="3248" spans="4:21" s="29" customFormat="1" x14ac:dyDescent="0.25">
      <c r="D3248" s="887"/>
      <c r="E3248" s="887"/>
      <c r="F3248" s="887"/>
      <c r="G3248" s="888"/>
      <c r="H3248" s="888"/>
      <c r="I3248" s="888"/>
      <c r="J3248" s="888"/>
      <c r="K3248" s="888"/>
      <c r="Q3248" s="123" t="s">
        <v>1708</v>
      </c>
      <c r="R3248" s="123">
        <f>(SUM(R3243:R3246)*R3247)+SUM(R3243:R3246)</f>
        <v>7271.3366948491293</v>
      </c>
    </row>
    <row r="3249" spans="4:21" s="29" customFormat="1" x14ac:dyDescent="0.25">
      <c r="D3249" s="887" t="s">
        <v>7</v>
      </c>
      <c r="E3249" s="887"/>
      <c r="F3249" s="887"/>
      <c r="G3249" s="888" t="s">
        <v>1328</v>
      </c>
      <c r="H3249" s="888"/>
      <c r="I3249" s="888"/>
      <c r="J3249" s="888"/>
      <c r="K3249" s="888"/>
      <c r="Q3249" s="123" t="s">
        <v>2130</v>
      </c>
      <c r="R3249" s="123">
        <f>R3248*0.08</f>
        <v>581.70693558793039</v>
      </c>
    </row>
    <row r="3250" spans="4:21" s="29" customFormat="1" x14ac:dyDescent="0.25">
      <c r="D3250" s="887"/>
      <c r="E3250" s="887"/>
      <c r="F3250" s="887"/>
      <c r="G3250" s="888"/>
      <c r="H3250" s="888"/>
      <c r="I3250" s="888"/>
      <c r="J3250" s="888"/>
      <c r="K3250" s="888"/>
      <c r="Q3250" s="123" t="s">
        <v>1686</v>
      </c>
      <c r="R3250" s="123">
        <f>SUM(R3248+R3249)</f>
        <v>7853.0436304370596</v>
      </c>
    </row>
    <row r="3251" spans="4:21" s="29" customFormat="1" x14ac:dyDescent="0.25">
      <c r="D3251" s="887"/>
      <c r="E3251" s="887"/>
      <c r="F3251" s="887"/>
      <c r="G3251" s="888"/>
      <c r="H3251" s="888"/>
      <c r="I3251" s="888"/>
      <c r="J3251" s="888"/>
      <c r="K3251" s="888"/>
    </row>
    <row r="3252" spans="4:21" s="29" customFormat="1" x14ac:dyDescent="0.25"/>
    <row r="3253" spans="4:21" s="29" customFormat="1" x14ac:dyDescent="0.25"/>
    <row r="3254" spans="4:21" s="29" customFormat="1" x14ac:dyDescent="0.25">
      <c r="D3254" s="885" t="s">
        <v>8</v>
      </c>
      <c r="E3254" s="885"/>
      <c r="F3254" s="885"/>
      <c r="G3254" s="885"/>
      <c r="H3254" s="885"/>
      <c r="I3254" s="885"/>
      <c r="J3254" s="885"/>
      <c r="K3254" s="885"/>
    </row>
    <row r="3255" spans="4:21" s="29" customFormat="1" x14ac:dyDescent="0.25">
      <c r="D3255" s="886" t="s">
        <v>0</v>
      </c>
      <c r="E3255" s="886"/>
      <c r="F3255" s="886"/>
      <c r="G3255" s="886" t="s">
        <v>1</v>
      </c>
      <c r="H3255" s="886"/>
      <c r="I3255" s="886"/>
      <c r="J3255" s="886"/>
      <c r="K3255" s="886"/>
    </row>
    <row r="3256" spans="4:21" s="29" customFormat="1" x14ac:dyDescent="0.25">
      <c r="D3256" s="887" t="s">
        <v>2</v>
      </c>
      <c r="E3256" s="887"/>
      <c r="F3256" s="887"/>
      <c r="G3256" s="888" t="s">
        <v>1279</v>
      </c>
      <c r="H3256" s="888"/>
      <c r="I3256" s="888"/>
      <c r="J3256" s="888"/>
      <c r="K3256" s="888"/>
      <c r="M3256" s="79" t="s">
        <v>336</v>
      </c>
      <c r="N3256" s="79" t="s">
        <v>174</v>
      </c>
      <c r="O3256" s="79" t="s">
        <v>248</v>
      </c>
      <c r="P3256" s="79" t="s">
        <v>176</v>
      </c>
      <c r="Q3256" s="79" t="s">
        <v>337</v>
      </c>
      <c r="R3256" s="79" t="s">
        <v>1641</v>
      </c>
      <c r="S3256" s="79" t="s">
        <v>1642</v>
      </c>
      <c r="T3256" s="79" t="s">
        <v>1643</v>
      </c>
      <c r="U3256" s="79" t="s">
        <v>1644</v>
      </c>
    </row>
    <row r="3257" spans="4:21" s="29" customFormat="1" x14ac:dyDescent="0.25">
      <c r="D3257" s="887"/>
      <c r="E3257" s="887"/>
      <c r="F3257" s="887"/>
      <c r="G3257" s="888"/>
      <c r="H3257" s="888"/>
      <c r="I3257" s="888"/>
      <c r="J3257" s="888"/>
      <c r="K3257" s="888"/>
      <c r="M3257" s="123" t="s">
        <v>1314</v>
      </c>
      <c r="N3257" s="123">
        <f>AE29</f>
        <v>137.27000000000001</v>
      </c>
      <c r="O3257" s="123" t="str">
        <f>AD29</f>
        <v>g</v>
      </c>
      <c r="P3257" s="123">
        <v>30</v>
      </c>
      <c r="Q3257" s="123">
        <f>N3257*P3257</f>
        <v>4118.1000000000004</v>
      </c>
      <c r="R3257" s="123">
        <v>0</v>
      </c>
      <c r="S3257" s="123">
        <f>P3257*R3257</f>
        <v>0</v>
      </c>
      <c r="T3257" s="123">
        <f>P3257-S3257</f>
        <v>30</v>
      </c>
      <c r="U3257" s="123">
        <f>Q3257+((S3257*Q3257)/P3257)</f>
        <v>4118.1000000000004</v>
      </c>
    </row>
    <row r="3258" spans="4:21" s="29" customFormat="1" x14ac:dyDescent="0.25">
      <c r="D3258" s="887"/>
      <c r="E3258" s="887"/>
      <c r="F3258" s="887"/>
      <c r="G3258" s="888"/>
      <c r="H3258" s="888"/>
      <c r="I3258" s="888"/>
      <c r="J3258" s="888"/>
      <c r="K3258" s="888"/>
      <c r="M3258" s="123" t="s">
        <v>1306</v>
      </c>
      <c r="N3258" s="123">
        <f>AE25</f>
        <v>9.58</v>
      </c>
      <c r="O3258" s="123" t="str">
        <f>AD25</f>
        <v>g</v>
      </c>
      <c r="P3258" s="123">
        <v>15</v>
      </c>
      <c r="Q3258" s="123">
        <f t="shared" ref="Q3258:Q3264" si="1086">N3258*P3258</f>
        <v>143.69999999999999</v>
      </c>
      <c r="R3258" s="123">
        <v>0</v>
      </c>
      <c r="S3258" s="123">
        <f t="shared" ref="S3258:S3264" si="1087">P3258*R3258</f>
        <v>0</v>
      </c>
      <c r="T3258" s="123">
        <f t="shared" ref="T3258:T3264" si="1088">P3258-S3258</f>
        <v>15</v>
      </c>
      <c r="U3258" s="123">
        <f t="shared" ref="U3258:U3264" si="1089">Q3258+((S3258*Q3258)/P3258)</f>
        <v>143.69999999999999</v>
      </c>
    </row>
    <row r="3259" spans="4:21" s="29" customFormat="1" x14ac:dyDescent="0.25">
      <c r="D3259" s="886" t="s">
        <v>0</v>
      </c>
      <c r="E3259" s="886"/>
      <c r="F3259" s="886"/>
      <c r="G3259" s="886" t="s">
        <v>1</v>
      </c>
      <c r="H3259" s="886"/>
      <c r="I3259" s="886"/>
      <c r="J3259" s="886"/>
      <c r="K3259" s="886"/>
      <c r="M3259" s="123" t="s">
        <v>340</v>
      </c>
      <c r="N3259" s="123">
        <f>Y20</f>
        <v>0.64</v>
      </c>
      <c r="O3259" s="123" t="str">
        <f>X20</f>
        <v>g</v>
      </c>
      <c r="P3259" s="123">
        <v>3</v>
      </c>
      <c r="Q3259" s="123">
        <f t="shared" si="1086"/>
        <v>1.92</v>
      </c>
      <c r="R3259" s="123">
        <v>0</v>
      </c>
      <c r="S3259" s="123">
        <f t="shared" si="1087"/>
        <v>0</v>
      </c>
      <c r="T3259" s="123">
        <f t="shared" si="1088"/>
        <v>3</v>
      </c>
      <c r="U3259" s="123">
        <f t="shared" si="1089"/>
        <v>1.92</v>
      </c>
    </row>
    <row r="3260" spans="4:21" s="29" customFormat="1" x14ac:dyDescent="0.25">
      <c r="D3260" s="887" t="s">
        <v>3</v>
      </c>
      <c r="E3260" s="887"/>
      <c r="F3260" s="887"/>
      <c r="G3260" s="889" t="s">
        <v>1282</v>
      </c>
      <c r="H3260" s="888"/>
      <c r="I3260" s="888"/>
      <c r="J3260" s="888"/>
      <c r="K3260" s="888"/>
      <c r="M3260" s="123" t="s">
        <v>1315</v>
      </c>
      <c r="N3260" s="123">
        <f>AE30</f>
        <v>59.9</v>
      </c>
      <c r="O3260" s="123" t="str">
        <f>AD30</f>
        <v>g</v>
      </c>
      <c r="P3260" s="123">
        <v>5</v>
      </c>
      <c r="Q3260" s="123">
        <f t="shared" si="1086"/>
        <v>299.5</v>
      </c>
      <c r="R3260" s="123">
        <v>0</v>
      </c>
      <c r="S3260" s="123">
        <f t="shared" si="1087"/>
        <v>0</v>
      </c>
      <c r="T3260" s="123">
        <f t="shared" si="1088"/>
        <v>5</v>
      </c>
      <c r="U3260" s="123">
        <f t="shared" si="1089"/>
        <v>299.5</v>
      </c>
    </row>
    <row r="3261" spans="4:21" s="29" customFormat="1" x14ac:dyDescent="0.25">
      <c r="D3261" s="887"/>
      <c r="E3261" s="887"/>
      <c r="F3261" s="887"/>
      <c r="G3261" s="888"/>
      <c r="H3261" s="888"/>
      <c r="I3261" s="888"/>
      <c r="J3261" s="888"/>
      <c r="K3261" s="888"/>
      <c r="M3261" s="123" t="s">
        <v>741</v>
      </c>
      <c r="N3261" s="123">
        <f>M7</f>
        <v>1.1419999999999999</v>
      </c>
      <c r="O3261" s="123" t="str">
        <f>L7</f>
        <v>g</v>
      </c>
      <c r="P3261" s="123">
        <v>30</v>
      </c>
      <c r="Q3261" s="123">
        <f t="shared" si="1086"/>
        <v>34.26</v>
      </c>
      <c r="R3261" s="123">
        <f>AL8</f>
        <v>0.36</v>
      </c>
      <c r="S3261" s="123">
        <f t="shared" si="1087"/>
        <v>10.799999999999999</v>
      </c>
      <c r="T3261" s="123">
        <f t="shared" si="1088"/>
        <v>19.200000000000003</v>
      </c>
      <c r="U3261" s="123">
        <f t="shared" si="1089"/>
        <v>46.593599999999995</v>
      </c>
    </row>
    <row r="3262" spans="4:21" s="29" customFormat="1" x14ac:dyDescent="0.25">
      <c r="D3262" s="887"/>
      <c r="E3262" s="887"/>
      <c r="F3262" s="887"/>
      <c r="G3262" s="888"/>
      <c r="H3262" s="888"/>
      <c r="I3262" s="888"/>
      <c r="J3262" s="888"/>
      <c r="K3262" s="888"/>
      <c r="M3262" s="123" t="s">
        <v>1316</v>
      </c>
      <c r="N3262" s="123">
        <f>M29</f>
        <v>1.5</v>
      </c>
      <c r="O3262" s="123" t="str">
        <f>L29</f>
        <v>g</v>
      </c>
      <c r="P3262" s="123">
        <v>30</v>
      </c>
      <c r="Q3262" s="123">
        <f t="shared" si="1086"/>
        <v>45</v>
      </c>
      <c r="R3262" s="123">
        <f>AL3</f>
        <v>0.35</v>
      </c>
      <c r="S3262" s="123">
        <f t="shared" si="1087"/>
        <v>10.5</v>
      </c>
      <c r="T3262" s="123">
        <f t="shared" si="1088"/>
        <v>19.5</v>
      </c>
      <c r="U3262" s="123">
        <f t="shared" si="1089"/>
        <v>60.75</v>
      </c>
    </row>
    <row r="3263" spans="4:21" s="29" customFormat="1" x14ac:dyDescent="0.25">
      <c r="D3263" s="887" t="s">
        <v>4</v>
      </c>
      <c r="E3263" s="887"/>
      <c r="F3263" s="887"/>
      <c r="G3263" s="888" t="s">
        <v>825</v>
      </c>
      <c r="H3263" s="888"/>
      <c r="I3263" s="888"/>
      <c r="J3263" s="888"/>
      <c r="K3263" s="888"/>
      <c r="M3263" s="123" t="s">
        <v>1317</v>
      </c>
      <c r="N3263" s="123">
        <f>Y7</f>
        <v>3.6</v>
      </c>
      <c r="O3263" s="123" t="str">
        <f>X7</f>
        <v>g</v>
      </c>
      <c r="P3263" s="123">
        <v>4</v>
      </c>
      <c r="Q3263" s="123">
        <f t="shared" si="1086"/>
        <v>14.4</v>
      </c>
      <c r="R3263" s="123">
        <v>0</v>
      </c>
      <c r="S3263" s="123">
        <f t="shared" si="1087"/>
        <v>0</v>
      </c>
      <c r="T3263" s="123">
        <f t="shared" si="1088"/>
        <v>4</v>
      </c>
      <c r="U3263" s="123">
        <f t="shared" si="1089"/>
        <v>14.4</v>
      </c>
    </row>
    <row r="3264" spans="4:21" s="29" customFormat="1" x14ac:dyDescent="0.25">
      <c r="D3264" s="887"/>
      <c r="E3264" s="887"/>
      <c r="F3264" s="887"/>
      <c r="G3264" s="888"/>
      <c r="H3264" s="888"/>
      <c r="I3264" s="888"/>
      <c r="J3264" s="888"/>
      <c r="K3264" s="888"/>
      <c r="M3264" s="123" t="s">
        <v>902</v>
      </c>
      <c r="N3264" s="123">
        <f>Y23</f>
        <v>30</v>
      </c>
      <c r="O3264" s="123" t="str">
        <f>X23</f>
        <v>g</v>
      </c>
      <c r="P3264" s="123">
        <v>5</v>
      </c>
      <c r="Q3264" s="123">
        <f t="shared" si="1086"/>
        <v>150</v>
      </c>
      <c r="R3264" s="123">
        <v>0</v>
      </c>
      <c r="S3264" s="123">
        <f t="shared" si="1087"/>
        <v>0</v>
      </c>
      <c r="T3264" s="123">
        <f t="shared" si="1088"/>
        <v>5</v>
      </c>
      <c r="U3264" s="123">
        <f t="shared" si="1089"/>
        <v>150</v>
      </c>
    </row>
    <row r="3265" spans="4:21" s="29" customFormat="1" x14ac:dyDescent="0.25">
      <c r="D3265" s="887"/>
      <c r="E3265" s="887"/>
      <c r="F3265" s="887"/>
      <c r="G3265" s="888"/>
      <c r="H3265" s="888"/>
      <c r="I3265" s="888"/>
      <c r="J3265" s="888"/>
      <c r="K3265" s="888"/>
      <c r="M3265" s="123"/>
      <c r="N3265" s="123"/>
      <c r="O3265" s="123"/>
      <c r="P3265" s="123"/>
      <c r="Q3265" s="123"/>
      <c r="R3265" s="123"/>
      <c r="S3265" s="123"/>
      <c r="T3265" s="123"/>
      <c r="U3265" s="123"/>
    </row>
    <row r="3266" spans="4:21" s="29" customFormat="1" x14ac:dyDescent="0.25">
      <c r="D3266" s="887" t="s">
        <v>5</v>
      </c>
      <c r="E3266" s="887"/>
      <c r="F3266" s="887"/>
      <c r="G3266" s="888" t="s">
        <v>1280</v>
      </c>
      <c r="H3266" s="888"/>
      <c r="I3266" s="888"/>
      <c r="J3266" s="888"/>
      <c r="K3266" s="888"/>
      <c r="M3266" s="123" t="s">
        <v>337</v>
      </c>
      <c r="N3266" s="123">
        <f>SUM(N3257:N3265)</f>
        <v>243.63200000000001</v>
      </c>
      <c r="O3266" s="123"/>
      <c r="P3266" s="123">
        <f>SUM(P3257:P3265)</f>
        <v>122</v>
      </c>
      <c r="Q3266" s="123">
        <f>SUM(Q3257:Q3265)</f>
        <v>4806.88</v>
      </c>
      <c r="R3266" s="123"/>
      <c r="S3266" s="123"/>
      <c r="T3266" s="123"/>
      <c r="U3266" s="123">
        <f>SUM(U3257:U3265)</f>
        <v>4834.9636</v>
      </c>
    </row>
    <row r="3267" spans="4:21" s="29" customFormat="1" x14ac:dyDescent="0.25">
      <c r="D3267" s="887"/>
      <c r="E3267" s="887"/>
      <c r="F3267" s="887"/>
      <c r="G3267" s="888"/>
      <c r="H3267" s="888"/>
      <c r="I3267" s="888"/>
      <c r="J3267" s="888"/>
      <c r="K3267" s="888"/>
    </row>
    <row r="3268" spans="4:21" s="29" customFormat="1" x14ac:dyDescent="0.25">
      <c r="D3268" s="887"/>
      <c r="E3268" s="887"/>
      <c r="F3268" s="887"/>
      <c r="G3268" s="888"/>
      <c r="H3268" s="888"/>
      <c r="I3268" s="888"/>
      <c r="J3268" s="888"/>
      <c r="K3268" s="888"/>
      <c r="Q3268" s="123" t="s">
        <v>1681</v>
      </c>
      <c r="R3268" s="123">
        <f>U3266</f>
        <v>4834.9636</v>
      </c>
      <c r="S3268" s="608" t="s">
        <v>2142</v>
      </c>
      <c r="T3268" s="608">
        <f>(R3268*100)/R3275</f>
        <v>43.094066401090046</v>
      </c>
    </row>
    <row r="3269" spans="4:21" s="29" customFormat="1" x14ac:dyDescent="0.25">
      <c r="D3269" s="887" t="s">
        <v>6</v>
      </c>
      <c r="E3269" s="887"/>
      <c r="F3269" s="887"/>
      <c r="G3269" s="888" t="s">
        <v>9</v>
      </c>
      <c r="H3269" s="888"/>
      <c r="I3269" s="888"/>
      <c r="J3269" s="888"/>
      <c r="K3269" s="888"/>
      <c r="Q3269" s="123" t="s">
        <v>2326</v>
      </c>
      <c r="R3269" s="123">
        <f>$AN$26</f>
        <v>956.11849518817462</v>
      </c>
    </row>
    <row r="3270" spans="4:21" s="29" customFormat="1" x14ac:dyDescent="0.25">
      <c r="D3270" s="887"/>
      <c r="E3270" s="887"/>
      <c r="F3270" s="887"/>
      <c r="G3270" s="888"/>
      <c r="H3270" s="888"/>
      <c r="I3270" s="888"/>
      <c r="J3270" s="888"/>
      <c r="K3270" s="888"/>
      <c r="Q3270" s="123" t="s">
        <v>2325</v>
      </c>
      <c r="R3270" s="123">
        <f>$AN$27</f>
        <v>82.78</v>
      </c>
    </row>
    <row r="3271" spans="4:21" s="29" customFormat="1" x14ac:dyDescent="0.25">
      <c r="D3271" s="887"/>
      <c r="E3271" s="887"/>
      <c r="F3271" s="887"/>
      <c r="G3271" s="888"/>
      <c r="H3271" s="888"/>
      <c r="I3271" s="888"/>
      <c r="J3271" s="888"/>
      <c r="K3271" s="888"/>
      <c r="Q3271" s="123" t="s">
        <v>1684</v>
      </c>
      <c r="R3271" s="123">
        <f>$AN$29</f>
        <v>618.93743909253101</v>
      </c>
    </row>
    <row r="3272" spans="4:21" s="29" customFormat="1" x14ac:dyDescent="0.25">
      <c r="D3272" s="887" t="s">
        <v>7</v>
      </c>
      <c r="E3272" s="887"/>
      <c r="F3272" s="887"/>
      <c r="G3272" s="889" t="s">
        <v>1281</v>
      </c>
      <c r="H3272" s="888"/>
      <c r="I3272" s="888"/>
      <c r="J3272" s="888"/>
      <c r="K3272" s="888"/>
      <c r="Q3272" s="123" t="s">
        <v>1685</v>
      </c>
      <c r="R3272" s="123">
        <v>0.6</v>
      </c>
    </row>
    <row r="3273" spans="4:21" s="29" customFormat="1" x14ac:dyDescent="0.25">
      <c r="D3273" s="887"/>
      <c r="E3273" s="887"/>
      <c r="F3273" s="887"/>
      <c r="G3273" s="888"/>
      <c r="H3273" s="888"/>
      <c r="I3273" s="888"/>
      <c r="J3273" s="888"/>
      <c r="K3273" s="888"/>
      <c r="Q3273" s="123" t="s">
        <v>1708</v>
      </c>
      <c r="R3273" s="123">
        <f>(SUM(R3268:R3271)*R3272)+SUM(R3268:R3271)</f>
        <v>10388.479254849128</v>
      </c>
    </row>
    <row r="3274" spans="4:21" s="29" customFormat="1" x14ac:dyDescent="0.25">
      <c r="D3274" s="887"/>
      <c r="E3274" s="887"/>
      <c r="F3274" s="887"/>
      <c r="G3274" s="888"/>
      <c r="H3274" s="888"/>
      <c r="I3274" s="888"/>
      <c r="J3274" s="888"/>
      <c r="K3274" s="888"/>
      <c r="Q3274" s="123" t="s">
        <v>2130</v>
      </c>
      <c r="R3274" s="123">
        <f>R3273*0.08</f>
        <v>831.07834038793021</v>
      </c>
    </row>
    <row r="3275" spans="4:21" s="29" customFormat="1" x14ac:dyDescent="0.25">
      <c r="Q3275" s="123" t="s">
        <v>1686</v>
      </c>
      <c r="R3275" s="123">
        <f>SUM(R3273+R3274)</f>
        <v>11219.557595237058</v>
      </c>
    </row>
    <row r="3276" spans="4:21" s="29" customFormat="1" x14ac:dyDescent="0.25"/>
    <row r="3277" spans="4:21" s="29" customFormat="1" x14ac:dyDescent="0.25">
      <c r="D3277" s="885" t="s">
        <v>8</v>
      </c>
      <c r="E3277" s="885"/>
      <c r="F3277" s="885"/>
      <c r="G3277" s="885"/>
      <c r="H3277" s="885"/>
      <c r="I3277" s="885"/>
      <c r="J3277" s="885"/>
      <c r="K3277" s="885"/>
    </row>
    <row r="3278" spans="4:21" s="29" customFormat="1" x14ac:dyDescent="0.25">
      <c r="D3278" s="886" t="s">
        <v>0</v>
      </c>
      <c r="E3278" s="886"/>
      <c r="F3278" s="886"/>
      <c r="G3278" s="886" t="s">
        <v>1</v>
      </c>
      <c r="H3278" s="886"/>
      <c r="I3278" s="886"/>
      <c r="J3278" s="886"/>
      <c r="K3278" s="886"/>
    </row>
    <row r="3279" spans="4:21" s="29" customFormat="1" x14ac:dyDescent="0.25">
      <c r="D3279" s="887" t="s">
        <v>2</v>
      </c>
      <c r="E3279" s="887"/>
      <c r="F3279" s="887"/>
      <c r="G3279" s="888" t="s">
        <v>1284</v>
      </c>
      <c r="H3279" s="888"/>
      <c r="I3279" s="888"/>
      <c r="J3279" s="888"/>
      <c r="K3279" s="888"/>
      <c r="M3279" s="79" t="s">
        <v>336</v>
      </c>
      <c r="N3279" s="79" t="s">
        <v>174</v>
      </c>
      <c r="O3279" s="79" t="s">
        <v>248</v>
      </c>
      <c r="P3279" s="79" t="s">
        <v>176</v>
      </c>
      <c r="Q3279" s="79" t="s">
        <v>337</v>
      </c>
      <c r="R3279" s="79" t="s">
        <v>1641</v>
      </c>
      <c r="S3279" s="79" t="s">
        <v>1642</v>
      </c>
      <c r="T3279" s="79" t="s">
        <v>1643</v>
      </c>
      <c r="U3279" s="79" t="s">
        <v>1644</v>
      </c>
    </row>
    <row r="3280" spans="4:21" s="29" customFormat="1" x14ac:dyDescent="0.25">
      <c r="D3280" s="887"/>
      <c r="E3280" s="887"/>
      <c r="F3280" s="887"/>
      <c r="G3280" s="888"/>
      <c r="H3280" s="888"/>
      <c r="I3280" s="888"/>
      <c r="J3280" s="888"/>
      <c r="K3280" s="888"/>
      <c r="M3280" s="123" t="s">
        <v>1314</v>
      </c>
      <c r="N3280" s="123">
        <f>AE29</f>
        <v>137.27000000000001</v>
      </c>
      <c r="O3280" s="123" t="str">
        <f>AD29</f>
        <v>g</v>
      </c>
      <c r="P3280" s="123">
        <v>20</v>
      </c>
      <c r="Q3280" s="123">
        <f>N3280*P3280</f>
        <v>2745.4</v>
      </c>
      <c r="R3280" s="123">
        <v>0</v>
      </c>
      <c r="S3280" s="123">
        <f>P3280*R3280</f>
        <v>0</v>
      </c>
      <c r="T3280" s="123">
        <f>P3280-S3280</f>
        <v>20</v>
      </c>
      <c r="U3280" s="123">
        <f>Q3280+((S3280*Q3280)/P3280)</f>
        <v>2745.4</v>
      </c>
    </row>
    <row r="3281" spans="4:21" s="29" customFormat="1" x14ac:dyDescent="0.25">
      <c r="D3281" s="887"/>
      <c r="E3281" s="887"/>
      <c r="F3281" s="887"/>
      <c r="G3281" s="888"/>
      <c r="H3281" s="888"/>
      <c r="I3281" s="888"/>
      <c r="J3281" s="888"/>
      <c r="K3281" s="888"/>
      <c r="M3281" s="123" t="s">
        <v>340</v>
      </c>
      <c r="N3281" s="123">
        <f>Y20</f>
        <v>0.64</v>
      </c>
      <c r="O3281" s="123" t="str">
        <f>X20</f>
        <v>g</v>
      </c>
      <c r="P3281" s="123">
        <v>3</v>
      </c>
      <c r="Q3281" s="123">
        <f t="shared" ref="Q3281:Q3288" si="1090">N3281*P3281</f>
        <v>1.92</v>
      </c>
      <c r="R3281" s="123">
        <v>0</v>
      </c>
      <c r="S3281" s="123">
        <f t="shared" ref="S3281:S3288" si="1091">P3281*R3281</f>
        <v>0</v>
      </c>
      <c r="T3281" s="123">
        <f t="shared" ref="T3281:T3288" si="1092">P3281-S3281</f>
        <v>3</v>
      </c>
      <c r="U3281" s="123">
        <f t="shared" ref="U3281:U3288" si="1093">Q3281+((S3281*Q3281)/P3281)</f>
        <v>1.92</v>
      </c>
    </row>
    <row r="3282" spans="4:21" s="29" customFormat="1" x14ac:dyDescent="0.25">
      <c r="D3282" s="886" t="s">
        <v>0</v>
      </c>
      <c r="E3282" s="886"/>
      <c r="F3282" s="886"/>
      <c r="G3282" s="886" t="s">
        <v>1</v>
      </c>
      <c r="H3282" s="886"/>
      <c r="I3282" s="886"/>
      <c r="J3282" s="886"/>
      <c r="K3282" s="886"/>
      <c r="M3282" s="123" t="s">
        <v>443</v>
      </c>
      <c r="N3282" s="123">
        <f>Y7</f>
        <v>3.6</v>
      </c>
      <c r="O3282" s="123" t="str">
        <f>X7</f>
        <v>g</v>
      </c>
      <c r="P3282" s="123">
        <v>4</v>
      </c>
      <c r="Q3282" s="123">
        <f t="shared" si="1090"/>
        <v>14.4</v>
      </c>
      <c r="R3282" s="123">
        <v>0</v>
      </c>
      <c r="S3282" s="123">
        <f t="shared" si="1091"/>
        <v>0</v>
      </c>
      <c r="T3282" s="123">
        <f t="shared" si="1092"/>
        <v>4</v>
      </c>
      <c r="U3282" s="123">
        <f t="shared" si="1093"/>
        <v>14.4</v>
      </c>
    </row>
    <row r="3283" spans="4:21" s="29" customFormat="1" x14ac:dyDescent="0.25">
      <c r="D3283" s="887" t="s">
        <v>3</v>
      </c>
      <c r="E3283" s="887"/>
      <c r="F3283" s="887"/>
      <c r="G3283" s="889" t="s">
        <v>1285</v>
      </c>
      <c r="H3283" s="888"/>
      <c r="I3283" s="888"/>
      <c r="J3283" s="888"/>
      <c r="K3283" s="888"/>
      <c r="M3283" s="123" t="s">
        <v>1316</v>
      </c>
      <c r="N3283" s="123">
        <f>M29</f>
        <v>1.5</v>
      </c>
      <c r="O3283" s="123" t="str">
        <f>L29</f>
        <v>g</v>
      </c>
      <c r="P3283" s="123">
        <v>20</v>
      </c>
      <c r="Q3283" s="123">
        <f t="shared" si="1090"/>
        <v>30</v>
      </c>
      <c r="R3283" s="123">
        <f>AL3</f>
        <v>0.35</v>
      </c>
      <c r="S3283" s="123">
        <f t="shared" si="1091"/>
        <v>7</v>
      </c>
      <c r="T3283" s="123">
        <f t="shared" si="1092"/>
        <v>13</v>
      </c>
      <c r="U3283" s="123">
        <f t="shared" si="1093"/>
        <v>40.5</v>
      </c>
    </row>
    <row r="3284" spans="4:21" s="29" customFormat="1" x14ac:dyDescent="0.25">
      <c r="D3284" s="887"/>
      <c r="E3284" s="887"/>
      <c r="F3284" s="887"/>
      <c r="G3284" s="888"/>
      <c r="H3284" s="888"/>
      <c r="I3284" s="888"/>
      <c r="J3284" s="888"/>
      <c r="K3284" s="888"/>
      <c r="M3284" s="123" t="s">
        <v>899</v>
      </c>
      <c r="N3284" s="123">
        <f>M14</f>
        <v>0.75</v>
      </c>
      <c r="O3284" s="123" t="str">
        <f>L14</f>
        <v>g</v>
      </c>
      <c r="P3284" s="123">
        <v>20</v>
      </c>
      <c r="Q3284" s="123">
        <f t="shared" si="1090"/>
        <v>15</v>
      </c>
      <c r="R3284" s="123">
        <f>AL2</f>
        <v>0.38</v>
      </c>
      <c r="S3284" s="123">
        <f t="shared" si="1091"/>
        <v>7.6</v>
      </c>
      <c r="T3284" s="123">
        <f t="shared" si="1092"/>
        <v>12.4</v>
      </c>
      <c r="U3284" s="123">
        <f t="shared" si="1093"/>
        <v>20.7</v>
      </c>
    </row>
    <row r="3285" spans="4:21" s="29" customFormat="1" x14ac:dyDescent="0.25">
      <c r="D3285" s="887"/>
      <c r="E3285" s="887"/>
      <c r="F3285" s="887"/>
      <c r="G3285" s="888"/>
      <c r="H3285" s="888"/>
      <c r="I3285" s="888"/>
      <c r="J3285" s="888"/>
      <c r="K3285" s="888"/>
      <c r="M3285" s="123" t="s">
        <v>1320</v>
      </c>
      <c r="N3285" s="123">
        <f>V23</f>
        <v>13.39</v>
      </c>
      <c r="O3285" s="123" t="str">
        <f>U23</f>
        <v>mL</v>
      </c>
      <c r="P3285" s="123">
        <v>30</v>
      </c>
      <c r="Q3285" s="123">
        <f t="shared" si="1090"/>
        <v>401.70000000000005</v>
      </c>
      <c r="R3285" s="123">
        <v>0</v>
      </c>
      <c r="S3285" s="123">
        <f t="shared" si="1091"/>
        <v>0</v>
      </c>
      <c r="T3285" s="123">
        <f t="shared" si="1092"/>
        <v>30</v>
      </c>
      <c r="U3285" s="123">
        <f t="shared" si="1093"/>
        <v>401.70000000000005</v>
      </c>
    </row>
    <row r="3286" spans="4:21" s="29" customFormat="1" x14ac:dyDescent="0.25">
      <c r="D3286" s="887" t="s">
        <v>4</v>
      </c>
      <c r="E3286" s="887"/>
      <c r="F3286" s="887"/>
      <c r="G3286" s="888" t="s">
        <v>825</v>
      </c>
      <c r="H3286" s="888"/>
      <c r="I3286" s="888"/>
      <c r="J3286" s="888"/>
      <c r="K3286" s="888"/>
      <c r="M3286" s="123" t="s">
        <v>1321</v>
      </c>
      <c r="N3286" s="123">
        <f>V24</f>
        <v>20.83</v>
      </c>
      <c r="O3286" s="123" t="str">
        <f>U24</f>
        <v>g</v>
      </c>
      <c r="P3286" s="123">
        <v>20</v>
      </c>
      <c r="Q3286" s="123">
        <f t="shared" si="1090"/>
        <v>416.59999999999997</v>
      </c>
      <c r="R3286" s="123">
        <v>0</v>
      </c>
      <c r="S3286" s="123">
        <f t="shared" si="1091"/>
        <v>0</v>
      </c>
      <c r="T3286" s="123">
        <f t="shared" si="1092"/>
        <v>20</v>
      </c>
      <c r="U3286" s="123">
        <f t="shared" si="1093"/>
        <v>416.59999999999997</v>
      </c>
    </row>
    <row r="3287" spans="4:21" s="29" customFormat="1" x14ac:dyDescent="0.25">
      <c r="D3287" s="887"/>
      <c r="E3287" s="887"/>
      <c r="F3287" s="887"/>
      <c r="G3287" s="888"/>
      <c r="H3287" s="888"/>
      <c r="I3287" s="888"/>
      <c r="J3287" s="888"/>
      <c r="K3287" s="888"/>
      <c r="M3287" s="123" t="s">
        <v>1322</v>
      </c>
      <c r="N3287" s="123">
        <f>AE31</f>
        <v>27.48</v>
      </c>
      <c r="O3287" s="123" t="str">
        <f>AD31</f>
        <v>mL</v>
      </c>
      <c r="P3287" s="123">
        <v>20</v>
      </c>
      <c r="Q3287" s="123">
        <f t="shared" si="1090"/>
        <v>549.6</v>
      </c>
      <c r="R3287" s="123">
        <v>0</v>
      </c>
      <c r="S3287" s="123">
        <f t="shared" si="1091"/>
        <v>0</v>
      </c>
      <c r="T3287" s="123">
        <f t="shared" si="1092"/>
        <v>20</v>
      </c>
      <c r="U3287" s="123">
        <f t="shared" si="1093"/>
        <v>549.6</v>
      </c>
    </row>
    <row r="3288" spans="4:21" s="29" customFormat="1" x14ac:dyDescent="0.25">
      <c r="D3288" s="887"/>
      <c r="E3288" s="887"/>
      <c r="F3288" s="887"/>
      <c r="G3288" s="888"/>
      <c r="H3288" s="888"/>
      <c r="I3288" s="888"/>
      <c r="J3288" s="888"/>
      <c r="K3288" s="888"/>
      <c r="M3288" s="123" t="s">
        <v>1319</v>
      </c>
      <c r="N3288" s="123">
        <f>M30</f>
        <v>29.16</v>
      </c>
      <c r="O3288" s="123" t="str">
        <f>L30</f>
        <v>g</v>
      </c>
      <c r="P3288" s="123">
        <v>10</v>
      </c>
      <c r="Q3288" s="123">
        <f t="shared" si="1090"/>
        <v>291.60000000000002</v>
      </c>
      <c r="R3288" s="123">
        <v>0</v>
      </c>
      <c r="S3288" s="123">
        <f t="shared" si="1091"/>
        <v>0</v>
      </c>
      <c r="T3288" s="123">
        <f t="shared" si="1092"/>
        <v>10</v>
      </c>
      <c r="U3288" s="123">
        <f t="shared" si="1093"/>
        <v>291.60000000000002</v>
      </c>
    </row>
    <row r="3289" spans="4:21" s="29" customFormat="1" x14ac:dyDescent="0.25">
      <c r="D3289" s="887" t="s">
        <v>5</v>
      </c>
      <c r="E3289" s="887"/>
      <c r="F3289" s="887"/>
      <c r="G3289" s="888" t="s">
        <v>1286</v>
      </c>
      <c r="H3289" s="888"/>
      <c r="I3289" s="888"/>
      <c r="J3289" s="888"/>
      <c r="K3289" s="888"/>
      <c r="M3289" s="123" t="s">
        <v>337</v>
      </c>
      <c r="N3289" s="123">
        <f>SUM(N3280:N3288)</f>
        <v>234.61999999999995</v>
      </c>
      <c r="O3289" s="123"/>
      <c r="P3289" s="123">
        <f>SUM(P3280:P3288)</f>
        <v>147</v>
      </c>
      <c r="Q3289" s="123">
        <f>SUM(Q3280:Q3288)</f>
        <v>4466.22</v>
      </c>
      <c r="R3289" s="123"/>
      <c r="S3289" s="123"/>
      <c r="T3289" s="123"/>
      <c r="U3289" s="123">
        <f>SUM(U3280:U3288)</f>
        <v>4482.42</v>
      </c>
    </row>
    <row r="3290" spans="4:21" s="29" customFormat="1" x14ac:dyDescent="0.25">
      <c r="D3290" s="887"/>
      <c r="E3290" s="887"/>
      <c r="F3290" s="887"/>
      <c r="G3290" s="888"/>
      <c r="H3290" s="888"/>
      <c r="I3290" s="888"/>
      <c r="J3290" s="888"/>
      <c r="K3290" s="888"/>
    </row>
    <row r="3291" spans="4:21" s="29" customFormat="1" x14ac:dyDescent="0.25">
      <c r="D3291" s="887"/>
      <c r="E3291" s="887"/>
      <c r="F3291" s="887"/>
      <c r="G3291" s="888"/>
      <c r="H3291" s="888"/>
      <c r="I3291" s="888"/>
      <c r="J3291" s="888"/>
      <c r="K3291" s="888"/>
      <c r="Q3291" s="123" t="s">
        <v>1681</v>
      </c>
      <c r="R3291" s="123">
        <f>U3289</f>
        <v>4482.42</v>
      </c>
      <c r="S3291" s="608" t="s">
        <v>2142</v>
      </c>
      <c r="T3291" s="608">
        <f>(R3291*100)/R3298</f>
        <v>42.245682970207113</v>
      </c>
    </row>
    <row r="3292" spans="4:21" s="29" customFormat="1" x14ac:dyDescent="0.25">
      <c r="D3292" s="887" t="s">
        <v>6</v>
      </c>
      <c r="E3292" s="887"/>
      <c r="F3292" s="887"/>
      <c r="G3292" s="888" t="s">
        <v>9</v>
      </c>
      <c r="H3292" s="888"/>
      <c r="I3292" s="888"/>
      <c r="J3292" s="888"/>
      <c r="K3292" s="888"/>
      <c r="Q3292" s="123" t="s">
        <v>2326</v>
      </c>
      <c r="R3292" s="123">
        <f>$AN$26</f>
        <v>956.11849518817462</v>
      </c>
    </row>
    <row r="3293" spans="4:21" s="29" customFormat="1" x14ac:dyDescent="0.25">
      <c r="D3293" s="887"/>
      <c r="E3293" s="887"/>
      <c r="F3293" s="887"/>
      <c r="G3293" s="888"/>
      <c r="H3293" s="888"/>
      <c r="I3293" s="888"/>
      <c r="J3293" s="888"/>
      <c r="K3293" s="888"/>
      <c r="Q3293" s="123" t="s">
        <v>2325</v>
      </c>
      <c r="R3293" s="123">
        <f>$AN$27</f>
        <v>82.78</v>
      </c>
    </row>
    <row r="3294" spans="4:21" s="29" customFormat="1" x14ac:dyDescent="0.25">
      <c r="D3294" s="887"/>
      <c r="E3294" s="887"/>
      <c r="F3294" s="887"/>
      <c r="G3294" s="888"/>
      <c r="H3294" s="888"/>
      <c r="I3294" s="888"/>
      <c r="J3294" s="888"/>
      <c r="K3294" s="888"/>
      <c r="Q3294" s="123" t="s">
        <v>1684</v>
      </c>
      <c r="R3294" s="123">
        <f>$AN$29</f>
        <v>618.93743909253101</v>
      </c>
    </row>
    <row r="3295" spans="4:21" s="29" customFormat="1" x14ac:dyDescent="0.25">
      <c r="D3295" s="887" t="s">
        <v>7</v>
      </c>
      <c r="E3295" s="887"/>
      <c r="F3295" s="887"/>
      <c r="G3295" s="889" t="s">
        <v>1287</v>
      </c>
      <c r="H3295" s="888"/>
      <c r="I3295" s="888"/>
      <c r="J3295" s="888"/>
      <c r="K3295" s="888"/>
      <c r="Q3295" s="123" t="s">
        <v>1685</v>
      </c>
      <c r="R3295" s="123">
        <v>0.6</v>
      </c>
    </row>
    <row r="3296" spans="4:21" s="29" customFormat="1" x14ac:dyDescent="0.25">
      <c r="D3296" s="887"/>
      <c r="E3296" s="887"/>
      <c r="F3296" s="887"/>
      <c r="G3296" s="888"/>
      <c r="H3296" s="888"/>
      <c r="I3296" s="888"/>
      <c r="J3296" s="888"/>
      <c r="K3296" s="888"/>
      <c r="Q3296" s="123" t="s">
        <v>1708</v>
      </c>
      <c r="R3296" s="123">
        <f>(SUM(R3291:R3294)*R3295)+SUM(R3291:R3294)</f>
        <v>9824.4094948491293</v>
      </c>
    </row>
    <row r="3297" spans="4:21" s="29" customFormat="1" x14ac:dyDescent="0.25">
      <c r="D3297" s="887"/>
      <c r="E3297" s="887"/>
      <c r="F3297" s="887"/>
      <c r="G3297" s="888"/>
      <c r="H3297" s="888"/>
      <c r="I3297" s="888"/>
      <c r="J3297" s="888"/>
      <c r="K3297" s="888"/>
      <c r="Q3297" s="123" t="s">
        <v>2130</v>
      </c>
      <c r="R3297" s="123">
        <f>R3296*0.08</f>
        <v>785.95275958793036</v>
      </c>
    </row>
    <row r="3298" spans="4:21" s="29" customFormat="1" x14ac:dyDescent="0.25">
      <c r="Q3298" s="123" t="s">
        <v>1686</v>
      </c>
      <c r="R3298" s="123">
        <f>SUM(R3296+R3297)</f>
        <v>10610.362254437059</v>
      </c>
    </row>
    <row r="3299" spans="4:21" s="29" customFormat="1" x14ac:dyDescent="0.25"/>
    <row r="3300" spans="4:21" s="29" customFormat="1" x14ac:dyDescent="0.25">
      <c r="D3300" s="885" t="s">
        <v>8</v>
      </c>
      <c r="E3300" s="885"/>
      <c r="F3300" s="885"/>
      <c r="G3300" s="885"/>
      <c r="H3300" s="885"/>
      <c r="I3300" s="885"/>
      <c r="J3300" s="885"/>
      <c r="K3300" s="885"/>
    </row>
    <row r="3301" spans="4:21" s="29" customFormat="1" x14ac:dyDescent="0.25">
      <c r="D3301" s="886" t="s">
        <v>0</v>
      </c>
      <c r="E3301" s="886"/>
      <c r="F3301" s="886"/>
      <c r="G3301" s="886" t="s">
        <v>1</v>
      </c>
      <c r="H3301" s="886"/>
      <c r="I3301" s="886"/>
      <c r="J3301" s="886"/>
      <c r="K3301" s="886"/>
    </row>
    <row r="3302" spans="4:21" s="29" customFormat="1" x14ac:dyDescent="0.25">
      <c r="D3302" s="887" t="s">
        <v>2</v>
      </c>
      <c r="E3302" s="887"/>
      <c r="F3302" s="887"/>
      <c r="G3302" s="888" t="s">
        <v>1289</v>
      </c>
      <c r="H3302" s="888"/>
      <c r="I3302" s="888"/>
      <c r="J3302" s="888"/>
      <c r="K3302" s="888"/>
      <c r="M3302" s="79" t="s">
        <v>336</v>
      </c>
      <c r="N3302" s="79" t="s">
        <v>174</v>
      </c>
      <c r="O3302" s="79" t="s">
        <v>248</v>
      </c>
      <c r="P3302" s="79" t="s">
        <v>176</v>
      </c>
      <c r="Q3302" s="79" t="s">
        <v>337</v>
      </c>
      <c r="R3302" s="79" t="s">
        <v>1641</v>
      </c>
      <c r="S3302" s="79" t="s">
        <v>1642</v>
      </c>
      <c r="T3302" s="79" t="s">
        <v>1643</v>
      </c>
      <c r="U3302" s="79" t="s">
        <v>1644</v>
      </c>
    </row>
    <row r="3303" spans="4:21" s="29" customFormat="1" x14ac:dyDescent="0.25">
      <c r="D3303" s="887"/>
      <c r="E3303" s="887"/>
      <c r="F3303" s="887"/>
      <c r="G3303" s="888"/>
      <c r="H3303" s="888"/>
      <c r="I3303" s="888"/>
      <c r="J3303" s="888"/>
      <c r="K3303" s="888"/>
      <c r="M3303" s="123" t="s">
        <v>1320</v>
      </c>
      <c r="N3303" s="123">
        <f>V23</f>
        <v>13.39</v>
      </c>
      <c r="O3303" s="123" t="str">
        <f>U23</f>
        <v>mL</v>
      </c>
      <c r="P3303" s="123">
        <v>50</v>
      </c>
      <c r="Q3303" s="123">
        <f>N3303*P3303</f>
        <v>669.5</v>
      </c>
      <c r="R3303" s="123">
        <v>0</v>
      </c>
      <c r="S3303" s="123">
        <f>P3303*R3303</f>
        <v>0</v>
      </c>
      <c r="T3303" s="123">
        <f>P3303-S3303</f>
        <v>50</v>
      </c>
      <c r="U3303" s="123">
        <f>Q3303+((S3303*Q3303)/P3303)</f>
        <v>669.5</v>
      </c>
    </row>
    <row r="3304" spans="4:21" s="29" customFormat="1" x14ac:dyDescent="0.25">
      <c r="D3304" s="887"/>
      <c r="E3304" s="887"/>
      <c r="F3304" s="887"/>
      <c r="G3304" s="888"/>
      <c r="H3304" s="888"/>
      <c r="I3304" s="888"/>
      <c r="J3304" s="888"/>
      <c r="K3304" s="888"/>
      <c r="M3304" s="123" t="s">
        <v>1306</v>
      </c>
      <c r="N3304" s="123">
        <f>AE25</f>
        <v>9.58</v>
      </c>
      <c r="O3304" s="123" t="str">
        <f>AD25</f>
        <v>g</v>
      </c>
      <c r="P3304" s="123">
        <v>10</v>
      </c>
      <c r="Q3304" s="123">
        <f t="shared" ref="Q3304:Q3309" si="1094">N3304*P3304</f>
        <v>95.8</v>
      </c>
      <c r="R3304" s="123">
        <v>0</v>
      </c>
      <c r="S3304" s="123">
        <f t="shared" ref="S3304:S3309" si="1095">P3304*R3304</f>
        <v>0</v>
      </c>
      <c r="T3304" s="123">
        <f t="shared" ref="T3304:T3309" si="1096">P3304-S3304</f>
        <v>10</v>
      </c>
      <c r="U3304" s="123">
        <f t="shared" ref="U3304:U3309" si="1097">Q3304+((S3304*Q3304)/P3304)</f>
        <v>95.8</v>
      </c>
    </row>
    <row r="3305" spans="4:21" s="29" customFormat="1" x14ac:dyDescent="0.25">
      <c r="D3305" s="886" t="s">
        <v>0</v>
      </c>
      <c r="E3305" s="886"/>
      <c r="F3305" s="886"/>
      <c r="G3305" s="886" t="s">
        <v>1</v>
      </c>
      <c r="H3305" s="886"/>
      <c r="I3305" s="886"/>
      <c r="J3305" s="886"/>
      <c r="K3305" s="886"/>
      <c r="M3305" s="123" t="s">
        <v>1323</v>
      </c>
      <c r="N3305" s="123">
        <f>M31</f>
        <v>9</v>
      </c>
      <c r="O3305" s="123" t="str">
        <f>L31</f>
        <v>g</v>
      </c>
      <c r="P3305" s="123">
        <v>40</v>
      </c>
      <c r="Q3305" s="123">
        <f t="shared" si="1094"/>
        <v>360</v>
      </c>
      <c r="R3305" s="123">
        <v>0</v>
      </c>
      <c r="S3305" s="123">
        <f t="shared" si="1095"/>
        <v>0</v>
      </c>
      <c r="T3305" s="123">
        <f t="shared" si="1096"/>
        <v>40</v>
      </c>
      <c r="U3305" s="123">
        <f t="shared" si="1097"/>
        <v>360</v>
      </c>
    </row>
    <row r="3306" spans="4:21" s="29" customFormat="1" x14ac:dyDescent="0.25">
      <c r="D3306" s="887" t="s">
        <v>3</v>
      </c>
      <c r="E3306" s="887"/>
      <c r="F3306" s="887"/>
      <c r="G3306" s="889" t="s">
        <v>1290</v>
      </c>
      <c r="H3306" s="888"/>
      <c r="I3306" s="888"/>
      <c r="J3306" s="888"/>
      <c r="K3306" s="888"/>
      <c r="M3306" s="123" t="s">
        <v>1324</v>
      </c>
      <c r="N3306" s="123">
        <f>M32</f>
        <v>10</v>
      </c>
      <c r="O3306" s="123" t="str">
        <f>L32</f>
        <v>g</v>
      </c>
      <c r="P3306" s="123">
        <v>40</v>
      </c>
      <c r="Q3306" s="123">
        <f t="shared" si="1094"/>
        <v>400</v>
      </c>
      <c r="R3306" s="123">
        <v>0</v>
      </c>
      <c r="S3306" s="123">
        <f t="shared" si="1095"/>
        <v>0</v>
      </c>
      <c r="T3306" s="123">
        <f t="shared" si="1096"/>
        <v>40</v>
      </c>
      <c r="U3306" s="123">
        <f t="shared" si="1097"/>
        <v>400</v>
      </c>
    </row>
    <row r="3307" spans="4:21" s="29" customFormat="1" x14ac:dyDescent="0.25">
      <c r="D3307" s="887"/>
      <c r="E3307" s="887"/>
      <c r="F3307" s="887"/>
      <c r="G3307" s="888"/>
      <c r="H3307" s="888"/>
      <c r="I3307" s="888"/>
      <c r="J3307" s="888"/>
      <c r="K3307" s="888"/>
      <c r="M3307" s="123" t="s">
        <v>910</v>
      </c>
      <c r="N3307" s="123">
        <f>Y24</f>
        <v>31.58</v>
      </c>
      <c r="O3307" s="123" t="str">
        <f>X24</f>
        <v>g</v>
      </c>
      <c r="P3307" s="123">
        <v>5</v>
      </c>
      <c r="Q3307" s="123">
        <f t="shared" si="1094"/>
        <v>157.89999999999998</v>
      </c>
      <c r="R3307" s="123">
        <v>0</v>
      </c>
      <c r="S3307" s="123">
        <f t="shared" si="1095"/>
        <v>0</v>
      </c>
      <c r="T3307" s="123">
        <f t="shared" si="1096"/>
        <v>5</v>
      </c>
      <c r="U3307" s="123">
        <f t="shared" si="1097"/>
        <v>157.89999999999998</v>
      </c>
    </row>
    <row r="3308" spans="4:21" s="29" customFormat="1" x14ac:dyDescent="0.25">
      <c r="D3308" s="887"/>
      <c r="E3308" s="887"/>
      <c r="F3308" s="887"/>
      <c r="G3308" s="888"/>
      <c r="H3308" s="888"/>
      <c r="I3308" s="888"/>
      <c r="J3308" s="888"/>
      <c r="K3308" s="888"/>
      <c r="M3308" s="123" t="s">
        <v>1325</v>
      </c>
      <c r="N3308" s="123">
        <f>Y14</f>
        <v>131.80000000000001</v>
      </c>
      <c r="O3308" s="123" t="str">
        <f>X14</f>
        <v>g</v>
      </c>
      <c r="P3308" s="123">
        <v>5</v>
      </c>
      <c r="Q3308" s="123">
        <f t="shared" si="1094"/>
        <v>659</v>
      </c>
      <c r="R3308" s="123">
        <v>0</v>
      </c>
      <c r="S3308" s="123">
        <f t="shared" si="1095"/>
        <v>0</v>
      </c>
      <c r="T3308" s="123">
        <f t="shared" si="1096"/>
        <v>5</v>
      </c>
      <c r="U3308" s="123">
        <f t="shared" si="1097"/>
        <v>659</v>
      </c>
    </row>
    <row r="3309" spans="4:21" s="29" customFormat="1" x14ac:dyDescent="0.25">
      <c r="D3309" s="887" t="s">
        <v>4</v>
      </c>
      <c r="E3309" s="887"/>
      <c r="F3309" s="887"/>
      <c r="G3309" s="888" t="s">
        <v>825</v>
      </c>
      <c r="H3309" s="888"/>
      <c r="I3309" s="888"/>
      <c r="J3309" s="888"/>
      <c r="K3309" s="888"/>
      <c r="M3309" s="123" t="s">
        <v>911</v>
      </c>
      <c r="N3309" s="432">
        <f>M21</f>
        <v>4.1660000000000004</v>
      </c>
      <c r="O3309" s="123" t="str">
        <f>L21</f>
        <v>g</v>
      </c>
      <c r="P3309" s="123">
        <v>5</v>
      </c>
      <c r="Q3309" s="123">
        <f t="shared" si="1094"/>
        <v>20.830000000000002</v>
      </c>
      <c r="R3309" s="123">
        <f>AL17</f>
        <v>0.06</v>
      </c>
      <c r="S3309" s="123">
        <f t="shared" si="1095"/>
        <v>0.3</v>
      </c>
      <c r="T3309" s="123">
        <f t="shared" si="1096"/>
        <v>4.7</v>
      </c>
      <c r="U3309" s="123">
        <f t="shared" si="1097"/>
        <v>22.079800000000002</v>
      </c>
    </row>
    <row r="3310" spans="4:21" s="29" customFormat="1" x14ac:dyDescent="0.25">
      <c r="D3310" s="887"/>
      <c r="E3310" s="887"/>
      <c r="F3310" s="887"/>
      <c r="G3310" s="888"/>
      <c r="H3310" s="888"/>
      <c r="I3310" s="888"/>
      <c r="J3310" s="888"/>
      <c r="K3310" s="888"/>
      <c r="M3310" s="123"/>
      <c r="N3310" s="123"/>
      <c r="O3310" s="123"/>
      <c r="P3310" s="123"/>
      <c r="Q3310" s="123"/>
      <c r="R3310" s="123"/>
      <c r="S3310" s="123"/>
      <c r="T3310" s="123"/>
      <c r="U3310" s="123"/>
    </row>
    <row r="3311" spans="4:21" s="29" customFormat="1" x14ac:dyDescent="0.25">
      <c r="D3311" s="887"/>
      <c r="E3311" s="887"/>
      <c r="F3311" s="887"/>
      <c r="G3311" s="888"/>
      <c r="H3311" s="888"/>
      <c r="I3311" s="888"/>
      <c r="J3311" s="888"/>
      <c r="K3311" s="888"/>
      <c r="M3311" s="123"/>
      <c r="N3311" s="123"/>
      <c r="O3311" s="123"/>
      <c r="P3311" s="123"/>
      <c r="Q3311" s="123"/>
      <c r="R3311" s="123"/>
      <c r="S3311" s="123"/>
      <c r="T3311" s="123"/>
      <c r="U3311" s="123"/>
    </row>
    <row r="3312" spans="4:21" s="29" customFormat="1" x14ac:dyDescent="0.25">
      <c r="D3312" s="887" t="s">
        <v>5</v>
      </c>
      <c r="E3312" s="887"/>
      <c r="F3312" s="887"/>
      <c r="G3312" s="888" t="s">
        <v>1291</v>
      </c>
      <c r="H3312" s="888"/>
      <c r="I3312" s="888"/>
      <c r="J3312" s="888"/>
      <c r="K3312" s="888"/>
      <c r="M3312" s="123" t="s">
        <v>337</v>
      </c>
      <c r="N3312" s="123">
        <f>SUM(N3303:N3311)</f>
        <v>209.51600000000002</v>
      </c>
      <c r="O3312" s="123"/>
      <c r="P3312" s="123">
        <f>SUM(P3303:P3311)</f>
        <v>155</v>
      </c>
      <c r="Q3312" s="123">
        <f>SUM(Q3303:Q3311)</f>
        <v>2363.0299999999997</v>
      </c>
      <c r="R3312" s="123"/>
      <c r="S3312" s="123"/>
      <c r="T3312" s="123"/>
      <c r="U3312" s="123">
        <f>SUM(U3303:U3311)</f>
        <v>2364.2797999999998</v>
      </c>
    </row>
    <row r="3313" spans="4:21" s="29" customFormat="1" x14ac:dyDescent="0.25">
      <c r="D3313" s="887"/>
      <c r="E3313" s="887"/>
      <c r="F3313" s="887"/>
      <c r="G3313" s="888"/>
      <c r="H3313" s="888"/>
      <c r="I3313" s="888"/>
      <c r="J3313" s="888"/>
      <c r="K3313" s="888"/>
    </row>
    <row r="3314" spans="4:21" s="29" customFormat="1" x14ac:dyDescent="0.25">
      <c r="D3314" s="887"/>
      <c r="E3314" s="887"/>
      <c r="F3314" s="887"/>
      <c r="G3314" s="888"/>
      <c r="H3314" s="888"/>
      <c r="I3314" s="888"/>
      <c r="J3314" s="888"/>
      <c r="K3314" s="888"/>
      <c r="Q3314" s="123" t="s">
        <v>1681</v>
      </c>
      <c r="R3314" s="123">
        <f>U3312</f>
        <v>2364.2797999999998</v>
      </c>
      <c r="S3314" s="608" t="s">
        <v>2142</v>
      </c>
      <c r="T3314" s="608">
        <f>(R3314*100)/R3321</f>
        <v>34.017357213032476</v>
      </c>
    </row>
    <row r="3315" spans="4:21" s="29" customFormat="1" x14ac:dyDescent="0.25">
      <c r="D3315" s="887" t="s">
        <v>6</v>
      </c>
      <c r="E3315" s="887"/>
      <c r="F3315" s="887"/>
      <c r="G3315" s="888" t="s">
        <v>9</v>
      </c>
      <c r="H3315" s="888"/>
      <c r="I3315" s="888"/>
      <c r="J3315" s="888"/>
      <c r="K3315" s="888"/>
      <c r="Q3315" s="123" t="s">
        <v>2326</v>
      </c>
      <c r="R3315" s="123">
        <f>$AN$26</f>
        <v>956.11849518817462</v>
      </c>
    </row>
    <row r="3316" spans="4:21" s="29" customFormat="1" x14ac:dyDescent="0.25">
      <c r="D3316" s="887"/>
      <c r="E3316" s="887"/>
      <c r="F3316" s="887"/>
      <c r="G3316" s="888"/>
      <c r="H3316" s="888"/>
      <c r="I3316" s="888"/>
      <c r="J3316" s="888"/>
      <c r="K3316" s="888"/>
      <c r="Q3316" s="123" t="s">
        <v>2325</v>
      </c>
      <c r="R3316" s="123">
        <f>$AN$27</f>
        <v>82.78</v>
      </c>
    </row>
    <row r="3317" spans="4:21" s="29" customFormat="1" x14ac:dyDescent="0.25">
      <c r="D3317" s="887"/>
      <c r="E3317" s="887"/>
      <c r="F3317" s="887"/>
      <c r="G3317" s="888"/>
      <c r="H3317" s="888"/>
      <c r="I3317" s="888"/>
      <c r="J3317" s="888"/>
      <c r="K3317" s="888"/>
      <c r="Q3317" s="123" t="s">
        <v>1684</v>
      </c>
      <c r="R3317" s="123">
        <f>$AN$29</f>
        <v>618.93743909253101</v>
      </c>
    </row>
    <row r="3318" spans="4:21" s="29" customFormat="1" x14ac:dyDescent="0.25">
      <c r="D3318" s="887" t="s">
        <v>7</v>
      </c>
      <c r="E3318" s="887"/>
      <c r="F3318" s="887"/>
      <c r="G3318" s="889" t="s">
        <v>2150</v>
      </c>
      <c r="H3318" s="888"/>
      <c r="I3318" s="888"/>
      <c r="J3318" s="888"/>
      <c r="K3318" s="888"/>
      <c r="Q3318" s="123" t="s">
        <v>1685</v>
      </c>
      <c r="R3318" s="123">
        <v>0.6</v>
      </c>
    </row>
    <row r="3319" spans="4:21" s="29" customFormat="1" x14ac:dyDescent="0.25">
      <c r="D3319" s="887"/>
      <c r="E3319" s="887"/>
      <c r="F3319" s="887"/>
      <c r="G3319" s="888"/>
      <c r="H3319" s="888"/>
      <c r="I3319" s="888"/>
      <c r="J3319" s="888"/>
      <c r="K3319" s="888"/>
      <c r="Q3319" s="123" t="s">
        <v>1708</v>
      </c>
      <c r="R3319" s="123">
        <f>(SUM(R3314:R3317)*R3318)+SUM(R3314:R3317)</f>
        <v>6435.3851748491288</v>
      </c>
    </row>
    <row r="3320" spans="4:21" s="29" customFormat="1" x14ac:dyDescent="0.25">
      <c r="D3320" s="887"/>
      <c r="E3320" s="887"/>
      <c r="F3320" s="887"/>
      <c r="G3320" s="888"/>
      <c r="H3320" s="888"/>
      <c r="I3320" s="888"/>
      <c r="J3320" s="888"/>
      <c r="K3320" s="888"/>
      <c r="Q3320" s="123" t="s">
        <v>2130</v>
      </c>
      <c r="R3320" s="123">
        <f>R3319*0.08</f>
        <v>514.83081398793036</v>
      </c>
    </row>
    <row r="3321" spans="4:21" s="29" customFormat="1" x14ac:dyDescent="0.25">
      <c r="Q3321" s="123" t="s">
        <v>1686</v>
      </c>
      <c r="R3321" s="123">
        <f>SUM(R3319+R3320)</f>
        <v>6950.2159888370588</v>
      </c>
    </row>
    <row r="3322" spans="4:21" s="29" customFormat="1" x14ac:dyDescent="0.25"/>
    <row r="3323" spans="4:21" s="29" customFormat="1" x14ac:dyDescent="0.25">
      <c r="D3323" s="885" t="s">
        <v>8</v>
      </c>
      <c r="E3323" s="885"/>
      <c r="F3323" s="885"/>
      <c r="G3323" s="885"/>
      <c r="H3323" s="885"/>
      <c r="I3323" s="885"/>
      <c r="J3323" s="885"/>
      <c r="K3323" s="885"/>
    </row>
    <row r="3324" spans="4:21" s="29" customFormat="1" x14ac:dyDescent="0.25">
      <c r="D3324" s="886" t="s">
        <v>0</v>
      </c>
      <c r="E3324" s="886"/>
      <c r="F3324" s="886"/>
      <c r="G3324" s="886" t="s">
        <v>1</v>
      </c>
      <c r="H3324" s="886"/>
      <c r="I3324" s="886"/>
      <c r="J3324" s="886"/>
      <c r="K3324" s="886"/>
    </row>
    <row r="3325" spans="4:21" s="29" customFormat="1" x14ac:dyDescent="0.25">
      <c r="D3325" s="887" t="s">
        <v>2</v>
      </c>
      <c r="E3325" s="887"/>
      <c r="F3325" s="887"/>
      <c r="G3325" s="888" t="s">
        <v>2249</v>
      </c>
      <c r="H3325" s="888"/>
      <c r="I3325" s="888"/>
      <c r="J3325" s="888"/>
      <c r="K3325" s="888"/>
      <c r="M3325" s="630" t="s">
        <v>336</v>
      </c>
      <c r="N3325" s="630" t="s">
        <v>174</v>
      </c>
      <c r="O3325" s="630" t="s">
        <v>248</v>
      </c>
      <c r="P3325" s="630" t="s">
        <v>176</v>
      </c>
      <c r="Q3325" s="630" t="s">
        <v>337</v>
      </c>
      <c r="R3325" s="630" t="s">
        <v>1641</v>
      </c>
      <c r="S3325" s="630" t="s">
        <v>1642</v>
      </c>
      <c r="T3325" s="630" t="s">
        <v>1643</v>
      </c>
      <c r="U3325" s="630" t="s">
        <v>1644</v>
      </c>
    </row>
    <row r="3326" spans="4:21" s="29" customFormat="1" x14ac:dyDescent="0.25">
      <c r="D3326" s="887"/>
      <c r="E3326" s="887"/>
      <c r="F3326" s="887"/>
      <c r="G3326" s="888"/>
      <c r="H3326" s="888"/>
      <c r="I3326" s="888"/>
      <c r="J3326" s="888"/>
      <c r="K3326" s="888"/>
      <c r="M3326" s="123" t="s">
        <v>1309</v>
      </c>
      <c r="N3326" s="432">
        <f>AE27</f>
        <v>15</v>
      </c>
      <c r="O3326" s="123" t="str">
        <f>AD27</f>
        <v>g</v>
      </c>
      <c r="P3326" s="123">
        <v>10</v>
      </c>
      <c r="Q3326" s="432">
        <f>N3326*P3326</f>
        <v>150</v>
      </c>
      <c r="R3326" s="123">
        <v>0</v>
      </c>
      <c r="S3326" s="123">
        <f>P3326*R3326</f>
        <v>0</v>
      </c>
      <c r="T3326" s="123">
        <f>P3326-S3326</f>
        <v>10</v>
      </c>
      <c r="U3326" s="123">
        <f>Q3326+((S3326*Q3326)/P3326)</f>
        <v>150</v>
      </c>
    </row>
    <row r="3327" spans="4:21" s="29" customFormat="1" x14ac:dyDescent="0.25">
      <c r="D3327" s="887"/>
      <c r="E3327" s="887"/>
      <c r="F3327" s="887"/>
      <c r="G3327" s="888"/>
      <c r="H3327" s="888"/>
      <c r="I3327" s="888"/>
      <c r="J3327" s="888"/>
      <c r="K3327" s="888"/>
      <c r="M3327" s="123" t="s">
        <v>2248</v>
      </c>
      <c r="N3327" s="432">
        <f>Y27</f>
        <v>7</v>
      </c>
      <c r="O3327" s="123" t="str">
        <f>X27</f>
        <v>g</v>
      </c>
      <c r="P3327" s="123">
        <v>10</v>
      </c>
      <c r="Q3327" s="123">
        <f t="shared" ref="Q3327:Q3328" si="1098">N3327*P3327</f>
        <v>70</v>
      </c>
      <c r="R3327" s="123">
        <v>0</v>
      </c>
      <c r="S3327" s="123">
        <f t="shared" ref="S3327:S3328" si="1099">P3327*R3327</f>
        <v>0</v>
      </c>
      <c r="T3327" s="123">
        <f t="shared" ref="T3327:T3328" si="1100">P3327-S3327</f>
        <v>10</v>
      </c>
      <c r="U3327" s="123">
        <f t="shared" ref="U3327:U3328" si="1101">Q3327+((S3327*Q3327)/P3327)</f>
        <v>70</v>
      </c>
    </row>
    <row r="3328" spans="4:21" s="29" customFormat="1" x14ac:dyDescent="0.25">
      <c r="D3328" s="886" t="s">
        <v>0</v>
      </c>
      <c r="E3328" s="886"/>
      <c r="F3328" s="886"/>
      <c r="G3328" s="886" t="s">
        <v>1</v>
      </c>
      <c r="H3328" s="886"/>
      <c r="I3328" s="886"/>
      <c r="J3328" s="886"/>
      <c r="K3328" s="886"/>
      <c r="M3328" s="123" t="s">
        <v>718</v>
      </c>
      <c r="N3328" s="432">
        <f>Y9</f>
        <v>179.67</v>
      </c>
      <c r="O3328" s="123" t="str">
        <f>X9</f>
        <v>g</v>
      </c>
      <c r="P3328" s="123">
        <v>5</v>
      </c>
      <c r="Q3328" s="123">
        <f t="shared" si="1098"/>
        <v>898.34999999999991</v>
      </c>
      <c r="R3328" s="123">
        <v>0</v>
      </c>
      <c r="S3328" s="123">
        <f t="shared" si="1099"/>
        <v>0</v>
      </c>
      <c r="T3328" s="123">
        <f t="shared" si="1100"/>
        <v>5</v>
      </c>
      <c r="U3328" s="123">
        <f t="shared" si="1101"/>
        <v>898.34999999999991</v>
      </c>
    </row>
    <row r="3329" spans="4:21" s="29" customFormat="1" x14ac:dyDescent="0.25">
      <c r="D3329" s="887" t="s">
        <v>3</v>
      </c>
      <c r="E3329" s="887"/>
      <c r="F3329" s="887"/>
      <c r="G3329" s="889" t="s">
        <v>2250</v>
      </c>
      <c r="H3329" s="888"/>
      <c r="I3329" s="888"/>
      <c r="J3329" s="888"/>
      <c r="K3329" s="888"/>
      <c r="M3329" s="123" t="s">
        <v>337</v>
      </c>
      <c r="N3329" s="123"/>
      <c r="O3329" s="123"/>
      <c r="P3329" s="123">
        <f>SUM(P3326:P3328)</f>
        <v>25</v>
      </c>
      <c r="Q3329" s="123"/>
      <c r="R3329" s="123"/>
      <c r="S3329" s="123"/>
      <c r="T3329" s="123"/>
      <c r="U3329" s="123">
        <f>SUM(U3326:U3328)</f>
        <v>1118.3499999999999</v>
      </c>
    </row>
    <row r="3330" spans="4:21" s="29" customFormat="1" x14ac:dyDescent="0.25">
      <c r="D3330" s="887"/>
      <c r="E3330" s="887"/>
      <c r="F3330" s="887"/>
      <c r="G3330" s="888"/>
      <c r="H3330" s="888"/>
      <c r="I3330" s="888"/>
      <c r="J3330" s="888"/>
      <c r="K3330" s="888"/>
    </row>
    <row r="3331" spans="4:21" s="29" customFormat="1" x14ac:dyDescent="0.25">
      <c r="D3331" s="887"/>
      <c r="E3331" s="887"/>
      <c r="F3331" s="887"/>
      <c r="G3331" s="888"/>
      <c r="H3331" s="888"/>
      <c r="I3331" s="888"/>
      <c r="J3331" s="888"/>
      <c r="K3331" s="888"/>
      <c r="Q3331" s="123" t="s">
        <v>1681</v>
      </c>
      <c r="R3331" s="123">
        <f>U3329</f>
        <v>1118.3499999999999</v>
      </c>
      <c r="S3331" s="608" t="s">
        <v>2142</v>
      </c>
      <c r="T3331" s="608">
        <f>(R3331*100)/R3338</f>
        <v>23.312317775456247</v>
      </c>
    </row>
    <row r="3332" spans="4:21" s="29" customFormat="1" x14ac:dyDescent="0.25">
      <c r="D3332" s="887" t="s">
        <v>4</v>
      </c>
      <c r="E3332" s="887"/>
      <c r="F3332" s="887"/>
      <c r="G3332" s="888" t="s">
        <v>825</v>
      </c>
      <c r="H3332" s="888"/>
      <c r="I3332" s="888"/>
      <c r="J3332" s="888"/>
      <c r="K3332" s="888"/>
      <c r="Q3332" s="123" t="s">
        <v>2326</v>
      </c>
      <c r="R3332" s="123">
        <f>$AN$26</f>
        <v>956.11849518817462</v>
      </c>
    </row>
    <row r="3333" spans="4:21" s="29" customFormat="1" x14ac:dyDescent="0.25">
      <c r="D3333" s="887"/>
      <c r="E3333" s="887"/>
      <c r="F3333" s="887"/>
      <c r="G3333" s="888"/>
      <c r="H3333" s="888"/>
      <c r="I3333" s="888"/>
      <c r="J3333" s="888"/>
      <c r="K3333" s="888"/>
      <c r="Q3333" s="123" t="s">
        <v>2325</v>
      </c>
      <c r="R3333" s="123">
        <f>$AN$27</f>
        <v>82.78</v>
      </c>
    </row>
    <row r="3334" spans="4:21" s="29" customFormat="1" x14ac:dyDescent="0.25">
      <c r="D3334" s="887"/>
      <c r="E3334" s="887"/>
      <c r="F3334" s="887"/>
      <c r="G3334" s="888"/>
      <c r="H3334" s="888"/>
      <c r="I3334" s="888"/>
      <c r="J3334" s="888"/>
      <c r="K3334" s="888"/>
      <c r="Q3334" s="123" t="s">
        <v>1684</v>
      </c>
      <c r="R3334" s="123">
        <f>$AN$29</f>
        <v>618.93743909253101</v>
      </c>
    </row>
    <row r="3335" spans="4:21" s="29" customFormat="1" x14ac:dyDescent="0.25">
      <c r="D3335" s="887" t="s">
        <v>5</v>
      </c>
      <c r="E3335" s="887"/>
      <c r="F3335" s="887"/>
      <c r="G3335" s="888" t="s">
        <v>2246</v>
      </c>
      <c r="H3335" s="888"/>
      <c r="I3335" s="888"/>
      <c r="J3335" s="888"/>
      <c r="K3335" s="888"/>
      <c r="Q3335" s="123" t="s">
        <v>1685</v>
      </c>
      <c r="R3335" s="123">
        <v>0.6</v>
      </c>
    </row>
    <row r="3336" spans="4:21" s="29" customFormat="1" x14ac:dyDescent="0.25">
      <c r="D3336" s="887"/>
      <c r="E3336" s="887"/>
      <c r="F3336" s="887"/>
      <c r="G3336" s="888"/>
      <c r="H3336" s="888"/>
      <c r="I3336" s="888"/>
      <c r="J3336" s="888"/>
      <c r="K3336" s="888"/>
      <c r="Q3336" s="123" t="s">
        <v>1708</v>
      </c>
      <c r="R3336" s="123">
        <f>(SUM(R3331:R3334)*R3335)+SUM(R3331:R3334)</f>
        <v>4441.8974948491286</v>
      </c>
    </row>
    <row r="3337" spans="4:21" s="29" customFormat="1" x14ac:dyDescent="0.25">
      <c r="D3337" s="887"/>
      <c r="E3337" s="887"/>
      <c r="F3337" s="887"/>
      <c r="G3337" s="888"/>
      <c r="H3337" s="888"/>
      <c r="I3337" s="888"/>
      <c r="J3337" s="888"/>
      <c r="K3337" s="888"/>
      <c r="Q3337" s="123" t="s">
        <v>2130</v>
      </c>
      <c r="R3337" s="123">
        <f>R3336*0.08</f>
        <v>355.35179958793032</v>
      </c>
    </row>
    <row r="3338" spans="4:21" s="29" customFormat="1" x14ac:dyDescent="0.25">
      <c r="D3338" s="887" t="s">
        <v>6</v>
      </c>
      <c r="E3338" s="887"/>
      <c r="F3338" s="887"/>
      <c r="G3338" s="888" t="s">
        <v>9</v>
      </c>
      <c r="H3338" s="888"/>
      <c r="I3338" s="888"/>
      <c r="J3338" s="888"/>
      <c r="K3338" s="888"/>
      <c r="Q3338" s="123" t="s">
        <v>1686</v>
      </c>
      <c r="R3338" s="123">
        <f>SUM(R3336+R3337)</f>
        <v>4797.2492944370588</v>
      </c>
    </row>
    <row r="3339" spans="4:21" s="29" customFormat="1" x14ac:dyDescent="0.25">
      <c r="D3339" s="887"/>
      <c r="E3339" s="887"/>
      <c r="F3339" s="887"/>
      <c r="G3339" s="888"/>
      <c r="H3339" s="888"/>
      <c r="I3339" s="888"/>
      <c r="J3339" s="888"/>
      <c r="K3339" s="888"/>
    </row>
    <row r="3340" spans="4:21" s="29" customFormat="1" x14ac:dyDescent="0.25">
      <c r="D3340" s="887"/>
      <c r="E3340" s="887"/>
      <c r="F3340" s="887"/>
      <c r="G3340" s="888"/>
      <c r="H3340" s="888"/>
      <c r="I3340" s="888"/>
      <c r="J3340" s="888"/>
      <c r="K3340" s="888"/>
    </row>
    <row r="3341" spans="4:21" s="29" customFormat="1" x14ac:dyDescent="0.25">
      <c r="D3341" s="887" t="s">
        <v>7</v>
      </c>
      <c r="E3341" s="887"/>
      <c r="F3341" s="887"/>
      <c r="G3341" s="889" t="s">
        <v>2247</v>
      </c>
      <c r="H3341" s="888"/>
      <c r="I3341" s="888"/>
      <c r="J3341" s="888"/>
      <c r="K3341" s="888"/>
    </row>
    <row r="3342" spans="4:21" s="29" customFormat="1" x14ac:dyDescent="0.25">
      <c r="D3342" s="887"/>
      <c r="E3342" s="887"/>
      <c r="F3342" s="887"/>
      <c r="G3342" s="888"/>
      <c r="H3342" s="888"/>
      <c r="I3342" s="888"/>
      <c r="J3342" s="888"/>
      <c r="K3342" s="888"/>
    </row>
    <row r="3343" spans="4:21" s="29" customFormat="1" x14ac:dyDescent="0.25">
      <c r="D3343" s="887"/>
      <c r="E3343" s="887"/>
      <c r="F3343" s="887"/>
      <c r="G3343" s="888"/>
      <c r="H3343" s="888"/>
      <c r="I3343" s="888"/>
      <c r="J3343" s="888"/>
      <c r="K3343" s="888"/>
    </row>
    <row r="3344" spans="4:21" s="29" customFormat="1" x14ac:dyDescent="0.25"/>
    <row r="3345" s="29" customFormat="1" x14ac:dyDescent="0.25"/>
    <row r="3346" s="29" customFormat="1" x14ac:dyDescent="0.25"/>
    <row r="3347" s="29" customFormat="1" x14ac:dyDescent="0.25"/>
    <row r="3348" s="29" customFormat="1" x14ac:dyDescent="0.25"/>
    <row r="3349" s="29" customFormat="1" x14ac:dyDescent="0.25"/>
    <row r="3350" s="29" customFormat="1" x14ac:dyDescent="0.25"/>
    <row r="3351" s="29" customFormat="1" x14ac:dyDescent="0.25"/>
    <row r="3352" s="29" customFormat="1" x14ac:dyDescent="0.25"/>
    <row r="3353" s="29" customFormat="1" x14ac:dyDescent="0.25"/>
    <row r="3354" s="29" customFormat="1" x14ac:dyDescent="0.25"/>
    <row r="3355" s="29" customFormat="1" x14ac:dyDescent="0.25"/>
    <row r="3356" s="29" customFormat="1" x14ac:dyDescent="0.25"/>
    <row r="3357" s="29" customFormat="1" x14ac:dyDescent="0.25"/>
    <row r="3358" s="29" customFormat="1" x14ac:dyDescent="0.25"/>
    <row r="3359" s="29" customFormat="1" x14ac:dyDescent="0.25"/>
    <row r="3360" s="29" customFormat="1" x14ac:dyDescent="0.25"/>
    <row r="3361" s="29" customFormat="1" x14ac:dyDescent="0.25"/>
    <row r="3362" s="29" customFormat="1" x14ac:dyDescent="0.25"/>
    <row r="3363" s="29" customFormat="1" x14ac:dyDescent="0.25"/>
    <row r="3364" s="29" customFormat="1" x14ac:dyDescent="0.25"/>
    <row r="3365" s="29" customFormat="1" x14ac:dyDescent="0.25"/>
    <row r="3366" s="29" customFormat="1" x14ac:dyDescent="0.25"/>
    <row r="3367" s="29" customFormat="1" x14ac:dyDescent="0.25"/>
    <row r="3368" s="29" customFormat="1" x14ac:dyDescent="0.25"/>
    <row r="3369" s="29" customFormat="1" x14ac:dyDescent="0.25"/>
    <row r="3370" s="29" customFormat="1" x14ac:dyDescent="0.25"/>
    <row r="3371" s="29" customFormat="1" x14ac:dyDescent="0.25"/>
    <row r="3372" s="29" customFormat="1" x14ac:dyDescent="0.25"/>
    <row r="3373" s="29" customFormat="1" x14ac:dyDescent="0.25"/>
    <row r="3374" s="29" customFormat="1" x14ac:dyDescent="0.25"/>
    <row r="3375" s="29" customFormat="1" x14ac:dyDescent="0.25"/>
    <row r="3376" s="29" customFormat="1" x14ac:dyDescent="0.25"/>
    <row r="3377" s="29" customFormat="1" x14ac:dyDescent="0.25"/>
    <row r="3378" s="29" customFormat="1" x14ac:dyDescent="0.25"/>
    <row r="3379" s="29" customFormat="1" x14ac:dyDescent="0.25"/>
    <row r="3380" s="29" customFormat="1" x14ac:dyDescent="0.25"/>
    <row r="3381" s="29" customFormat="1" x14ac:dyDescent="0.25"/>
    <row r="3382" s="29" customFormat="1" x14ac:dyDescent="0.25"/>
    <row r="3383" s="29" customFormat="1" x14ac:dyDescent="0.25"/>
    <row r="3384" s="29" customFormat="1" x14ac:dyDescent="0.25"/>
    <row r="3385" s="29" customFormat="1" x14ac:dyDescent="0.25"/>
    <row r="3386" s="29" customFormat="1" x14ac:dyDescent="0.25"/>
    <row r="3387" s="29" customFormat="1" x14ac:dyDescent="0.25"/>
    <row r="3388" s="29" customFormat="1" x14ac:dyDescent="0.25"/>
    <row r="3389" s="29" customFormat="1" x14ac:dyDescent="0.25"/>
    <row r="3390" s="29" customFormat="1" x14ac:dyDescent="0.25"/>
    <row r="3391" s="29" customFormat="1" x14ac:dyDescent="0.25"/>
    <row r="3392" s="29" customFormat="1" x14ac:dyDescent="0.25"/>
    <row r="3393" s="29" customFormat="1" x14ac:dyDescent="0.25"/>
    <row r="3394" s="29" customFormat="1" x14ac:dyDescent="0.25"/>
    <row r="3395" s="29" customFormat="1" x14ac:dyDescent="0.25"/>
    <row r="3396" s="29" customFormat="1" x14ac:dyDescent="0.25"/>
    <row r="3397" s="29" customFormat="1" x14ac:dyDescent="0.25"/>
    <row r="3398" s="29" customFormat="1" x14ac:dyDescent="0.25"/>
    <row r="3399" s="29" customFormat="1" x14ac:dyDescent="0.25"/>
    <row r="3400" s="29" customFormat="1" x14ac:dyDescent="0.25"/>
    <row r="3401" s="29" customFormat="1" x14ac:dyDescent="0.25"/>
    <row r="3402" s="29" customFormat="1" x14ac:dyDescent="0.25"/>
    <row r="3403" s="29" customFormat="1" x14ac:dyDescent="0.25"/>
    <row r="3404" s="29" customFormat="1" x14ac:dyDescent="0.25"/>
    <row r="3405" s="29" customFormat="1" x14ac:dyDescent="0.25"/>
    <row r="3406" s="29" customFormat="1" x14ac:dyDescent="0.25"/>
    <row r="3407" s="29" customFormat="1" x14ac:dyDescent="0.25"/>
    <row r="3408" s="29" customFormat="1" x14ac:dyDescent="0.25"/>
    <row r="3409" s="29" customFormat="1" x14ac:dyDescent="0.25"/>
    <row r="3410" s="29" customFormat="1" x14ac:dyDescent="0.25"/>
    <row r="3411" s="29" customFormat="1" x14ac:dyDescent="0.25"/>
    <row r="3412" s="29" customFormat="1" x14ac:dyDescent="0.25"/>
    <row r="3413" s="29" customFormat="1" x14ac:dyDescent="0.25"/>
    <row r="3414" s="29" customFormat="1" x14ac:dyDescent="0.25"/>
    <row r="3415" s="29" customFormat="1" x14ac:dyDescent="0.25"/>
    <row r="3416" s="29" customFormat="1" x14ac:dyDescent="0.25"/>
    <row r="3417" s="29" customFormat="1" x14ac:dyDescent="0.25"/>
    <row r="3418" s="29" customFormat="1" x14ac:dyDescent="0.25"/>
    <row r="3419" s="29" customFormat="1" x14ac:dyDescent="0.25"/>
    <row r="3420" s="29" customFormat="1" x14ac:dyDescent="0.25"/>
    <row r="3421" s="29" customFormat="1" x14ac:dyDescent="0.25"/>
    <row r="3422" s="29" customFormat="1" x14ac:dyDescent="0.25"/>
    <row r="3423" s="29" customFormat="1" x14ac:dyDescent="0.25"/>
    <row r="3424" s="29" customFormat="1" x14ac:dyDescent="0.25"/>
    <row r="3425" s="29" customFormat="1" x14ac:dyDescent="0.25"/>
    <row r="3426" s="29" customFormat="1" x14ac:dyDescent="0.25"/>
    <row r="3427" s="29" customFormat="1" x14ac:dyDescent="0.25"/>
    <row r="3428" s="29" customFormat="1" x14ac:dyDescent="0.25"/>
    <row r="3429" s="29" customFormat="1" x14ac:dyDescent="0.25"/>
    <row r="3430" s="29" customFormat="1" x14ac:dyDescent="0.25"/>
    <row r="3431" s="29" customFormat="1" x14ac:dyDescent="0.25"/>
    <row r="3432" s="29" customFormat="1" x14ac:dyDescent="0.25"/>
    <row r="3433" s="29" customFormat="1" x14ac:dyDescent="0.25"/>
    <row r="3434" s="29" customFormat="1" x14ac:dyDescent="0.25"/>
    <row r="3435" s="29" customFormat="1" x14ac:dyDescent="0.25"/>
    <row r="3436" s="29" customFormat="1" x14ac:dyDescent="0.25"/>
    <row r="3437" s="29" customFormat="1" x14ac:dyDescent="0.25"/>
    <row r="3438" s="29" customFormat="1" x14ac:dyDescent="0.25"/>
    <row r="3439" s="29" customFormat="1" x14ac:dyDescent="0.25"/>
    <row r="3440" s="29" customFormat="1" x14ac:dyDescent="0.25"/>
    <row r="3441" s="29" customFormat="1" x14ac:dyDescent="0.25"/>
    <row r="3442" s="29" customFormat="1" x14ac:dyDescent="0.25"/>
    <row r="3443" s="29" customFormat="1" x14ac:dyDescent="0.25"/>
    <row r="3444" s="29" customFormat="1" x14ac:dyDescent="0.25"/>
    <row r="3445" s="29" customFormat="1" x14ac:dyDescent="0.25"/>
    <row r="3446" s="29" customFormat="1" x14ac:dyDescent="0.25"/>
    <row r="3447" s="29" customFormat="1" x14ac:dyDescent="0.25"/>
    <row r="3448" s="29" customFormat="1" x14ac:dyDescent="0.25"/>
    <row r="3449" s="29" customFormat="1" x14ac:dyDescent="0.25"/>
    <row r="3450" s="29" customFormat="1" x14ac:dyDescent="0.25"/>
    <row r="3451" s="29" customFormat="1" x14ac:dyDescent="0.25"/>
    <row r="3452" s="29" customFormat="1" x14ac:dyDescent="0.25"/>
    <row r="3453" s="29" customFormat="1" x14ac:dyDescent="0.25"/>
    <row r="3454" s="29" customFormat="1" x14ac:dyDescent="0.25"/>
    <row r="3455" s="29" customFormat="1" x14ac:dyDescent="0.25"/>
    <row r="3456" s="29" customFormat="1" x14ac:dyDescent="0.25"/>
    <row r="3457" s="29" customFormat="1" x14ac:dyDescent="0.25"/>
    <row r="3458" s="29" customFormat="1" x14ac:dyDescent="0.25"/>
    <row r="3459" s="29" customFormat="1" x14ac:dyDescent="0.25"/>
    <row r="3460" s="29" customFormat="1" x14ac:dyDescent="0.25"/>
    <row r="3461" s="29" customFormat="1" x14ac:dyDescent="0.25"/>
    <row r="3462" s="29" customFormat="1" x14ac:dyDescent="0.25"/>
    <row r="3463" s="29" customFormat="1" x14ac:dyDescent="0.25"/>
    <row r="3464" s="29" customFormat="1" x14ac:dyDescent="0.25"/>
    <row r="3465" s="29" customFormat="1" x14ac:dyDescent="0.25"/>
    <row r="3466" s="29" customFormat="1" x14ac:dyDescent="0.25"/>
    <row r="3467" s="29" customFormat="1" x14ac:dyDescent="0.25"/>
    <row r="3468" s="29" customFormat="1" x14ac:dyDescent="0.25"/>
    <row r="3469" s="29" customFormat="1" x14ac:dyDescent="0.25"/>
    <row r="3470" s="29" customFormat="1" x14ac:dyDescent="0.25"/>
    <row r="3471" s="29" customFormat="1" x14ac:dyDescent="0.25"/>
    <row r="3472" s="29" customFormat="1" x14ac:dyDescent="0.25"/>
    <row r="3473" s="29" customFormat="1" x14ac:dyDescent="0.25"/>
    <row r="3474" s="29" customFormat="1" x14ac:dyDescent="0.25"/>
    <row r="3475" s="29" customFormat="1" x14ac:dyDescent="0.25"/>
    <row r="3476" s="29" customFormat="1" x14ac:dyDescent="0.25"/>
    <row r="3477" s="29" customFormat="1" x14ac:dyDescent="0.25"/>
    <row r="3478" s="29" customFormat="1" x14ac:dyDescent="0.25"/>
    <row r="3479" s="29" customFormat="1" x14ac:dyDescent="0.25"/>
    <row r="3480" s="29" customFormat="1" x14ac:dyDescent="0.25"/>
    <row r="3481" s="29" customFormat="1" x14ac:dyDescent="0.25"/>
    <row r="3482" s="29" customFormat="1" x14ac:dyDescent="0.25"/>
    <row r="3483" s="29" customFormat="1" x14ac:dyDescent="0.25"/>
    <row r="3484" s="29" customFormat="1" x14ac:dyDescent="0.25"/>
    <row r="3485" s="29" customFormat="1" x14ac:dyDescent="0.25"/>
    <row r="3486" s="29" customFormat="1" x14ac:dyDescent="0.25"/>
    <row r="3487" s="29" customFormat="1" x14ac:dyDescent="0.25"/>
    <row r="3488" s="29" customFormat="1" x14ac:dyDescent="0.25"/>
    <row r="3489" s="29" customFormat="1" x14ac:dyDescent="0.25"/>
    <row r="3490" s="29" customFormat="1" x14ac:dyDescent="0.25"/>
    <row r="3491" s="29" customFormat="1" x14ac:dyDescent="0.25"/>
    <row r="3492" s="29" customFormat="1" x14ac:dyDescent="0.25"/>
    <row r="3493" s="29" customFormat="1" x14ac:dyDescent="0.25"/>
    <row r="3494" s="29" customFormat="1" x14ac:dyDescent="0.25"/>
    <row r="3495" s="29" customFormat="1" x14ac:dyDescent="0.25"/>
    <row r="3496" s="29" customFormat="1" x14ac:dyDescent="0.25"/>
    <row r="3497" s="29" customFormat="1" x14ac:dyDescent="0.25"/>
    <row r="3498" s="29" customFormat="1" x14ac:dyDescent="0.25"/>
    <row r="3499" s="29" customFormat="1" x14ac:dyDescent="0.25"/>
    <row r="3500" s="29" customFormat="1" x14ac:dyDescent="0.25"/>
    <row r="3501" s="29" customFormat="1" x14ac:dyDescent="0.25"/>
    <row r="3502" s="29" customFormat="1" x14ac:dyDescent="0.25"/>
    <row r="3503" s="29" customFormat="1" x14ac:dyDescent="0.25"/>
    <row r="3504" s="29" customFormat="1" x14ac:dyDescent="0.25"/>
    <row r="3505" s="29" customFormat="1" x14ac:dyDescent="0.25"/>
    <row r="3506" s="29" customFormat="1" x14ac:dyDescent="0.25"/>
    <row r="3507" s="29" customFormat="1" x14ac:dyDescent="0.25"/>
    <row r="3508" s="29" customFormat="1" x14ac:dyDescent="0.25"/>
    <row r="3509" s="29" customFormat="1" x14ac:dyDescent="0.25"/>
    <row r="3510" s="29" customFormat="1" x14ac:dyDescent="0.25"/>
    <row r="3511" s="29" customFormat="1" x14ac:dyDescent="0.25"/>
    <row r="3512" s="29" customFormat="1" x14ac:dyDescent="0.25"/>
    <row r="3513" s="29" customFormat="1" x14ac:dyDescent="0.25"/>
    <row r="3514" s="29" customFormat="1" x14ac:dyDescent="0.25"/>
    <row r="3515" s="29" customFormat="1" x14ac:dyDescent="0.25"/>
    <row r="3516" s="29" customFormat="1" x14ac:dyDescent="0.25"/>
    <row r="3517" s="29" customFormat="1" x14ac:dyDescent="0.25"/>
    <row r="3518" s="29" customFormat="1" x14ac:dyDescent="0.25"/>
    <row r="3519" s="29" customFormat="1" x14ac:dyDescent="0.25"/>
    <row r="3520" s="29" customFormat="1" x14ac:dyDescent="0.25"/>
    <row r="3521" s="29" customFormat="1" x14ac:dyDescent="0.25"/>
    <row r="3522" s="29" customFormat="1" x14ac:dyDescent="0.25"/>
    <row r="3523" s="29" customFormat="1" x14ac:dyDescent="0.25"/>
    <row r="3524" s="29" customFormat="1" x14ac:dyDescent="0.25"/>
    <row r="3525" s="29" customFormat="1" x14ac:dyDescent="0.25"/>
    <row r="3526" s="29" customFormat="1" x14ac:dyDescent="0.25"/>
    <row r="3527" s="29" customFormat="1" x14ac:dyDescent="0.25"/>
    <row r="3528" s="29" customFormat="1" x14ac:dyDescent="0.25"/>
    <row r="3529" s="29" customFormat="1" x14ac:dyDescent="0.25"/>
    <row r="3530" s="29" customFormat="1" x14ac:dyDescent="0.25"/>
    <row r="3531" s="29" customFormat="1" x14ac:dyDescent="0.25"/>
    <row r="3532" s="29" customFormat="1" x14ac:dyDescent="0.25"/>
    <row r="3533" s="29" customFormat="1" x14ac:dyDescent="0.25"/>
    <row r="3534" s="29" customFormat="1" x14ac:dyDescent="0.25"/>
    <row r="3535" s="29" customFormat="1" x14ac:dyDescent="0.25"/>
    <row r="3536" s="29" customFormat="1" x14ac:dyDescent="0.25"/>
    <row r="3537" s="29" customFormat="1" x14ac:dyDescent="0.25"/>
    <row r="3538" s="29" customFormat="1" x14ac:dyDescent="0.25"/>
    <row r="3539" s="29" customFormat="1" x14ac:dyDescent="0.25"/>
    <row r="3540" s="29" customFormat="1" x14ac:dyDescent="0.25"/>
    <row r="3541" s="29" customFormat="1" x14ac:dyDescent="0.25"/>
    <row r="3542" s="29" customFormat="1" x14ac:dyDescent="0.25"/>
    <row r="3543" s="29" customFormat="1" x14ac:dyDescent="0.25"/>
    <row r="3544" s="29" customFormat="1" x14ac:dyDescent="0.25"/>
    <row r="3545" s="29" customFormat="1" x14ac:dyDescent="0.25"/>
    <row r="3546" s="29" customFormat="1" x14ac:dyDescent="0.25"/>
    <row r="3547" s="29" customFormat="1" x14ac:dyDescent="0.25"/>
    <row r="3548" s="29" customFormat="1" x14ac:dyDescent="0.25"/>
    <row r="3549" s="29" customFormat="1" x14ac:dyDescent="0.25"/>
    <row r="3550" s="29" customFormat="1" x14ac:dyDescent="0.25"/>
    <row r="3551" s="29" customFormat="1" x14ac:dyDescent="0.25"/>
    <row r="3552" s="29" customFormat="1" x14ac:dyDescent="0.25"/>
    <row r="3553" s="29" customFormat="1" x14ac:dyDescent="0.25"/>
    <row r="3554" s="29" customFormat="1" x14ac:dyDescent="0.25"/>
    <row r="3555" s="29" customFormat="1" x14ac:dyDescent="0.25"/>
    <row r="3556" s="29" customFormat="1" x14ac:dyDescent="0.25"/>
    <row r="3557" s="29" customFormat="1" x14ac:dyDescent="0.25"/>
    <row r="3558" s="29" customFormat="1" x14ac:dyDescent="0.25"/>
    <row r="3559" s="29" customFormat="1" x14ac:dyDescent="0.25"/>
    <row r="3560" s="29" customFormat="1" x14ac:dyDescent="0.25"/>
    <row r="3561" s="29" customFormat="1" x14ac:dyDescent="0.25"/>
    <row r="3562" s="29" customFormat="1" x14ac:dyDescent="0.25"/>
    <row r="3563" s="29" customFormat="1" x14ac:dyDescent="0.25"/>
    <row r="3564" s="29" customFormat="1" x14ac:dyDescent="0.25"/>
    <row r="3565" s="29" customFormat="1" x14ac:dyDescent="0.25"/>
    <row r="3566" s="29" customFormat="1" x14ac:dyDescent="0.25"/>
    <row r="3567" s="29" customFormat="1" x14ac:dyDescent="0.25"/>
    <row r="3568" s="29" customFormat="1" x14ac:dyDescent="0.25"/>
    <row r="3569" s="29" customFormat="1" x14ac:dyDescent="0.25"/>
    <row r="3570" s="29" customFormat="1" x14ac:dyDescent="0.25"/>
    <row r="3571" s="29" customFormat="1" x14ac:dyDescent="0.25"/>
    <row r="3572" s="29" customFormat="1" x14ac:dyDescent="0.25"/>
    <row r="3573" s="29" customFormat="1" x14ac:dyDescent="0.25"/>
    <row r="3574" s="29" customFormat="1" x14ac:dyDescent="0.25"/>
    <row r="3575" s="29" customFormat="1" x14ac:dyDescent="0.25"/>
    <row r="3576" s="29" customFormat="1" x14ac:dyDescent="0.25"/>
    <row r="3577" s="29" customFormat="1" x14ac:dyDescent="0.25"/>
    <row r="3578" s="29" customFormat="1" x14ac:dyDescent="0.25"/>
    <row r="3579" s="29" customFormat="1" x14ac:dyDescent="0.25"/>
    <row r="3580" s="29" customFormat="1" x14ac:dyDescent="0.25"/>
    <row r="3581" s="29" customFormat="1" x14ac:dyDescent="0.25"/>
    <row r="3582" s="29" customFormat="1" x14ac:dyDescent="0.25"/>
    <row r="3583" s="29" customFormat="1" x14ac:dyDescent="0.25"/>
    <row r="3584" s="29" customFormat="1" x14ac:dyDescent="0.25"/>
    <row r="3585" s="29" customFormat="1" x14ac:dyDescent="0.25"/>
    <row r="3586" s="29" customFormat="1" x14ac:dyDescent="0.25"/>
    <row r="3587" s="29" customFormat="1" x14ac:dyDescent="0.25"/>
    <row r="3588" s="29" customFormat="1" x14ac:dyDescent="0.25"/>
    <row r="3589" s="29" customFormat="1" x14ac:dyDescent="0.25"/>
    <row r="3590" s="29" customFormat="1" x14ac:dyDescent="0.25"/>
    <row r="3591" s="29" customFormat="1" x14ac:dyDescent="0.25"/>
    <row r="3592" s="29" customFormat="1" x14ac:dyDescent="0.25"/>
    <row r="3593" s="29" customFormat="1" x14ac:dyDescent="0.25"/>
    <row r="3594" s="29" customFormat="1" x14ac:dyDescent="0.25"/>
    <row r="3595" s="29" customFormat="1" x14ac:dyDescent="0.25"/>
    <row r="3596" s="29" customFormat="1" x14ac:dyDescent="0.25"/>
    <row r="3597" s="29" customFormat="1" x14ac:dyDescent="0.25"/>
    <row r="3598" s="29" customFormat="1" x14ac:dyDescent="0.25"/>
    <row r="3599" s="29" customFormat="1" x14ac:dyDescent="0.25"/>
    <row r="3600" s="29" customFormat="1" x14ac:dyDescent="0.25"/>
    <row r="3601" s="29" customFormat="1" x14ac:dyDescent="0.25"/>
    <row r="3602" s="29" customFormat="1" x14ac:dyDescent="0.25"/>
    <row r="3603" s="29" customFormat="1" x14ac:dyDescent="0.25"/>
    <row r="3604" s="29" customFormat="1" x14ac:dyDescent="0.25"/>
    <row r="3605" s="29" customFormat="1" x14ac:dyDescent="0.25"/>
    <row r="3606" s="29" customFormat="1" x14ac:dyDescent="0.25"/>
    <row r="3607" s="29" customFormat="1" x14ac:dyDescent="0.25"/>
    <row r="3608" s="29" customFormat="1" x14ac:dyDescent="0.25"/>
    <row r="3609" s="29" customFormat="1" x14ac:dyDescent="0.25"/>
    <row r="3610" s="29" customFormat="1" x14ac:dyDescent="0.25"/>
    <row r="3611" s="29" customFormat="1" x14ac:dyDescent="0.25"/>
    <row r="3612" s="29" customFormat="1" x14ac:dyDescent="0.25"/>
    <row r="3613" s="29" customFormat="1" x14ac:dyDescent="0.25"/>
    <row r="3614" s="29" customFormat="1" x14ac:dyDescent="0.25"/>
    <row r="3615" s="29" customFormat="1" x14ac:dyDescent="0.25"/>
    <row r="3616" s="29" customFormat="1" x14ac:dyDescent="0.25"/>
    <row r="3617" s="29" customFormat="1" x14ac:dyDescent="0.25"/>
    <row r="3618" s="29" customFormat="1" x14ac:dyDescent="0.25"/>
    <row r="3619" s="29" customFormat="1" x14ac:dyDescent="0.25"/>
    <row r="3620" s="29" customFormat="1" x14ac:dyDescent="0.25"/>
    <row r="3621" s="29" customFormat="1" x14ac:dyDescent="0.25"/>
    <row r="3622" s="29" customFormat="1" x14ac:dyDescent="0.25"/>
    <row r="3623" s="29" customFormat="1" x14ac:dyDescent="0.25"/>
    <row r="3624" s="29" customFormat="1" x14ac:dyDescent="0.25"/>
    <row r="3625" s="29" customFormat="1" x14ac:dyDescent="0.25"/>
    <row r="3626" s="29" customFormat="1" x14ac:dyDescent="0.25"/>
    <row r="3627" s="29" customFormat="1" x14ac:dyDescent="0.25"/>
    <row r="3628" s="29" customFormat="1" x14ac:dyDescent="0.25"/>
    <row r="3629" s="29" customFormat="1" x14ac:dyDescent="0.25"/>
    <row r="3630" s="29" customFormat="1" x14ac:dyDescent="0.25"/>
    <row r="3631" s="29" customFormat="1" x14ac:dyDescent="0.25"/>
    <row r="3632" s="29" customFormat="1" x14ac:dyDescent="0.25"/>
    <row r="3633" s="29" customFormat="1" x14ac:dyDescent="0.25"/>
    <row r="3634" s="29" customFormat="1" x14ac:dyDescent="0.25"/>
    <row r="3635" s="29" customFormat="1" x14ac:dyDescent="0.25"/>
    <row r="3636" s="29" customFormat="1" x14ac:dyDescent="0.25"/>
    <row r="3637" s="29" customFormat="1" x14ac:dyDescent="0.25"/>
    <row r="3638" s="29" customFormat="1" x14ac:dyDescent="0.25"/>
    <row r="3639" s="29" customFormat="1" x14ac:dyDescent="0.25"/>
    <row r="3640" s="29" customFormat="1" x14ac:dyDescent="0.25"/>
    <row r="3641" s="29" customFormat="1" x14ac:dyDescent="0.25"/>
    <row r="3642" s="29" customFormat="1" x14ac:dyDescent="0.25"/>
    <row r="3643" s="29" customFormat="1" x14ac:dyDescent="0.25"/>
    <row r="3644" s="29" customFormat="1" x14ac:dyDescent="0.25"/>
    <row r="3645" s="29" customFormat="1" x14ac:dyDescent="0.25"/>
    <row r="3646" s="29" customFormat="1" x14ac:dyDescent="0.25"/>
    <row r="3647" s="29" customFormat="1" x14ac:dyDescent="0.25"/>
    <row r="3648" s="29" customFormat="1" x14ac:dyDescent="0.25"/>
    <row r="3649" s="29" customFormat="1" x14ac:dyDescent="0.25"/>
    <row r="3650" s="29" customFormat="1" x14ac:dyDescent="0.25"/>
    <row r="3651" s="29" customFormat="1" x14ac:dyDescent="0.25"/>
    <row r="3652" s="29" customFormat="1" x14ac:dyDescent="0.25"/>
    <row r="3653" s="29" customFormat="1" x14ac:dyDescent="0.25"/>
    <row r="3654" s="29" customFormat="1" x14ac:dyDescent="0.25"/>
    <row r="3655" s="29" customFormat="1" x14ac:dyDescent="0.25"/>
    <row r="3656" s="29" customFormat="1" x14ac:dyDescent="0.25"/>
    <row r="3657" s="29" customFormat="1" x14ac:dyDescent="0.25"/>
    <row r="3658" s="29" customFormat="1" x14ac:dyDescent="0.25"/>
    <row r="3659" s="29" customFormat="1" x14ac:dyDescent="0.25"/>
    <row r="3660" s="29" customFormat="1" x14ac:dyDescent="0.25"/>
    <row r="3661" s="29" customFormat="1" x14ac:dyDescent="0.25"/>
    <row r="3662" s="29" customFormat="1" x14ac:dyDescent="0.25"/>
    <row r="3663" s="29" customFormat="1" x14ac:dyDescent="0.25"/>
    <row r="3664" s="29" customFormat="1" x14ac:dyDescent="0.25"/>
    <row r="3665" s="29" customFormat="1" x14ac:dyDescent="0.25"/>
    <row r="3666" s="29" customFormat="1" x14ac:dyDescent="0.25"/>
    <row r="3667" s="29" customFormat="1" x14ac:dyDescent="0.25"/>
    <row r="3668" s="29" customFormat="1" x14ac:dyDescent="0.25"/>
    <row r="3669" s="29" customFormat="1" x14ac:dyDescent="0.25"/>
    <row r="3670" s="29" customFormat="1" x14ac:dyDescent="0.25"/>
    <row r="3671" s="29" customFormat="1" x14ac:dyDescent="0.25"/>
    <row r="3672" s="29" customFormat="1" x14ac:dyDescent="0.25"/>
    <row r="3673" s="29" customFormat="1" x14ac:dyDescent="0.25"/>
    <row r="3674" s="29" customFormat="1" x14ac:dyDescent="0.25"/>
    <row r="3675" s="29" customFormat="1" x14ac:dyDescent="0.25"/>
    <row r="3676" s="29" customFormat="1" x14ac:dyDescent="0.25"/>
    <row r="3677" s="29" customFormat="1" x14ac:dyDescent="0.25"/>
    <row r="3678" s="29" customFormat="1" x14ac:dyDescent="0.25"/>
    <row r="3679" s="29" customFormat="1" x14ac:dyDescent="0.25"/>
    <row r="3680" s="29" customFormat="1" x14ac:dyDescent="0.25"/>
    <row r="3681" s="29" customFormat="1" x14ac:dyDescent="0.25"/>
    <row r="3682" s="29" customFormat="1" x14ac:dyDescent="0.25"/>
    <row r="3683" s="29" customFormat="1" x14ac:dyDescent="0.25"/>
    <row r="3684" s="29" customFormat="1" x14ac:dyDescent="0.25"/>
    <row r="3685" s="29" customFormat="1" x14ac:dyDescent="0.25"/>
    <row r="3686" s="29" customFormat="1" x14ac:dyDescent="0.25"/>
    <row r="3687" s="29" customFormat="1" x14ac:dyDescent="0.25"/>
    <row r="3688" s="29" customFormat="1" x14ac:dyDescent="0.25"/>
    <row r="3689" s="29" customFormat="1" x14ac:dyDescent="0.25"/>
    <row r="3690" s="29" customFormat="1" x14ac:dyDescent="0.25"/>
    <row r="3691" s="29" customFormat="1" x14ac:dyDescent="0.25"/>
    <row r="3692" s="29" customFormat="1" x14ac:dyDescent="0.25"/>
    <row r="3693" s="29" customFormat="1" x14ac:dyDescent="0.25"/>
    <row r="3694" s="29" customFormat="1" x14ac:dyDescent="0.25"/>
    <row r="3695" s="29" customFormat="1" x14ac:dyDescent="0.25"/>
    <row r="3696" s="29" customFormat="1" x14ac:dyDescent="0.25"/>
  </sheetData>
  <sortState xmlns:xlrd2="http://schemas.microsoft.com/office/spreadsheetml/2017/richdata2" ref="N2:N31">
    <sortCondition ref="N31"/>
  </sortState>
  <mergeCells count="2260">
    <mergeCell ref="AG2581:AO2581"/>
    <mergeCell ref="M2488:U2488"/>
    <mergeCell ref="W2488:AE2488"/>
    <mergeCell ref="BA2489:BI2489"/>
    <mergeCell ref="AQ2489:AY2489"/>
    <mergeCell ref="AG2489:AO2489"/>
    <mergeCell ref="AG2558:AO2558"/>
    <mergeCell ref="AQ2558:AY2558"/>
    <mergeCell ref="W1322:AE1322"/>
    <mergeCell ref="AG1322:AO1322"/>
    <mergeCell ref="W1348:AE1348"/>
    <mergeCell ref="W1371:AE1371"/>
    <mergeCell ref="W1394:AE1394"/>
    <mergeCell ref="W1420:AE1420"/>
    <mergeCell ref="W1443:AE1443"/>
    <mergeCell ref="W1493:AE1493"/>
    <mergeCell ref="W1516:AE1516"/>
    <mergeCell ref="W1589:AE1589"/>
    <mergeCell ref="W1612:AE1612"/>
    <mergeCell ref="W1635:AE1635"/>
    <mergeCell ref="W1663:AE1663"/>
    <mergeCell ref="W1943:AE1943"/>
    <mergeCell ref="W1968:AE1968"/>
    <mergeCell ref="W2060:AE2060"/>
    <mergeCell ref="W2107:AE2107"/>
    <mergeCell ref="W2132:AE2132"/>
    <mergeCell ref="AY2186:BG2186"/>
    <mergeCell ref="AY2216:BG2216"/>
    <mergeCell ref="AY2283:BG2283"/>
    <mergeCell ref="C2603:J2603"/>
    <mergeCell ref="C2604:E2604"/>
    <mergeCell ref="F2604:J2604"/>
    <mergeCell ref="C2605:E2607"/>
    <mergeCell ref="F2605:J2607"/>
    <mergeCell ref="C2608:E2608"/>
    <mergeCell ref="F2608:J2608"/>
    <mergeCell ref="C2609:E2611"/>
    <mergeCell ref="F2609:J2611"/>
    <mergeCell ref="C1699:E1701"/>
    <mergeCell ref="F1699:J1701"/>
    <mergeCell ref="C1732:J1732"/>
    <mergeCell ref="C1733:E1733"/>
    <mergeCell ref="F1733:J1733"/>
    <mergeCell ref="C1734:E1736"/>
    <mergeCell ref="F1734:J1736"/>
    <mergeCell ref="C1737:E1737"/>
    <mergeCell ref="F1737:J1737"/>
    <mergeCell ref="C1738:E1740"/>
    <mergeCell ref="F1738:J1740"/>
    <mergeCell ref="C1741:E1743"/>
    <mergeCell ref="F1741:J1743"/>
    <mergeCell ref="C1744:E1746"/>
    <mergeCell ref="F1744:J1746"/>
    <mergeCell ref="C1747:E1749"/>
    <mergeCell ref="F1747:J1749"/>
    <mergeCell ref="C1722:E1724"/>
    <mergeCell ref="F1722:J1724"/>
    <mergeCell ref="C1725:E1727"/>
    <mergeCell ref="F1725:J1727"/>
    <mergeCell ref="C1702:E1704"/>
    <mergeCell ref="F1702:J1704"/>
    <mergeCell ref="C2612:E2614"/>
    <mergeCell ref="F2612:J2614"/>
    <mergeCell ref="C2615:E2617"/>
    <mergeCell ref="F2615:J2617"/>
    <mergeCell ref="C2618:E2620"/>
    <mergeCell ref="F2618:J2620"/>
    <mergeCell ref="C2621:E2623"/>
    <mergeCell ref="F2621:J2623"/>
    <mergeCell ref="D2920:F2922"/>
    <mergeCell ref="G2920:K2922"/>
    <mergeCell ref="D2923:F2925"/>
    <mergeCell ref="G2923:K2925"/>
    <mergeCell ref="D2926:F2928"/>
    <mergeCell ref="G2926:K2928"/>
    <mergeCell ref="C1826:J1826"/>
    <mergeCell ref="C1441:J1441"/>
    <mergeCell ref="C1442:E1442"/>
    <mergeCell ref="F1442:J1442"/>
    <mergeCell ref="C1443:E1445"/>
    <mergeCell ref="F1443:J1445"/>
    <mergeCell ref="C1446:E1446"/>
    <mergeCell ref="F1446:J1446"/>
    <mergeCell ref="C1447:E1449"/>
    <mergeCell ref="F1447:J1449"/>
    <mergeCell ref="C1450:E1452"/>
    <mergeCell ref="F1450:J1452"/>
    <mergeCell ref="C1453:E1455"/>
    <mergeCell ref="F1453:J1455"/>
    <mergeCell ref="C1456:E1458"/>
    <mergeCell ref="F1456:J1458"/>
    <mergeCell ref="C1459:E1461"/>
    <mergeCell ref="F1459:J1461"/>
    <mergeCell ref="D2894:F2896"/>
    <mergeCell ref="G2894:K2896"/>
    <mergeCell ref="D2897:F2899"/>
    <mergeCell ref="G2897:K2899"/>
    <mergeCell ref="D2903:F2905"/>
    <mergeCell ref="G2903:K2905"/>
    <mergeCell ref="D2909:F2909"/>
    <mergeCell ref="G2909:K2909"/>
    <mergeCell ref="D2910:F2912"/>
    <mergeCell ref="G2910:K2912"/>
    <mergeCell ref="D2913:F2913"/>
    <mergeCell ref="G2913:K2913"/>
    <mergeCell ref="D2914:F2916"/>
    <mergeCell ref="G2914:K2916"/>
    <mergeCell ref="D2917:F2919"/>
    <mergeCell ref="G2917:K2919"/>
    <mergeCell ref="D2900:F2902"/>
    <mergeCell ref="G2900:K2902"/>
    <mergeCell ref="D2868:F2870"/>
    <mergeCell ref="G2868:K2870"/>
    <mergeCell ref="D2871:F2873"/>
    <mergeCell ref="G2871:K2873"/>
    <mergeCell ref="D2891:F2893"/>
    <mergeCell ref="G2891:K2893"/>
    <mergeCell ref="D2874:F2876"/>
    <mergeCell ref="G2874:K2876"/>
    <mergeCell ref="D2877:F2879"/>
    <mergeCell ref="G2877:K2879"/>
    <mergeCell ref="D2880:F2882"/>
    <mergeCell ref="G2880:K2882"/>
    <mergeCell ref="D2886:F2886"/>
    <mergeCell ref="G2886:K2886"/>
    <mergeCell ref="D2887:F2889"/>
    <mergeCell ref="G2887:K2889"/>
    <mergeCell ref="D2890:F2890"/>
    <mergeCell ref="G2890:K2890"/>
    <mergeCell ref="D2844:F2844"/>
    <mergeCell ref="G2844:K2844"/>
    <mergeCell ref="D2845:F2847"/>
    <mergeCell ref="G2845:K2847"/>
    <mergeCell ref="D2851:F2853"/>
    <mergeCell ref="G2851:K2853"/>
    <mergeCell ref="D2854:F2856"/>
    <mergeCell ref="G2854:K2856"/>
    <mergeCell ref="D2857:F2859"/>
    <mergeCell ref="G2857:K2859"/>
    <mergeCell ref="D2863:F2863"/>
    <mergeCell ref="G2863:K2863"/>
    <mergeCell ref="D2864:F2866"/>
    <mergeCell ref="G2864:K2866"/>
    <mergeCell ref="D2867:F2867"/>
    <mergeCell ref="G2867:K2867"/>
    <mergeCell ref="D2848:F2850"/>
    <mergeCell ref="G2848:K2850"/>
    <mergeCell ref="D2818:F2820"/>
    <mergeCell ref="G2818:K2820"/>
    <mergeCell ref="D2821:F2821"/>
    <mergeCell ref="G2821:K2821"/>
    <mergeCell ref="D2841:F2843"/>
    <mergeCell ref="G2841:K2843"/>
    <mergeCell ref="D2822:F2824"/>
    <mergeCell ref="G2822:K2824"/>
    <mergeCell ref="D2825:F2827"/>
    <mergeCell ref="G2825:K2827"/>
    <mergeCell ref="D2828:F2830"/>
    <mergeCell ref="G2828:K2830"/>
    <mergeCell ref="D2831:F2833"/>
    <mergeCell ref="G2831:K2833"/>
    <mergeCell ref="D2834:F2836"/>
    <mergeCell ref="G2834:K2836"/>
    <mergeCell ref="D2840:F2840"/>
    <mergeCell ref="G2840:K2840"/>
    <mergeCell ref="D2788:F2790"/>
    <mergeCell ref="G2788:K2790"/>
    <mergeCell ref="D2794:F2794"/>
    <mergeCell ref="G2794:K2794"/>
    <mergeCell ref="D2795:F2797"/>
    <mergeCell ref="G2795:K2797"/>
    <mergeCell ref="D2799:F2801"/>
    <mergeCell ref="G2799:K2801"/>
    <mergeCell ref="D2802:F2804"/>
    <mergeCell ref="G2802:K2804"/>
    <mergeCell ref="D2805:F2807"/>
    <mergeCell ref="G2805:K2807"/>
    <mergeCell ref="D2808:F2810"/>
    <mergeCell ref="G2808:K2810"/>
    <mergeCell ref="D2811:F2813"/>
    <mergeCell ref="G2811:K2813"/>
    <mergeCell ref="D2817:F2817"/>
    <mergeCell ref="G2817:K2817"/>
    <mergeCell ref="D2798:F2798"/>
    <mergeCell ref="G2798:K2798"/>
    <mergeCell ref="D2748:F2748"/>
    <mergeCell ref="G2748:K2748"/>
    <mergeCell ref="D2749:F2751"/>
    <mergeCell ref="G2749:K2751"/>
    <mergeCell ref="D2752:F2752"/>
    <mergeCell ref="G2752:K2752"/>
    <mergeCell ref="D2753:F2755"/>
    <mergeCell ref="G2753:K2755"/>
    <mergeCell ref="D2756:F2758"/>
    <mergeCell ref="G2756:K2758"/>
    <mergeCell ref="D2759:F2761"/>
    <mergeCell ref="G2759:K2761"/>
    <mergeCell ref="D2762:F2764"/>
    <mergeCell ref="G2762:K2764"/>
    <mergeCell ref="D2765:F2767"/>
    <mergeCell ref="G2765:K2767"/>
    <mergeCell ref="D2771:F2771"/>
    <mergeCell ref="G2771:K2771"/>
    <mergeCell ref="D2772:F2774"/>
    <mergeCell ref="G2772:K2774"/>
    <mergeCell ref="D2775:F2775"/>
    <mergeCell ref="G2775:K2775"/>
    <mergeCell ref="D2776:F2778"/>
    <mergeCell ref="G2776:K2778"/>
    <mergeCell ref="D2779:F2781"/>
    <mergeCell ref="G2779:K2781"/>
    <mergeCell ref="D2782:F2784"/>
    <mergeCell ref="G2782:K2784"/>
    <mergeCell ref="D2785:F2787"/>
    <mergeCell ref="G2785:K2787"/>
    <mergeCell ref="D2702:F2702"/>
    <mergeCell ref="G2702:K2702"/>
    <mergeCell ref="D2703:F2705"/>
    <mergeCell ref="G2703:K2705"/>
    <mergeCell ref="D2706:F2706"/>
    <mergeCell ref="G2706:K2706"/>
    <mergeCell ref="D2707:F2709"/>
    <mergeCell ref="G2707:K2709"/>
    <mergeCell ref="D2710:F2712"/>
    <mergeCell ref="G2710:K2712"/>
    <mergeCell ref="D2713:F2715"/>
    <mergeCell ref="G2713:K2715"/>
    <mergeCell ref="D2716:F2718"/>
    <mergeCell ref="G2716:K2718"/>
    <mergeCell ref="D2719:F2721"/>
    <mergeCell ref="G2719:K2721"/>
    <mergeCell ref="D2736:F2738"/>
    <mergeCell ref="G2736:K2738"/>
    <mergeCell ref="D2739:F2741"/>
    <mergeCell ref="G2739:K2741"/>
    <mergeCell ref="D2679:F2679"/>
    <mergeCell ref="G2679:K2679"/>
    <mergeCell ref="D2680:F2682"/>
    <mergeCell ref="G2680:K2682"/>
    <mergeCell ref="D2683:F2683"/>
    <mergeCell ref="G2683:K2683"/>
    <mergeCell ref="D2684:F2686"/>
    <mergeCell ref="G2684:K2686"/>
    <mergeCell ref="D2687:F2689"/>
    <mergeCell ref="G2687:K2689"/>
    <mergeCell ref="D2690:F2692"/>
    <mergeCell ref="G2690:K2692"/>
    <mergeCell ref="D2693:F2695"/>
    <mergeCell ref="G2693:K2695"/>
    <mergeCell ref="G2656:K2656"/>
    <mergeCell ref="D2657:F2659"/>
    <mergeCell ref="G2657:K2659"/>
    <mergeCell ref="D2660:F2660"/>
    <mergeCell ref="G2660:K2660"/>
    <mergeCell ref="D2661:F2663"/>
    <mergeCell ref="G2661:K2663"/>
    <mergeCell ref="D2664:F2666"/>
    <mergeCell ref="G2664:K2666"/>
    <mergeCell ref="D2667:F2669"/>
    <mergeCell ref="G2667:K2669"/>
    <mergeCell ref="D2670:F2672"/>
    <mergeCell ref="G2670:K2672"/>
    <mergeCell ref="D2633:F2633"/>
    <mergeCell ref="G2633:K2633"/>
    <mergeCell ref="D2634:F2636"/>
    <mergeCell ref="G2634:K2636"/>
    <mergeCell ref="D2637:F2637"/>
    <mergeCell ref="G2637:K2637"/>
    <mergeCell ref="D2638:F2640"/>
    <mergeCell ref="G2638:K2640"/>
    <mergeCell ref="D2641:F2643"/>
    <mergeCell ref="G2641:K2643"/>
    <mergeCell ref="D2644:F2646"/>
    <mergeCell ref="G2644:K2646"/>
    <mergeCell ref="D2647:F2649"/>
    <mergeCell ref="G2647:K2649"/>
    <mergeCell ref="D2650:F2652"/>
    <mergeCell ref="D2655:K2655"/>
    <mergeCell ref="D2673:F2675"/>
    <mergeCell ref="G2673:K2675"/>
    <mergeCell ref="C1690:E1692"/>
    <mergeCell ref="C1693:E1695"/>
    <mergeCell ref="F1693:J1695"/>
    <mergeCell ref="C1696:E1698"/>
    <mergeCell ref="F1696:J1698"/>
    <mergeCell ref="C2563:E2565"/>
    <mergeCell ref="F2563:J2565"/>
    <mergeCell ref="C2566:E2568"/>
    <mergeCell ref="F2566:J2568"/>
    <mergeCell ref="C2569:E2571"/>
    <mergeCell ref="F2569:J2571"/>
    <mergeCell ref="C2557:J2557"/>
    <mergeCell ref="C2558:E2558"/>
    <mergeCell ref="F2558:J2558"/>
    <mergeCell ref="C2559:E2561"/>
    <mergeCell ref="F2559:J2561"/>
    <mergeCell ref="C2562:E2562"/>
    <mergeCell ref="F2562:J2562"/>
    <mergeCell ref="C2546:E2548"/>
    <mergeCell ref="F2546:J2548"/>
    <mergeCell ref="C2549:E2551"/>
    <mergeCell ref="F2549:J2551"/>
    <mergeCell ref="C2552:E2554"/>
    <mergeCell ref="F2552:J2554"/>
    <mergeCell ref="C2539:E2539"/>
    <mergeCell ref="F2539:J2539"/>
    <mergeCell ref="C2540:E2542"/>
    <mergeCell ref="F2540:J2542"/>
    <mergeCell ref="C2520:E2522"/>
    <mergeCell ref="F2520:J2522"/>
    <mergeCell ref="C2523:E2525"/>
    <mergeCell ref="C2526:E2528"/>
    <mergeCell ref="C2158:E2158"/>
    <mergeCell ref="F2158:J2158"/>
    <mergeCell ref="C2159:E2161"/>
    <mergeCell ref="F2159:J2161"/>
    <mergeCell ref="C2162:E2164"/>
    <mergeCell ref="F2162:J2164"/>
    <mergeCell ref="F2526:J2528"/>
    <mergeCell ref="C2513:E2515"/>
    <mergeCell ref="F2513:J2515"/>
    <mergeCell ref="C2516:E2516"/>
    <mergeCell ref="F2516:J2516"/>
    <mergeCell ref="C2517:E2519"/>
    <mergeCell ref="F2517:J2519"/>
    <mergeCell ref="F1690:J1692"/>
    <mergeCell ref="C2572:E2574"/>
    <mergeCell ref="F2572:J2574"/>
    <mergeCell ref="C2183:C2184"/>
    <mergeCell ref="C2136:E2138"/>
    <mergeCell ref="F2136:J2138"/>
    <mergeCell ref="C2139:E2141"/>
    <mergeCell ref="F2139:J2141"/>
    <mergeCell ref="C2142:E2144"/>
    <mergeCell ref="F2142:J2144"/>
    <mergeCell ref="C2165:E2167"/>
    <mergeCell ref="F2165:J2167"/>
    <mergeCell ref="C2168:E2170"/>
    <mergeCell ref="F2168:J2170"/>
    <mergeCell ref="C2171:E2173"/>
    <mergeCell ref="F2171:J2173"/>
    <mergeCell ref="C2153:J2153"/>
    <mergeCell ref="C1707:J1707"/>
    <mergeCell ref="C2185:C2186"/>
    <mergeCell ref="C2187:C2188"/>
    <mergeCell ref="C2247:C2248"/>
    <mergeCell ref="C2503:E2505"/>
    <mergeCell ref="F2503:J2505"/>
    <mergeCell ref="C2506:E2508"/>
    <mergeCell ref="F2506:J2508"/>
    <mergeCell ref="C2511:J2511"/>
    <mergeCell ref="C2512:E2512"/>
    <mergeCell ref="F2512:J2512"/>
    <mergeCell ref="C2494:E2496"/>
    <mergeCell ref="F2494:J2496"/>
    <mergeCell ref="C2497:E2499"/>
    <mergeCell ref="F2497:J2499"/>
    <mergeCell ref="C2314:C2315"/>
    <mergeCell ref="C2316:C2317"/>
    <mergeCell ref="C2318:C2319"/>
    <mergeCell ref="C2348:C2349"/>
    <mergeCell ref="C2350:C2351"/>
    <mergeCell ref="C2352:C2353"/>
    <mergeCell ref="C2381:C2382"/>
    <mergeCell ref="C2383:C2384"/>
    <mergeCell ref="C2385:C2386"/>
    <mergeCell ref="C2440:C2450"/>
    <mergeCell ref="C2212:C2213"/>
    <mergeCell ref="C2214:C2215"/>
    <mergeCell ref="C2216:C2217"/>
    <mergeCell ref="D2440:D2441"/>
    <mergeCell ref="D2443:D2444"/>
    <mergeCell ref="D2445:D2446"/>
    <mergeCell ref="D2447:D2448"/>
    <mergeCell ref="D2449:D2450"/>
    <mergeCell ref="C2249:C2250"/>
    <mergeCell ref="C2154:E2154"/>
    <mergeCell ref="F2154:J2154"/>
    <mergeCell ref="C2155:E2157"/>
    <mergeCell ref="F2155:J2157"/>
    <mergeCell ref="C2145:E2147"/>
    <mergeCell ref="F2145:J2147"/>
    <mergeCell ref="C2148:E2150"/>
    <mergeCell ref="F2148:J2150"/>
    <mergeCell ref="C2131:E2131"/>
    <mergeCell ref="F2131:J2131"/>
    <mergeCell ref="C2132:E2134"/>
    <mergeCell ref="F2132:J2134"/>
    <mergeCell ref="C2135:E2135"/>
    <mergeCell ref="F2135:J2135"/>
    <mergeCell ref="C2105:J2105"/>
    <mergeCell ref="C2088:E2090"/>
    <mergeCell ref="F2088:J2090"/>
    <mergeCell ref="C2091:E2093"/>
    <mergeCell ref="F2091:J2093"/>
    <mergeCell ref="C2094:E2096"/>
    <mergeCell ref="F2094:J2096"/>
    <mergeCell ref="C2130:J2130"/>
    <mergeCell ref="C2111:E2113"/>
    <mergeCell ref="F2111:J2113"/>
    <mergeCell ref="C2114:E2116"/>
    <mergeCell ref="F2114:J2116"/>
    <mergeCell ref="C2117:E2119"/>
    <mergeCell ref="F2117:J2119"/>
    <mergeCell ref="C2120:E2122"/>
    <mergeCell ref="F2120:J2122"/>
    <mergeCell ref="C2123:E2125"/>
    <mergeCell ref="F2123:J2125"/>
    <mergeCell ref="C2106:E2106"/>
    <mergeCell ref="F2106:J2106"/>
    <mergeCell ref="C2107:E2109"/>
    <mergeCell ref="F2107:J2109"/>
    <mergeCell ref="C2110:E2110"/>
    <mergeCell ref="F2110:J2110"/>
    <mergeCell ref="C2059:E2059"/>
    <mergeCell ref="F2059:J2059"/>
    <mergeCell ref="C2060:E2062"/>
    <mergeCell ref="F2060:J2062"/>
    <mergeCell ref="C2063:E2063"/>
    <mergeCell ref="F2063:J2063"/>
    <mergeCell ref="C2097:E2099"/>
    <mergeCell ref="F2097:J2099"/>
    <mergeCell ref="C2100:E2102"/>
    <mergeCell ref="F2100:J2102"/>
    <mergeCell ref="C2084:E2086"/>
    <mergeCell ref="F2084:J2086"/>
    <mergeCell ref="C2087:E2087"/>
    <mergeCell ref="F2087:J2087"/>
    <mergeCell ref="C2041:E2043"/>
    <mergeCell ref="F2041:J2043"/>
    <mergeCell ref="C2044:E2046"/>
    <mergeCell ref="F2044:J2046"/>
    <mergeCell ref="C2047:E2049"/>
    <mergeCell ref="F2047:J2049"/>
    <mergeCell ref="C2036:E2036"/>
    <mergeCell ref="F2036:J2036"/>
    <mergeCell ref="C2037:E2039"/>
    <mergeCell ref="F2037:J2039"/>
    <mergeCell ref="C2040:E2040"/>
    <mergeCell ref="F2040:J2040"/>
    <mergeCell ref="C2073:E2075"/>
    <mergeCell ref="F2073:J2075"/>
    <mergeCell ref="C2076:E2078"/>
    <mergeCell ref="F2076:J2078"/>
    <mergeCell ref="C2083:E2083"/>
    <mergeCell ref="F2083:J2083"/>
    <mergeCell ref="C2082:J2082"/>
    <mergeCell ref="C2064:E2066"/>
    <mergeCell ref="F2064:J2066"/>
    <mergeCell ref="C2067:E2069"/>
    <mergeCell ref="F2067:J2069"/>
    <mergeCell ref="C2070:E2072"/>
    <mergeCell ref="F2070:J2072"/>
    <mergeCell ref="C2004:E2006"/>
    <mergeCell ref="F2004:J2006"/>
    <mergeCell ref="C2007:E2009"/>
    <mergeCell ref="F2007:J2009"/>
    <mergeCell ref="C2035:J2035"/>
    <mergeCell ref="C1995:E1997"/>
    <mergeCell ref="F1995:J1997"/>
    <mergeCell ref="C1998:E2000"/>
    <mergeCell ref="F1998:J2000"/>
    <mergeCell ref="C2001:E2003"/>
    <mergeCell ref="F2001:J2003"/>
    <mergeCell ref="C1990:E1990"/>
    <mergeCell ref="F1990:J1990"/>
    <mergeCell ref="C1991:E1993"/>
    <mergeCell ref="F1991:J1993"/>
    <mergeCell ref="C1994:E1994"/>
    <mergeCell ref="F1994:J1994"/>
    <mergeCell ref="C2030:E2032"/>
    <mergeCell ref="F2030:J2032"/>
    <mergeCell ref="C2012:J2012"/>
    <mergeCell ref="C2013:E2013"/>
    <mergeCell ref="F2013:J2013"/>
    <mergeCell ref="C2014:E2016"/>
    <mergeCell ref="F2014:J2016"/>
    <mergeCell ref="C2017:E2017"/>
    <mergeCell ref="F2017:J2017"/>
    <mergeCell ref="C2018:E2020"/>
    <mergeCell ref="F2018:J2020"/>
    <mergeCell ref="C2021:E2023"/>
    <mergeCell ref="F2021:J2023"/>
    <mergeCell ref="C2024:E2026"/>
    <mergeCell ref="F2024:J2026"/>
    <mergeCell ref="C1981:E1983"/>
    <mergeCell ref="F1981:J1983"/>
    <mergeCell ref="C1984:E1986"/>
    <mergeCell ref="F1984:J1986"/>
    <mergeCell ref="C1989:J1989"/>
    <mergeCell ref="C1972:E1974"/>
    <mergeCell ref="F1972:J1974"/>
    <mergeCell ref="C1975:E1977"/>
    <mergeCell ref="F1975:J1977"/>
    <mergeCell ref="C1978:E1980"/>
    <mergeCell ref="F1978:J1980"/>
    <mergeCell ref="C1967:E1967"/>
    <mergeCell ref="F1967:J1967"/>
    <mergeCell ref="C1968:E1970"/>
    <mergeCell ref="F1968:J1970"/>
    <mergeCell ref="C1971:E1971"/>
    <mergeCell ref="F1971:J1971"/>
    <mergeCell ref="C1956:E1958"/>
    <mergeCell ref="F1956:J1958"/>
    <mergeCell ref="C1959:E1961"/>
    <mergeCell ref="F1959:J1961"/>
    <mergeCell ref="C1966:J1966"/>
    <mergeCell ref="C1947:E1949"/>
    <mergeCell ref="F1947:J1949"/>
    <mergeCell ref="C1950:E1952"/>
    <mergeCell ref="F1950:J1952"/>
    <mergeCell ref="C1953:E1955"/>
    <mergeCell ref="F1953:J1955"/>
    <mergeCell ref="C1942:E1942"/>
    <mergeCell ref="F1942:J1942"/>
    <mergeCell ref="C1943:E1945"/>
    <mergeCell ref="F1943:J1945"/>
    <mergeCell ref="C1946:E1946"/>
    <mergeCell ref="F1946:J1946"/>
    <mergeCell ref="C1818:E1820"/>
    <mergeCell ref="F1818:J1820"/>
    <mergeCell ref="C1821:E1823"/>
    <mergeCell ref="F1821:J1823"/>
    <mergeCell ref="C1941:J1941"/>
    <mergeCell ref="C1809:E1811"/>
    <mergeCell ref="F1809:J1811"/>
    <mergeCell ref="C1812:E1814"/>
    <mergeCell ref="F1812:J1814"/>
    <mergeCell ref="C1815:E1817"/>
    <mergeCell ref="F1815:J1817"/>
    <mergeCell ref="C1804:E1804"/>
    <mergeCell ref="F1804:J1804"/>
    <mergeCell ref="C1805:E1807"/>
    <mergeCell ref="F1805:J1807"/>
    <mergeCell ref="C1808:E1808"/>
    <mergeCell ref="F1808:J1808"/>
    <mergeCell ref="C1827:E1827"/>
    <mergeCell ref="F1827:J1827"/>
    <mergeCell ref="C1828:E1830"/>
    <mergeCell ref="F1828:J1830"/>
    <mergeCell ref="C1831:E1831"/>
    <mergeCell ref="F1831:J1831"/>
    <mergeCell ref="C1832:E1834"/>
    <mergeCell ref="F1832:J1834"/>
    <mergeCell ref="C1835:E1837"/>
    <mergeCell ref="F1835:J1837"/>
    <mergeCell ref="C1838:E1840"/>
    <mergeCell ref="F1838:J1840"/>
    <mergeCell ref="C1841:E1843"/>
    <mergeCell ref="C1884:E1886"/>
    <mergeCell ref="F1884:J1886"/>
    <mergeCell ref="C1795:E1797"/>
    <mergeCell ref="F1795:J1797"/>
    <mergeCell ref="C1798:E1800"/>
    <mergeCell ref="F1798:J1800"/>
    <mergeCell ref="C1803:J1803"/>
    <mergeCell ref="C1786:E1788"/>
    <mergeCell ref="F1786:J1788"/>
    <mergeCell ref="C1789:E1791"/>
    <mergeCell ref="F1789:J1791"/>
    <mergeCell ref="C1792:E1794"/>
    <mergeCell ref="F1792:J1794"/>
    <mergeCell ref="C1781:E1781"/>
    <mergeCell ref="F1781:J1781"/>
    <mergeCell ref="C1782:E1784"/>
    <mergeCell ref="F1782:J1784"/>
    <mergeCell ref="C1785:E1785"/>
    <mergeCell ref="F1785:J1785"/>
    <mergeCell ref="C1780:J1780"/>
    <mergeCell ref="C1713:E1715"/>
    <mergeCell ref="F1713:J1715"/>
    <mergeCell ref="C1716:E1718"/>
    <mergeCell ref="F1716:J1718"/>
    <mergeCell ref="C1719:E1721"/>
    <mergeCell ref="F1719:J1721"/>
    <mergeCell ref="C1708:E1708"/>
    <mergeCell ref="F1708:J1708"/>
    <mergeCell ref="C1709:E1711"/>
    <mergeCell ref="F1709:J1711"/>
    <mergeCell ref="C1712:E1712"/>
    <mergeCell ref="F1712:J1712"/>
    <mergeCell ref="C1750:E1752"/>
    <mergeCell ref="F1750:J1752"/>
    <mergeCell ref="C1756:J1756"/>
    <mergeCell ref="C1757:E1757"/>
    <mergeCell ref="F1757:J1757"/>
    <mergeCell ref="C1758:E1760"/>
    <mergeCell ref="F1758:J1760"/>
    <mergeCell ref="C1761:E1761"/>
    <mergeCell ref="F1761:J1761"/>
    <mergeCell ref="C1762:E1764"/>
    <mergeCell ref="F1762:J1764"/>
    <mergeCell ref="C1765:E1767"/>
    <mergeCell ref="F1765:J1767"/>
    <mergeCell ref="C1768:E1770"/>
    <mergeCell ref="F1768:J1770"/>
    <mergeCell ref="C1771:E1773"/>
    <mergeCell ref="F1771:J1773"/>
    <mergeCell ref="C1774:E1776"/>
    <mergeCell ref="F1774:J1776"/>
    <mergeCell ref="C1685:E1685"/>
    <mergeCell ref="F1685:J1685"/>
    <mergeCell ref="C1686:E1688"/>
    <mergeCell ref="F1686:J1688"/>
    <mergeCell ref="C1689:E1689"/>
    <mergeCell ref="F1689:J1689"/>
    <mergeCell ref="C1676:E1678"/>
    <mergeCell ref="F1676:J1678"/>
    <mergeCell ref="C1679:E1681"/>
    <mergeCell ref="F1679:J1681"/>
    <mergeCell ref="C1684:J1684"/>
    <mergeCell ref="C1667:E1669"/>
    <mergeCell ref="F1667:J1669"/>
    <mergeCell ref="C1670:E1672"/>
    <mergeCell ref="F1670:J1672"/>
    <mergeCell ref="C1673:E1675"/>
    <mergeCell ref="F1673:J1675"/>
    <mergeCell ref="C1662:E1662"/>
    <mergeCell ref="F1662:J1662"/>
    <mergeCell ref="C1663:E1665"/>
    <mergeCell ref="F1663:J1665"/>
    <mergeCell ref="C1666:E1666"/>
    <mergeCell ref="F1666:J1666"/>
    <mergeCell ref="C1648:E1650"/>
    <mergeCell ref="F1648:J1650"/>
    <mergeCell ref="C1651:E1653"/>
    <mergeCell ref="F1651:J1653"/>
    <mergeCell ref="C1661:J1661"/>
    <mergeCell ref="C1639:E1641"/>
    <mergeCell ref="F1639:J1641"/>
    <mergeCell ref="C1642:E1644"/>
    <mergeCell ref="F1642:J1644"/>
    <mergeCell ref="C1645:E1647"/>
    <mergeCell ref="F1645:J1647"/>
    <mergeCell ref="C1634:E1634"/>
    <mergeCell ref="F1634:J1634"/>
    <mergeCell ref="C1635:E1637"/>
    <mergeCell ref="F1635:J1637"/>
    <mergeCell ref="C1638:E1638"/>
    <mergeCell ref="F1638:J1638"/>
    <mergeCell ref="C1625:E1627"/>
    <mergeCell ref="F1625:J1627"/>
    <mergeCell ref="C1628:E1630"/>
    <mergeCell ref="F1628:J1630"/>
    <mergeCell ref="C1633:J1633"/>
    <mergeCell ref="C1616:E1618"/>
    <mergeCell ref="F1616:J1618"/>
    <mergeCell ref="C1619:E1621"/>
    <mergeCell ref="F1619:J1621"/>
    <mergeCell ref="C1622:E1624"/>
    <mergeCell ref="F1622:J1624"/>
    <mergeCell ref="C1611:E1611"/>
    <mergeCell ref="F1611:J1611"/>
    <mergeCell ref="C1612:E1614"/>
    <mergeCell ref="F1612:J1614"/>
    <mergeCell ref="C1615:E1615"/>
    <mergeCell ref="F1615:J1615"/>
    <mergeCell ref="C1602:E1604"/>
    <mergeCell ref="F1602:J1604"/>
    <mergeCell ref="C1605:E1607"/>
    <mergeCell ref="F1605:J1607"/>
    <mergeCell ref="C1610:J1610"/>
    <mergeCell ref="C1593:E1595"/>
    <mergeCell ref="F1593:J1595"/>
    <mergeCell ref="C1596:E1598"/>
    <mergeCell ref="F1596:J1598"/>
    <mergeCell ref="C1599:E1601"/>
    <mergeCell ref="F1599:J1601"/>
    <mergeCell ref="C1588:E1588"/>
    <mergeCell ref="F1588:J1588"/>
    <mergeCell ref="C1589:E1591"/>
    <mergeCell ref="F1589:J1591"/>
    <mergeCell ref="C1592:E1592"/>
    <mergeCell ref="F1592:J1592"/>
    <mergeCell ref="C1577:E1579"/>
    <mergeCell ref="F1577:J1579"/>
    <mergeCell ref="C1580:E1582"/>
    <mergeCell ref="F1580:J1582"/>
    <mergeCell ref="C1587:J1587"/>
    <mergeCell ref="C1568:E1570"/>
    <mergeCell ref="F1568:J1570"/>
    <mergeCell ref="C1571:E1573"/>
    <mergeCell ref="F1571:J1573"/>
    <mergeCell ref="C1574:E1576"/>
    <mergeCell ref="F1574:J1576"/>
    <mergeCell ref="C1563:E1563"/>
    <mergeCell ref="F1563:J1563"/>
    <mergeCell ref="C1564:E1566"/>
    <mergeCell ref="F1564:J1566"/>
    <mergeCell ref="C1567:E1567"/>
    <mergeCell ref="F1567:J1567"/>
    <mergeCell ref="C1554:E1556"/>
    <mergeCell ref="F1554:J1556"/>
    <mergeCell ref="C1557:E1559"/>
    <mergeCell ref="F1557:J1559"/>
    <mergeCell ref="C1562:J1562"/>
    <mergeCell ref="C1545:E1547"/>
    <mergeCell ref="F1545:J1547"/>
    <mergeCell ref="C1548:E1550"/>
    <mergeCell ref="F1548:J1550"/>
    <mergeCell ref="C1551:E1553"/>
    <mergeCell ref="F1551:J1553"/>
    <mergeCell ref="C1540:E1540"/>
    <mergeCell ref="F1540:J1540"/>
    <mergeCell ref="C1541:E1543"/>
    <mergeCell ref="F1541:J1543"/>
    <mergeCell ref="C1544:E1544"/>
    <mergeCell ref="F1544:J1544"/>
    <mergeCell ref="C1529:E1531"/>
    <mergeCell ref="F1529:J1531"/>
    <mergeCell ref="C1532:E1534"/>
    <mergeCell ref="F1532:J1534"/>
    <mergeCell ref="C1539:J1539"/>
    <mergeCell ref="C1520:E1522"/>
    <mergeCell ref="F1520:J1522"/>
    <mergeCell ref="C1523:E1525"/>
    <mergeCell ref="F1523:J1525"/>
    <mergeCell ref="C1526:E1528"/>
    <mergeCell ref="F1526:J1528"/>
    <mergeCell ref="C1515:E1515"/>
    <mergeCell ref="F1515:J1515"/>
    <mergeCell ref="C1516:E1518"/>
    <mergeCell ref="F1516:J1518"/>
    <mergeCell ref="C1519:E1519"/>
    <mergeCell ref="F1519:J1519"/>
    <mergeCell ref="C1506:E1508"/>
    <mergeCell ref="F1506:J1508"/>
    <mergeCell ref="C1509:E1511"/>
    <mergeCell ref="F1509:J1511"/>
    <mergeCell ref="C1514:J1514"/>
    <mergeCell ref="C1497:E1499"/>
    <mergeCell ref="F1497:J1499"/>
    <mergeCell ref="C1500:E1502"/>
    <mergeCell ref="F1500:J1502"/>
    <mergeCell ref="C1503:E1505"/>
    <mergeCell ref="F1503:J1505"/>
    <mergeCell ref="C1423:E1423"/>
    <mergeCell ref="F1423:J1423"/>
    <mergeCell ref="C1419:E1419"/>
    <mergeCell ref="F1419:J1419"/>
    <mergeCell ref="C1492:E1492"/>
    <mergeCell ref="F1492:J1492"/>
    <mergeCell ref="C1493:E1495"/>
    <mergeCell ref="F1493:J1495"/>
    <mergeCell ref="C1496:E1496"/>
    <mergeCell ref="F1496:J1496"/>
    <mergeCell ref="C1481:E1483"/>
    <mergeCell ref="F1481:J1483"/>
    <mergeCell ref="C1484:E1486"/>
    <mergeCell ref="F1484:J1486"/>
    <mergeCell ref="C1491:J1491"/>
    <mergeCell ref="C1472:E1474"/>
    <mergeCell ref="F1472:J1474"/>
    <mergeCell ref="C1475:E1477"/>
    <mergeCell ref="F1475:J1477"/>
    <mergeCell ref="C1478:E1480"/>
    <mergeCell ref="F1478:J1480"/>
    <mergeCell ref="C1468:E1470"/>
    <mergeCell ref="F1468:J1470"/>
    <mergeCell ref="C1471:E1471"/>
    <mergeCell ref="F1471:J1471"/>
    <mergeCell ref="C1407:E1409"/>
    <mergeCell ref="F1407:J1409"/>
    <mergeCell ref="C1410:E1412"/>
    <mergeCell ref="F1410:J1412"/>
    <mergeCell ref="C1418:J1418"/>
    <mergeCell ref="C1398:E1400"/>
    <mergeCell ref="F1398:J1400"/>
    <mergeCell ref="C1401:E1403"/>
    <mergeCell ref="F1401:J1403"/>
    <mergeCell ref="C1404:E1406"/>
    <mergeCell ref="F1404:J1406"/>
    <mergeCell ref="C1393:E1393"/>
    <mergeCell ref="F1393:J1393"/>
    <mergeCell ref="C1467:E1467"/>
    <mergeCell ref="F1467:J1467"/>
    <mergeCell ref="C1394:E1396"/>
    <mergeCell ref="F1394:J1396"/>
    <mergeCell ref="C1397:E1397"/>
    <mergeCell ref="F1397:J1397"/>
    <mergeCell ref="C1433:E1435"/>
    <mergeCell ref="F1433:J1435"/>
    <mergeCell ref="C1436:E1438"/>
    <mergeCell ref="F1436:J1438"/>
    <mergeCell ref="C1466:J1466"/>
    <mergeCell ref="C1424:E1426"/>
    <mergeCell ref="F1424:J1426"/>
    <mergeCell ref="C1427:E1429"/>
    <mergeCell ref="F1427:J1429"/>
    <mergeCell ref="C1430:E1432"/>
    <mergeCell ref="F1430:J1432"/>
    <mergeCell ref="C1420:E1422"/>
    <mergeCell ref="F1420:J1422"/>
    <mergeCell ref="C1384:E1386"/>
    <mergeCell ref="F1384:J1386"/>
    <mergeCell ref="C1387:E1389"/>
    <mergeCell ref="F1387:J1389"/>
    <mergeCell ref="C1392:J1392"/>
    <mergeCell ref="C1375:E1377"/>
    <mergeCell ref="F1375:J1377"/>
    <mergeCell ref="C1378:E1380"/>
    <mergeCell ref="F1378:J1380"/>
    <mergeCell ref="C1381:E1383"/>
    <mergeCell ref="F1381:J1383"/>
    <mergeCell ref="C1370:E1370"/>
    <mergeCell ref="F1370:J1370"/>
    <mergeCell ref="C1371:E1373"/>
    <mergeCell ref="F1371:J1373"/>
    <mergeCell ref="C1374:E1374"/>
    <mergeCell ref="F1374:J1374"/>
    <mergeCell ref="C1361:E1363"/>
    <mergeCell ref="F1361:J1363"/>
    <mergeCell ref="C1364:E1366"/>
    <mergeCell ref="F1364:J1366"/>
    <mergeCell ref="C1369:J1369"/>
    <mergeCell ref="C1352:E1354"/>
    <mergeCell ref="F1352:J1354"/>
    <mergeCell ref="C1355:E1357"/>
    <mergeCell ref="F1355:J1357"/>
    <mergeCell ref="C1358:E1360"/>
    <mergeCell ref="F1358:J1360"/>
    <mergeCell ref="C1347:E1347"/>
    <mergeCell ref="F1347:J1347"/>
    <mergeCell ref="C1348:E1350"/>
    <mergeCell ref="F1348:J1350"/>
    <mergeCell ref="C1351:E1351"/>
    <mergeCell ref="F1351:J1351"/>
    <mergeCell ref="C1335:E1337"/>
    <mergeCell ref="F1335:J1337"/>
    <mergeCell ref="C1338:E1340"/>
    <mergeCell ref="F1338:J1340"/>
    <mergeCell ref="C1346:J1346"/>
    <mergeCell ref="C1326:E1328"/>
    <mergeCell ref="F1326:J1328"/>
    <mergeCell ref="C1329:E1331"/>
    <mergeCell ref="F1329:J1331"/>
    <mergeCell ref="C1332:E1334"/>
    <mergeCell ref="F1332:J1334"/>
    <mergeCell ref="C1321:E1321"/>
    <mergeCell ref="F1321:J1321"/>
    <mergeCell ref="C1322:E1324"/>
    <mergeCell ref="F1322:J1324"/>
    <mergeCell ref="C1325:E1325"/>
    <mergeCell ref="F1325:J1325"/>
    <mergeCell ref="C1310:E1312"/>
    <mergeCell ref="F1310:J1312"/>
    <mergeCell ref="C1313:E1315"/>
    <mergeCell ref="F1313:J1315"/>
    <mergeCell ref="C1320:J1320"/>
    <mergeCell ref="C1301:E1303"/>
    <mergeCell ref="F1301:J1303"/>
    <mergeCell ref="C1304:E1306"/>
    <mergeCell ref="F1304:J1306"/>
    <mergeCell ref="C1307:E1309"/>
    <mergeCell ref="F1307:J1309"/>
    <mergeCell ref="C1296:E1296"/>
    <mergeCell ref="F1296:J1296"/>
    <mergeCell ref="C1297:E1299"/>
    <mergeCell ref="F1297:J1299"/>
    <mergeCell ref="C1300:E1300"/>
    <mergeCell ref="F1300:J1300"/>
    <mergeCell ref="C1287:E1289"/>
    <mergeCell ref="F1287:J1289"/>
    <mergeCell ref="C1290:E1292"/>
    <mergeCell ref="F1290:J1292"/>
    <mergeCell ref="C1295:J1295"/>
    <mergeCell ref="C1278:E1280"/>
    <mergeCell ref="F1278:J1280"/>
    <mergeCell ref="C1281:E1283"/>
    <mergeCell ref="F1281:J1283"/>
    <mergeCell ref="C1284:E1286"/>
    <mergeCell ref="F1284:J1286"/>
    <mergeCell ref="C1273:E1273"/>
    <mergeCell ref="F1273:J1273"/>
    <mergeCell ref="C1274:E1276"/>
    <mergeCell ref="F1274:J1276"/>
    <mergeCell ref="C1277:E1277"/>
    <mergeCell ref="F1277:J1277"/>
    <mergeCell ref="C1264:E1266"/>
    <mergeCell ref="F1264:J1266"/>
    <mergeCell ref="C1267:E1269"/>
    <mergeCell ref="F1267:J1269"/>
    <mergeCell ref="C1272:J1272"/>
    <mergeCell ref="C1255:E1257"/>
    <mergeCell ref="F1255:J1257"/>
    <mergeCell ref="C1258:E1260"/>
    <mergeCell ref="F1258:J1260"/>
    <mergeCell ref="C1261:E1263"/>
    <mergeCell ref="F1261:J1263"/>
    <mergeCell ref="C1250:E1250"/>
    <mergeCell ref="F1250:J1250"/>
    <mergeCell ref="C1251:E1253"/>
    <mergeCell ref="F1251:J1253"/>
    <mergeCell ref="C1254:E1254"/>
    <mergeCell ref="F1254:J1254"/>
    <mergeCell ref="C1241:E1243"/>
    <mergeCell ref="F1241:J1243"/>
    <mergeCell ref="C1244:E1246"/>
    <mergeCell ref="F1244:J1246"/>
    <mergeCell ref="C1249:J1249"/>
    <mergeCell ref="C1232:E1234"/>
    <mergeCell ref="F1232:J1234"/>
    <mergeCell ref="C1235:E1237"/>
    <mergeCell ref="F1235:J1237"/>
    <mergeCell ref="C1238:E1240"/>
    <mergeCell ref="F1238:J1240"/>
    <mergeCell ref="C1227:E1227"/>
    <mergeCell ref="F1227:J1227"/>
    <mergeCell ref="C1228:E1230"/>
    <mergeCell ref="F1228:J1230"/>
    <mergeCell ref="C1231:E1231"/>
    <mergeCell ref="F1231:J1231"/>
    <mergeCell ref="C1218:E1220"/>
    <mergeCell ref="F1218:J1220"/>
    <mergeCell ref="C1221:E1223"/>
    <mergeCell ref="F1221:J1223"/>
    <mergeCell ref="C1226:J1226"/>
    <mergeCell ref="C1209:E1211"/>
    <mergeCell ref="F1209:J1211"/>
    <mergeCell ref="C1212:E1214"/>
    <mergeCell ref="F1212:J1214"/>
    <mergeCell ref="C1215:E1217"/>
    <mergeCell ref="F1215:J1217"/>
    <mergeCell ref="C1204:E1204"/>
    <mergeCell ref="F1204:J1204"/>
    <mergeCell ref="C1205:E1207"/>
    <mergeCell ref="F1205:J1207"/>
    <mergeCell ref="C1208:E1208"/>
    <mergeCell ref="F1208:J1208"/>
    <mergeCell ref="C1194:E1196"/>
    <mergeCell ref="F1194:J1196"/>
    <mergeCell ref="C1197:E1199"/>
    <mergeCell ref="F1197:J1199"/>
    <mergeCell ref="C1203:J1203"/>
    <mergeCell ref="C1185:E1187"/>
    <mergeCell ref="F1185:J1187"/>
    <mergeCell ref="C1188:E1190"/>
    <mergeCell ref="F1188:J1190"/>
    <mergeCell ref="C1191:E1193"/>
    <mergeCell ref="F1191:J1193"/>
    <mergeCell ref="C1180:E1180"/>
    <mergeCell ref="F1180:J1180"/>
    <mergeCell ref="C1181:E1183"/>
    <mergeCell ref="F1181:J1183"/>
    <mergeCell ref="C1184:E1184"/>
    <mergeCell ref="F1184:J1184"/>
    <mergeCell ref="C1171:E1173"/>
    <mergeCell ref="F1171:J1173"/>
    <mergeCell ref="C1174:E1176"/>
    <mergeCell ref="F1174:J1176"/>
    <mergeCell ref="C1179:J1179"/>
    <mergeCell ref="C1162:E1164"/>
    <mergeCell ref="F1162:J1164"/>
    <mergeCell ref="C1165:E1167"/>
    <mergeCell ref="F1165:J1167"/>
    <mergeCell ref="C1168:E1170"/>
    <mergeCell ref="F1168:J1170"/>
    <mergeCell ref="C1157:E1157"/>
    <mergeCell ref="F1157:J1157"/>
    <mergeCell ref="C1158:E1160"/>
    <mergeCell ref="F1158:J1160"/>
    <mergeCell ref="C1161:E1161"/>
    <mergeCell ref="F1161:J1161"/>
    <mergeCell ref="C1144:E1146"/>
    <mergeCell ref="F1144:J1146"/>
    <mergeCell ref="C1147:E1149"/>
    <mergeCell ref="F1147:J1149"/>
    <mergeCell ref="C1156:J1156"/>
    <mergeCell ref="C1135:E1137"/>
    <mergeCell ref="F1135:J1137"/>
    <mergeCell ref="C1138:E1140"/>
    <mergeCell ref="F1138:J1140"/>
    <mergeCell ref="C1141:E1143"/>
    <mergeCell ref="F1141:J1143"/>
    <mergeCell ref="C1130:E1130"/>
    <mergeCell ref="F1130:J1130"/>
    <mergeCell ref="C1131:E1133"/>
    <mergeCell ref="F1131:J1133"/>
    <mergeCell ref="C1134:E1134"/>
    <mergeCell ref="F1134:J1134"/>
    <mergeCell ref="C1121:E1123"/>
    <mergeCell ref="F1121:J1123"/>
    <mergeCell ref="C1124:E1126"/>
    <mergeCell ref="F1124:J1126"/>
    <mergeCell ref="C1129:J1129"/>
    <mergeCell ref="C1112:E1114"/>
    <mergeCell ref="F1112:J1114"/>
    <mergeCell ref="C1115:E1117"/>
    <mergeCell ref="F1115:J1117"/>
    <mergeCell ref="C1118:E1120"/>
    <mergeCell ref="F1118:J1120"/>
    <mergeCell ref="C1107:E1107"/>
    <mergeCell ref="F1107:J1107"/>
    <mergeCell ref="C1108:E1110"/>
    <mergeCell ref="F1108:J1110"/>
    <mergeCell ref="C1111:E1111"/>
    <mergeCell ref="F1111:J1111"/>
    <mergeCell ref="C1096:E1098"/>
    <mergeCell ref="F1096:J1098"/>
    <mergeCell ref="C1099:E1101"/>
    <mergeCell ref="F1099:J1101"/>
    <mergeCell ref="C1106:J1106"/>
    <mergeCell ref="C1087:E1089"/>
    <mergeCell ref="F1087:J1089"/>
    <mergeCell ref="C1090:E1092"/>
    <mergeCell ref="F1090:J1092"/>
    <mergeCell ref="C1093:E1095"/>
    <mergeCell ref="F1093:J1095"/>
    <mergeCell ref="C1082:E1082"/>
    <mergeCell ref="F1082:J1082"/>
    <mergeCell ref="C1083:E1085"/>
    <mergeCell ref="F1083:J1085"/>
    <mergeCell ref="C1086:E1086"/>
    <mergeCell ref="F1086:J1086"/>
    <mergeCell ref="C1071:E1073"/>
    <mergeCell ref="F1071:J1073"/>
    <mergeCell ref="C1074:E1076"/>
    <mergeCell ref="F1074:J1076"/>
    <mergeCell ref="C1081:J1081"/>
    <mergeCell ref="C1062:E1064"/>
    <mergeCell ref="F1062:J1064"/>
    <mergeCell ref="C1065:E1067"/>
    <mergeCell ref="F1065:J1067"/>
    <mergeCell ref="C1068:E1070"/>
    <mergeCell ref="F1068:J1070"/>
    <mergeCell ref="C1057:E1057"/>
    <mergeCell ref="F1057:J1057"/>
    <mergeCell ref="C1058:E1060"/>
    <mergeCell ref="F1058:J1060"/>
    <mergeCell ref="C1061:E1061"/>
    <mergeCell ref="F1061:J1061"/>
    <mergeCell ref="C1048:E1050"/>
    <mergeCell ref="F1048:J1050"/>
    <mergeCell ref="C1051:E1053"/>
    <mergeCell ref="F1051:J1053"/>
    <mergeCell ref="C1056:J1056"/>
    <mergeCell ref="C1039:E1041"/>
    <mergeCell ref="F1039:J1041"/>
    <mergeCell ref="C1042:E1044"/>
    <mergeCell ref="F1042:J1044"/>
    <mergeCell ref="C1045:E1047"/>
    <mergeCell ref="F1045:J1047"/>
    <mergeCell ref="C1034:E1034"/>
    <mergeCell ref="F1034:J1034"/>
    <mergeCell ref="C1035:E1037"/>
    <mergeCell ref="F1035:J1037"/>
    <mergeCell ref="C1038:E1038"/>
    <mergeCell ref="F1038:J1038"/>
    <mergeCell ref="C1023:E1025"/>
    <mergeCell ref="F1023:J1025"/>
    <mergeCell ref="C1026:E1028"/>
    <mergeCell ref="F1026:J1028"/>
    <mergeCell ref="C1033:J1033"/>
    <mergeCell ref="C1014:E1016"/>
    <mergeCell ref="F1014:J1016"/>
    <mergeCell ref="C1017:E1019"/>
    <mergeCell ref="F1017:J1019"/>
    <mergeCell ref="C1020:E1022"/>
    <mergeCell ref="F1020:J1022"/>
    <mergeCell ref="C1009:E1009"/>
    <mergeCell ref="F1009:J1009"/>
    <mergeCell ref="C1010:E1012"/>
    <mergeCell ref="F1010:J1012"/>
    <mergeCell ref="C1013:E1013"/>
    <mergeCell ref="F1013:J1013"/>
    <mergeCell ref="C1000:E1002"/>
    <mergeCell ref="F1000:J1002"/>
    <mergeCell ref="C1003:E1005"/>
    <mergeCell ref="F1003:J1005"/>
    <mergeCell ref="C1008:J1008"/>
    <mergeCell ref="C991:E993"/>
    <mergeCell ref="F991:J993"/>
    <mergeCell ref="C994:E996"/>
    <mergeCell ref="F994:J996"/>
    <mergeCell ref="C997:E999"/>
    <mergeCell ref="F997:J999"/>
    <mergeCell ref="C986:E986"/>
    <mergeCell ref="F986:J986"/>
    <mergeCell ref="C987:E989"/>
    <mergeCell ref="F987:J989"/>
    <mergeCell ref="C990:E990"/>
    <mergeCell ref="F990:J990"/>
    <mergeCell ref="C977:E979"/>
    <mergeCell ref="F977:J979"/>
    <mergeCell ref="C980:E982"/>
    <mergeCell ref="F980:J982"/>
    <mergeCell ref="C985:J985"/>
    <mergeCell ref="C968:E970"/>
    <mergeCell ref="F968:J970"/>
    <mergeCell ref="C971:E973"/>
    <mergeCell ref="F971:J973"/>
    <mergeCell ref="C974:E976"/>
    <mergeCell ref="F974:J976"/>
    <mergeCell ref="C963:E963"/>
    <mergeCell ref="F963:J963"/>
    <mergeCell ref="C964:E966"/>
    <mergeCell ref="F964:J966"/>
    <mergeCell ref="C967:E967"/>
    <mergeCell ref="F967:J967"/>
    <mergeCell ref="C954:E956"/>
    <mergeCell ref="F954:J956"/>
    <mergeCell ref="C957:E959"/>
    <mergeCell ref="F957:J959"/>
    <mergeCell ref="C962:J962"/>
    <mergeCell ref="C945:E947"/>
    <mergeCell ref="F945:J947"/>
    <mergeCell ref="C948:E950"/>
    <mergeCell ref="F948:J950"/>
    <mergeCell ref="C951:E953"/>
    <mergeCell ref="F951:J953"/>
    <mergeCell ref="C940:E940"/>
    <mergeCell ref="F940:J940"/>
    <mergeCell ref="C941:E943"/>
    <mergeCell ref="F941:J943"/>
    <mergeCell ref="C944:E944"/>
    <mergeCell ref="F944:J944"/>
    <mergeCell ref="C931:E933"/>
    <mergeCell ref="F931:J933"/>
    <mergeCell ref="C934:E936"/>
    <mergeCell ref="F934:J936"/>
    <mergeCell ref="C939:J939"/>
    <mergeCell ref="C922:E924"/>
    <mergeCell ref="F922:J924"/>
    <mergeCell ref="C925:E927"/>
    <mergeCell ref="F925:J927"/>
    <mergeCell ref="C928:E930"/>
    <mergeCell ref="F928:J930"/>
    <mergeCell ref="C917:E917"/>
    <mergeCell ref="F917:J917"/>
    <mergeCell ref="C918:E920"/>
    <mergeCell ref="F918:J920"/>
    <mergeCell ref="C921:E921"/>
    <mergeCell ref="F921:J921"/>
    <mergeCell ref="C908:E910"/>
    <mergeCell ref="F908:J910"/>
    <mergeCell ref="C911:E913"/>
    <mergeCell ref="F911:J913"/>
    <mergeCell ref="C916:J916"/>
    <mergeCell ref="C899:E901"/>
    <mergeCell ref="F899:J901"/>
    <mergeCell ref="C902:E904"/>
    <mergeCell ref="F902:J904"/>
    <mergeCell ref="C905:E907"/>
    <mergeCell ref="F905:J907"/>
    <mergeCell ref="C894:E894"/>
    <mergeCell ref="F894:J894"/>
    <mergeCell ref="C895:E897"/>
    <mergeCell ref="F895:J897"/>
    <mergeCell ref="C898:E898"/>
    <mergeCell ref="F898:J898"/>
    <mergeCell ref="C885:E887"/>
    <mergeCell ref="F885:J887"/>
    <mergeCell ref="C888:E890"/>
    <mergeCell ref="F888:J890"/>
    <mergeCell ref="C893:J893"/>
    <mergeCell ref="C876:E878"/>
    <mergeCell ref="F876:J878"/>
    <mergeCell ref="C879:E881"/>
    <mergeCell ref="F879:J881"/>
    <mergeCell ref="C882:E884"/>
    <mergeCell ref="F882:J884"/>
    <mergeCell ref="C871:E871"/>
    <mergeCell ref="F871:J871"/>
    <mergeCell ref="C872:E874"/>
    <mergeCell ref="F872:J874"/>
    <mergeCell ref="C875:E875"/>
    <mergeCell ref="F875:J875"/>
    <mergeCell ref="C862:E864"/>
    <mergeCell ref="F862:J864"/>
    <mergeCell ref="C865:E867"/>
    <mergeCell ref="F865:J867"/>
    <mergeCell ref="C870:J870"/>
    <mergeCell ref="C853:E855"/>
    <mergeCell ref="F853:J855"/>
    <mergeCell ref="C856:E858"/>
    <mergeCell ref="F856:J858"/>
    <mergeCell ref="C859:E861"/>
    <mergeCell ref="F859:J861"/>
    <mergeCell ref="C848:E848"/>
    <mergeCell ref="F848:J848"/>
    <mergeCell ref="C849:E851"/>
    <mergeCell ref="F849:J851"/>
    <mergeCell ref="C852:E852"/>
    <mergeCell ref="F852:J852"/>
    <mergeCell ref="C839:E841"/>
    <mergeCell ref="F839:J841"/>
    <mergeCell ref="C842:E844"/>
    <mergeCell ref="F842:J844"/>
    <mergeCell ref="C847:J847"/>
    <mergeCell ref="C830:E832"/>
    <mergeCell ref="F830:J832"/>
    <mergeCell ref="C833:E835"/>
    <mergeCell ref="F833:J835"/>
    <mergeCell ref="C836:E838"/>
    <mergeCell ref="F836:J838"/>
    <mergeCell ref="C825:E825"/>
    <mergeCell ref="F825:J825"/>
    <mergeCell ref="C826:E828"/>
    <mergeCell ref="F826:J828"/>
    <mergeCell ref="C829:E829"/>
    <mergeCell ref="F829:J829"/>
    <mergeCell ref="C814:E816"/>
    <mergeCell ref="F814:J816"/>
    <mergeCell ref="C817:E819"/>
    <mergeCell ref="F817:J819"/>
    <mergeCell ref="C824:J824"/>
    <mergeCell ref="C805:E807"/>
    <mergeCell ref="F805:J807"/>
    <mergeCell ref="C808:E810"/>
    <mergeCell ref="F808:J810"/>
    <mergeCell ref="C811:E813"/>
    <mergeCell ref="F811:J813"/>
    <mergeCell ref="C800:E800"/>
    <mergeCell ref="F800:J800"/>
    <mergeCell ref="C801:E803"/>
    <mergeCell ref="F801:J803"/>
    <mergeCell ref="C804:E804"/>
    <mergeCell ref="F804:J804"/>
    <mergeCell ref="C789:E791"/>
    <mergeCell ref="F789:J791"/>
    <mergeCell ref="C792:E794"/>
    <mergeCell ref="F792:J794"/>
    <mergeCell ref="C799:J799"/>
    <mergeCell ref="C780:E782"/>
    <mergeCell ref="F780:J782"/>
    <mergeCell ref="C783:E785"/>
    <mergeCell ref="F783:J785"/>
    <mergeCell ref="C786:E788"/>
    <mergeCell ref="F786:J788"/>
    <mergeCell ref="C775:E775"/>
    <mergeCell ref="F775:J775"/>
    <mergeCell ref="C776:E778"/>
    <mergeCell ref="F776:J778"/>
    <mergeCell ref="C779:E779"/>
    <mergeCell ref="F779:J779"/>
    <mergeCell ref="C764:E766"/>
    <mergeCell ref="F764:J766"/>
    <mergeCell ref="C767:E769"/>
    <mergeCell ref="F767:J769"/>
    <mergeCell ref="C774:J774"/>
    <mergeCell ref="C755:E757"/>
    <mergeCell ref="F755:J757"/>
    <mergeCell ref="C758:E760"/>
    <mergeCell ref="F758:J760"/>
    <mergeCell ref="C761:E763"/>
    <mergeCell ref="F761:J763"/>
    <mergeCell ref="C750:E750"/>
    <mergeCell ref="F750:J750"/>
    <mergeCell ref="C751:E753"/>
    <mergeCell ref="F751:J753"/>
    <mergeCell ref="C754:E754"/>
    <mergeCell ref="F754:J754"/>
    <mergeCell ref="C741:E743"/>
    <mergeCell ref="F741:J743"/>
    <mergeCell ref="C744:E746"/>
    <mergeCell ref="F744:J746"/>
    <mergeCell ref="C749:J749"/>
    <mergeCell ref="C732:E734"/>
    <mergeCell ref="F732:J734"/>
    <mergeCell ref="C735:E737"/>
    <mergeCell ref="F735:J737"/>
    <mergeCell ref="C738:E740"/>
    <mergeCell ref="F738:J740"/>
    <mergeCell ref="C727:E727"/>
    <mergeCell ref="F727:J727"/>
    <mergeCell ref="C728:E730"/>
    <mergeCell ref="F728:J730"/>
    <mergeCell ref="C731:E731"/>
    <mergeCell ref="F731:J731"/>
    <mergeCell ref="W678:AE678"/>
    <mergeCell ref="C726:J726"/>
    <mergeCell ref="C709:E711"/>
    <mergeCell ref="F709:J711"/>
    <mergeCell ref="C712:E714"/>
    <mergeCell ref="F712:J714"/>
    <mergeCell ref="C715:E717"/>
    <mergeCell ref="F715:J717"/>
    <mergeCell ref="C704:E704"/>
    <mergeCell ref="F704:J704"/>
    <mergeCell ref="C705:E707"/>
    <mergeCell ref="F705:J707"/>
    <mergeCell ref="C708:E708"/>
    <mergeCell ref="F708:J708"/>
    <mergeCell ref="C691:E693"/>
    <mergeCell ref="F691:J693"/>
    <mergeCell ref="C694:E696"/>
    <mergeCell ref="F694:J696"/>
    <mergeCell ref="C718:E720"/>
    <mergeCell ref="F718:J720"/>
    <mergeCell ref="C721:E723"/>
    <mergeCell ref="F721:J723"/>
    <mergeCell ref="W705:AE705"/>
    <mergeCell ref="C703:J703"/>
    <mergeCell ref="C682:E684"/>
    <mergeCell ref="F682:J684"/>
    <mergeCell ref="C685:E687"/>
    <mergeCell ref="F685:J687"/>
    <mergeCell ref="C688:E690"/>
    <mergeCell ref="F688:J690"/>
    <mergeCell ref="C677:E677"/>
    <mergeCell ref="F677:J677"/>
    <mergeCell ref="C678:E680"/>
    <mergeCell ref="F678:J680"/>
    <mergeCell ref="C681:E681"/>
    <mergeCell ref="F681:J681"/>
    <mergeCell ref="C668:E670"/>
    <mergeCell ref="F668:J670"/>
    <mergeCell ref="C671:E673"/>
    <mergeCell ref="F671:J673"/>
    <mergeCell ref="C676:J676"/>
    <mergeCell ref="C659:E661"/>
    <mergeCell ref="F659:J661"/>
    <mergeCell ref="C662:E664"/>
    <mergeCell ref="F662:J664"/>
    <mergeCell ref="C665:E667"/>
    <mergeCell ref="F665:J667"/>
    <mergeCell ref="C654:E654"/>
    <mergeCell ref="F654:J654"/>
    <mergeCell ref="C655:E657"/>
    <mergeCell ref="F655:J657"/>
    <mergeCell ref="C658:E658"/>
    <mergeCell ref="F658:J658"/>
    <mergeCell ref="C643:E645"/>
    <mergeCell ref="F643:J645"/>
    <mergeCell ref="C646:E648"/>
    <mergeCell ref="F646:J648"/>
    <mergeCell ref="W607:AE607"/>
    <mergeCell ref="C653:J653"/>
    <mergeCell ref="C634:E636"/>
    <mergeCell ref="F634:J636"/>
    <mergeCell ref="C637:E639"/>
    <mergeCell ref="F637:J639"/>
    <mergeCell ref="C640:E642"/>
    <mergeCell ref="F640:J642"/>
    <mergeCell ref="C629:E629"/>
    <mergeCell ref="F629:J629"/>
    <mergeCell ref="C630:E632"/>
    <mergeCell ref="F630:J632"/>
    <mergeCell ref="C633:E633"/>
    <mergeCell ref="F633:J633"/>
    <mergeCell ref="C620:E622"/>
    <mergeCell ref="F620:J622"/>
    <mergeCell ref="C623:E625"/>
    <mergeCell ref="F623:J625"/>
    <mergeCell ref="W630:AE630"/>
    <mergeCell ref="C628:J628"/>
    <mergeCell ref="C611:E613"/>
    <mergeCell ref="F611:J613"/>
    <mergeCell ref="C614:E616"/>
    <mergeCell ref="F614:J616"/>
    <mergeCell ref="C617:E619"/>
    <mergeCell ref="F617:J619"/>
    <mergeCell ref="C606:E606"/>
    <mergeCell ref="F606:J606"/>
    <mergeCell ref="C607:E609"/>
    <mergeCell ref="F607:J609"/>
    <mergeCell ref="C610:E610"/>
    <mergeCell ref="F610:J610"/>
    <mergeCell ref="C596:E598"/>
    <mergeCell ref="F596:J598"/>
    <mergeCell ref="C599:E601"/>
    <mergeCell ref="F599:J601"/>
    <mergeCell ref="C605:J605"/>
    <mergeCell ref="C587:E589"/>
    <mergeCell ref="F587:J589"/>
    <mergeCell ref="C590:E592"/>
    <mergeCell ref="F590:J592"/>
    <mergeCell ref="C593:E595"/>
    <mergeCell ref="F593:J595"/>
    <mergeCell ref="C582:E582"/>
    <mergeCell ref="F582:J582"/>
    <mergeCell ref="C583:E585"/>
    <mergeCell ref="F583:J585"/>
    <mergeCell ref="C586:E586"/>
    <mergeCell ref="F586:J586"/>
    <mergeCell ref="C570:E572"/>
    <mergeCell ref="F570:J572"/>
    <mergeCell ref="C573:E575"/>
    <mergeCell ref="F573:J575"/>
    <mergeCell ref="C581:J581"/>
    <mergeCell ref="C561:E563"/>
    <mergeCell ref="F561:J563"/>
    <mergeCell ref="C564:E566"/>
    <mergeCell ref="F564:J566"/>
    <mergeCell ref="C567:E569"/>
    <mergeCell ref="F567:J569"/>
    <mergeCell ref="C556:E556"/>
    <mergeCell ref="F556:J556"/>
    <mergeCell ref="C557:E559"/>
    <mergeCell ref="F557:J559"/>
    <mergeCell ref="C560:E560"/>
    <mergeCell ref="F560:J560"/>
    <mergeCell ref="C545:E547"/>
    <mergeCell ref="F545:J547"/>
    <mergeCell ref="C548:E550"/>
    <mergeCell ref="F548:J550"/>
    <mergeCell ref="W509:AE509"/>
    <mergeCell ref="C555:J555"/>
    <mergeCell ref="C536:E538"/>
    <mergeCell ref="F536:J538"/>
    <mergeCell ref="C539:E541"/>
    <mergeCell ref="F539:J541"/>
    <mergeCell ref="C542:E544"/>
    <mergeCell ref="F542:J544"/>
    <mergeCell ref="C531:E531"/>
    <mergeCell ref="F531:J531"/>
    <mergeCell ref="C532:E534"/>
    <mergeCell ref="F532:J534"/>
    <mergeCell ref="C535:E535"/>
    <mergeCell ref="F535:J535"/>
    <mergeCell ref="C522:E524"/>
    <mergeCell ref="F522:J524"/>
    <mergeCell ref="C525:E527"/>
    <mergeCell ref="F525:J527"/>
    <mergeCell ref="W532:AE532"/>
    <mergeCell ref="C530:J530"/>
    <mergeCell ref="C513:E515"/>
    <mergeCell ref="F513:J515"/>
    <mergeCell ref="C516:E518"/>
    <mergeCell ref="F516:J518"/>
    <mergeCell ref="C519:E521"/>
    <mergeCell ref="F519:J521"/>
    <mergeCell ref="C508:E508"/>
    <mergeCell ref="F508:J508"/>
    <mergeCell ref="C509:E511"/>
    <mergeCell ref="F509:J511"/>
    <mergeCell ref="C512:E512"/>
    <mergeCell ref="F512:J512"/>
    <mergeCell ref="C499:E501"/>
    <mergeCell ref="F499:J501"/>
    <mergeCell ref="C502:E504"/>
    <mergeCell ref="F502:J504"/>
    <mergeCell ref="C507:J507"/>
    <mergeCell ref="C490:E492"/>
    <mergeCell ref="F490:J492"/>
    <mergeCell ref="C493:E495"/>
    <mergeCell ref="F493:J495"/>
    <mergeCell ref="C496:E498"/>
    <mergeCell ref="F496:J498"/>
    <mergeCell ref="C485:E485"/>
    <mergeCell ref="F485:J485"/>
    <mergeCell ref="C486:E488"/>
    <mergeCell ref="F486:J488"/>
    <mergeCell ref="C489:E489"/>
    <mergeCell ref="F489:J489"/>
    <mergeCell ref="C476:E478"/>
    <mergeCell ref="F476:J478"/>
    <mergeCell ref="C479:E481"/>
    <mergeCell ref="F479:J481"/>
    <mergeCell ref="W440:AE440"/>
    <mergeCell ref="C484:J484"/>
    <mergeCell ref="C467:E469"/>
    <mergeCell ref="F467:J469"/>
    <mergeCell ref="C470:E472"/>
    <mergeCell ref="F470:J472"/>
    <mergeCell ref="C473:E475"/>
    <mergeCell ref="F473:J475"/>
    <mergeCell ref="C462:E462"/>
    <mergeCell ref="F462:J462"/>
    <mergeCell ref="C463:E465"/>
    <mergeCell ref="F463:J465"/>
    <mergeCell ref="C466:E466"/>
    <mergeCell ref="F466:J466"/>
    <mergeCell ref="C453:E455"/>
    <mergeCell ref="F453:J455"/>
    <mergeCell ref="C456:E458"/>
    <mergeCell ref="F456:J458"/>
    <mergeCell ref="W463:AE463"/>
    <mergeCell ref="C461:J461"/>
    <mergeCell ref="C444:E446"/>
    <mergeCell ref="F444:J446"/>
    <mergeCell ref="C447:E449"/>
    <mergeCell ref="F447:J449"/>
    <mergeCell ref="C450:E452"/>
    <mergeCell ref="F450:J452"/>
    <mergeCell ref="C439:E439"/>
    <mergeCell ref="F439:J439"/>
    <mergeCell ref="C440:E442"/>
    <mergeCell ref="F440:J442"/>
    <mergeCell ref="C443:E443"/>
    <mergeCell ref="F443:J443"/>
    <mergeCell ref="C427:E429"/>
    <mergeCell ref="F427:J429"/>
    <mergeCell ref="C430:E432"/>
    <mergeCell ref="F430:J432"/>
    <mergeCell ref="C438:J438"/>
    <mergeCell ref="C418:E420"/>
    <mergeCell ref="F418:J420"/>
    <mergeCell ref="C421:E423"/>
    <mergeCell ref="F421:J423"/>
    <mergeCell ref="C424:E426"/>
    <mergeCell ref="F424:J426"/>
    <mergeCell ref="C413:E413"/>
    <mergeCell ref="F413:J413"/>
    <mergeCell ref="C414:E416"/>
    <mergeCell ref="F414:J416"/>
    <mergeCell ref="C417:E417"/>
    <mergeCell ref="F417:J417"/>
    <mergeCell ref="C404:E406"/>
    <mergeCell ref="F404:J406"/>
    <mergeCell ref="C407:E409"/>
    <mergeCell ref="F407:J409"/>
    <mergeCell ref="W368:AE368"/>
    <mergeCell ref="C412:J412"/>
    <mergeCell ref="C395:E397"/>
    <mergeCell ref="F395:J397"/>
    <mergeCell ref="C398:E400"/>
    <mergeCell ref="F398:J400"/>
    <mergeCell ref="C401:E403"/>
    <mergeCell ref="F401:J403"/>
    <mergeCell ref="C390:E390"/>
    <mergeCell ref="F390:J390"/>
    <mergeCell ref="C391:E393"/>
    <mergeCell ref="F391:J393"/>
    <mergeCell ref="C394:E394"/>
    <mergeCell ref="F394:J394"/>
    <mergeCell ref="C381:E383"/>
    <mergeCell ref="F381:J383"/>
    <mergeCell ref="C384:E386"/>
    <mergeCell ref="F384:J386"/>
    <mergeCell ref="C389:J389"/>
    <mergeCell ref="C372:E374"/>
    <mergeCell ref="F372:J374"/>
    <mergeCell ref="C375:E377"/>
    <mergeCell ref="F375:J377"/>
    <mergeCell ref="C378:E380"/>
    <mergeCell ref="F378:J380"/>
    <mergeCell ref="C367:E367"/>
    <mergeCell ref="F367:J367"/>
    <mergeCell ref="C368:E370"/>
    <mergeCell ref="F368:J370"/>
    <mergeCell ref="C371:E371"/>
    <mergeCell ref="F371:J371"/>
    <mergeCell ref="C358:E360"/>
    <mergeCell ref="F358:J360"/>
    <mergeCell ref="C361:E363"/>
    <mergeCell ref="F361:J363"/>
    <mergeCell ref="W322:AE322"/>
    <mergeCell ref="C366:J366"/>
    <mergeCell ref="C349:E351"/>
    <mergeCell ref="F349:J351"/>
    <mergeCell ref="C352:E354"/>
    <mergeCell ref="F352:J354"/>
    <mergeCell ref="C355:E357"/>
    <mergeCell ref="F355:J357"/>
    <mergeCell ref="C344:E344"/>
    <mergeCell ref="F344:J344"/>
    <mergeCell ref="C345:E347"/>
    <mergeCell ref="F345:J347"/>
    <mergeCell ref="C348:E348"/>
    <mergeCell ref="F348:J348"/>
    <mergeCell ref="C335:E337"/>
    <mergeCell ref="F335:J337"/>
    <mergeCell ref="C338:E340"/>
    <mergeCell ref="F338:J340"/>
    <mergeCell ref="C343:J343"/>
    <mergeCell ref="C326:E328"/>
    <mergeCell ref="F326:J328"/>
    <mergeCell ref="C329:E331"/>
    <mergeCell ref="F329:J331"/>
    <mergeCell ref="C332:E334"/>
    <mergeCell ref="F332:J334"/>
    <mergeCell ref="C321:E321"/>
    <mergeCell ref="F321:J321"/>
    <mergeCell ref="C322:E324"/>
    <mergeCell ref="F322:J324"/>
    <mergeCell ref="C325:E325"/>
    <mergeCell ref="F325:J325"/>
    <mergeCell ref="C312:E314"/>
    <mergeCell ref="F312:J314"/>
    <mergeCell ref="C315:E317"/>
    <mergeCell ref="F315:J317"/>
    <mergeCell ref="C320:J320"/>
    <mergeCell ref="C303:E305"/>
    <mergeCell ref="F303:J305"/>
    <mergeCell ref="C306:E308"/>
    <mergeCell ref="F306:J308"/>
    <mergeCell ref="C309:E311"/>
    <mergeCell ref="F309:J311"/>
    <mergeCell ref="C298:E298"/>
    <mergeCell ref="F298:J298"/>
    <mergeCell ref="C299:E301"/>
    <mergeCell ref="F299:J301"/>
    <mergeCell ref="C302:E302"/>
    <mergeCell ref="F302:J302"/>
    <mergeCell ref="C286:E288"/>
    <mergeCell ref="F286:J288"/>
    <mergeCell ref="C289:E291"/>
    <mergeCell ref="F289:J291"/>
    <mergeCell ref="C297:J297"/>
    <mergeCell ref="F226:J226"/>
    <mergeCell ref="C227:E229"/>
    <mergeCell ref="F227:J229"/>
    <mergeCell ref="C230:E230"/>
    <mergeCell ref="F230:J230"/>
    <mergeCell ref="C213:E215"/>
    <mergeCell ref="C277:E279"/>
    <mergeCell ref="F277:J279"/>
    <mergeCell ref="C280:E282"/>
    <mergeCell ref="F280:J282"/>
    <mergeCell ref="C283:E285"/>
    <mergeCell ref="F283:J285"/>
    <mergeCell ref="C272:E272"/>
    <mergeCell ref="F272:J272"/>
    <mergeCell ref="C273:E275"/>
    <mergeCell ref="F273:J275"/>
    <mergeCell ref="C276:E276"/>
    <mergeCell ref="F276:J276"/>
    <mergeCell ref="C263:E265"/>
    <mergeCell ref="F263:J265"/>
    <mergeCell ref="C266:E268"/>
    <mergeCell ref="F266:J268"/>
    <mergeCell ref="C271:J271"/>
    <mergeCell ref="C189:E191"/>
    <mergeCell ref="F189:J191"/>
    <mergeCell ref="C192:E194"/>
    <mergeCell ref="F192:J194"/>
    <mergeCell ref="C198:J198"/>
    <mergeCell ref="C180:E182"/>
    <mergeCell ref="C254:E256"/>
    <mergeCell ref="F254:J256"/>
    <mergeCell ref="C257:E259"/>
    <mergeCell ref="F257:J259"/>
    <mergeCell ref="C260:E262"/>
    <mergeCell ref="F260:J262"/>
    <mergeCell ref="C249:E249"/>
    <mergeCell ref="F249:J249"/>
    <mergeCell ref="C250:E252"/>
    <mergeCell ref="F250:J252"/>
    <mergeCell ref="C253:E253"/>
    <mergeCell ref="F253:J253"/>
    <mergeCell ref="C240:E242"/>
    <mergeCell ref="F240:J242"/>
    <mergeCell ref="C243:E245"/>
    <mergeCell ref="F243:J245"/>
    <mergeCell ref="C186:E188"/>
    <mergeCell ref="F186:J188"/>
    <mergeCell ref="C248:J248"/>
    <mergeCell ref="C231:E233"/>
    <mergeCell ref="F231:J233"/>
    <mergeCell ref="C234:E236"/>
    <mergeCell ref="F234:J236"/>
    <mergeCell ref="C237:E239"/>
    <mergeCell ref="F237:J239"/>
    <mergeCell ref="C226:E226"/>
    <mergeCell ref="F175:J175"/>
    <mergeCell ref="C176:E178"/>
    <mergeCell ref="F176:J178"/>
    <mergeCell ref="C174:J174"/>
    <mergeCell ref="C157:E159"/>
    <mergeCell ref="F157:J159"/>
    <mergeCell ref="F213:J215"/>
    <mergeCell ref="C216:E218"/>
    <mergeCell ref="F216:J218"/>
    <mergeCell ref="C179:E179"/>
    <mergeCell ref="F179:J179"/>
    <mergeCell ref="C166:E168"/>
    <mergeCell ref="F166:J168"/>
    <mergeCell ref="C169:E171"/>
    <mergeCell ref="F169:J171"/>
    <mergeCell ref="C225:J225"/>
    <mergeCell ref="C204:E206"/>
    <mergeCell ref="F204:J206"/>
    <mergeCell ref="C207:E209"/>
    <mergeCell ref="F207:J209"/>
    <mergeCell ref="C210:E212"/>
    <mergeCell ref="F210:J212"/>
    <mergeCell ref="C160:E162"/>
    <mergeCell ref="F160:J162"/>
    <mergeCell ref="C163:E165"/>
    <mergeCell ref="F163:J165"/>
    <mergeCell ref="C199:E199"/>
    <mergeCell ref="F199:J199"/>
    <mergeCell ref="C200:E202"/>
    <mergeCell ref="F200:J202"/>
    <mergeCell ref="C203:E203"/>
    <mergeCell ref="F203:J203"/>
    <mergeCell ref="F110:J110"/>
    <mergeCell ref="C84:E86"/>
    <mergeCell ref="F84:J86"/>
    <mergeCell ref="C94:E96"/>
    <mergeCell ref="F94:J96"/>
    <mergeCell ref="C97:E99"/>
    <mergeCell ref="F97:J99"/>
    <mergeCell ref="C100:E102"/>
    <mergeCell ref="F100:J102"/>
    <mergeCell ref="C87:E87"/>
    <mergeCell ref="F87:J87"/>
    <mergeCell ref="C88:E90"/>
    <mergeCell ref="F88:J90"/>
    <mergeCell ref="C91:E93"/>
    <mergeCell ref="F91:J93"/>
    <mergeCell ref="F180:J182"/>
    <mergeCell ref="C183:E185"/>
    <mergeCell ref="F183:J185"/>
    <mergeCell ref="C156:E156"/>
    <mergeCell ref="F156:J156"/>
    <mergeCell ref="C143:E145"/>
    <mergeCell ref="F143:J145"/>
    <mergeCell ref="C146:E148"/>
    <mergeCell ref="F146:J148"/>
    <mergeCell ref="C151:J151"/>
    <mergeCell ref="C134:E136"/>
    <mergeCell ref="F134:J136"/>
    <mergeCell ref="C137:E139"/>
    <mergeCell ref="F137:J139"/>
    <mergeCell ref="C140:E142"/>
    <mergeCell ref="F140:J142"/>
    <mergeCell ref="C175:E175"/>
    <mergeCell ref="C2027:E2029"/>
    <mergeCell ref="F2027:J2029"/>
    <mergeCell ref="C2050:E2052"/>
    <mergeCell ref="F2050:J2052"/>
    <mergeCell ref="C2053:E2055"/>
    <mergeCell ref="F2053:J2055"/>
    <mergeCell ref="C2058:J2058"/>
    <mergeCell ref="F1841:J1843"/>
    <mergeCell ref="C1844:E1846"/>
    <mergeCell ref="F1844:J1846"/>
    <mergeCell ref="C82:J82"/>
    <mergeCell ref="F64:J64"/>
    <mergeCell ref="C65:E67"/>
    <mergeCell ref="F65:J67"/>
    <mergeCell ref="C68:E70"/>
    <mergeCell ref="F68:J70"/>
    <mergeCell ref="C71:E73"/>
    <mergeCell ref="F71:J73"/>
    <mergeCell ref="C129:E129"/>
    <mergeCell ref="F129:J129"/>
    <mergeCell ref="C130:E132"/>
    <mergeCell ref="F130:J132"/>
    <mergeCell ref="C133:E133"/>
    <mergeCell ref="F133:J133"/>
    <mergeCell ref="C152:E152"/>
    <mergeCell ref="F152:J152"/>
    <mergeCell ref="C153:E155"/>
    <mergeCell ref="F153:J155"/>
    <mergeCell ref="C64:E64"/>
    <mergeCell ref="F1878:J1880"/>
    <mergeCell ref="C1881:E1883"/>
    <mergeCell ref="F1881:J1883"/>
    <mergeCell ref="C2251:C2252"/>
    <mergeCell ref="D2725:F2725"/>
    <mergeCell ref="G2725:K2725"/>
    <mergeCell ref="D2726:F2728"/>
    <mergeCell ref="G2726:K2728"/>
    <mergeCell ref="D2729:F2729"/>
    <mergeCell ref="G2729:K2729"/>
    <mergeCell ref="D2730:F2732"/>
    <mergeCell ref="G2730:K2732"/>
    <mergeCell ref="D2733:F2735"/>
    <mergeCell ref="G2733:K2735"/>
    <mergeCell ref="F2490:J2492"/>
    <mergeCell ref="C2493:E2493"/>
    <mergeCell ref="F2493:J2493"/>
    <mergeCell ref="C2413:C2427"/>
    <mergeCell ref="D2413:D2414"/>
    <mergeCell ref="D2415:D2417"/>
    <mergeCell ref="D2418:D2419"/>
    <mergeCell ref="D2420:D2421"/>
    <mergeCell ref="D2422:D2424"/>
    <mergeCell ref="D2425:D2427"/>
    <mergeCell ref="C2462:C2481"/>
    <mergeCell ref="D2462:D2464"/>
    <mergeCell ref="C2279:C2280"/>
    <mergeCell ref="C2281:C2282"/>
    <mergeCell ref="C2283:C2284"/>
    <mergeCell ref="C2575:E2577"/>
    <mergeCell ref="F2575:J2577"/>
    <mergeCell ref="F2523:J2525"/>
    <mergeCell ref="C2580:J2580"/>
    <mergeCell ref="C2581:E2581"/>
    <mergeCell ref="F2581:J2581"/>
    <mergeCell ref="D2742:F2744"/>
    <mergeCell ref="G2742:K2744"/>
    <mergeCell ref="D2465:D2466"/>
    <mergeCell ref="D2467:D2469"/>
    <mergeCell ref="D2470:D2471"/>
    <mergeCell ref="D2472:D2473"/>
    <mergeCell ref="D2474:D2475"/>
    <mergeCell ref="D2476:D2478"/>
    <mergeCell ref="D2479:D2481"/>
    <mergeCell ref="C2543:E2545"/>
    <mergeCell ref="F2543:J2545"/>
    <mergeCell ref="C2529:E2531"/>
    <mergeCell ref="F2529:J2531"/>
    <mergeCell ref="C2534:J2534"/>
    <mergeCell ref="C2535:E2535"/>
    <mergeCell ref="F2535:J2535"/>
    <mergeCell ref="C2536:E2538"/>
    <mergeCell ref="F2536:J2538"/>
    <mergeCell ref="C2500:E2502"/>
    <mergeCell ref="F2500:J2502"/>
    <mergeCell ref="C2488:J2488"/>
    <mergeCell ref="C2489:E2489"/>
    <mergeCell ref="F2489:J2489"/>
    <mergeCell ref="C2490:E2492"/>
    <mergeCell ref="G2650:K2652"/>
    <mergeCell ref="D2696:F2698"/>
    <mergeCell ref="G2696:K2698"/>
    <mergeCell ref="D2656:F2656"/>
    <mergeCell ref="F2595:J2597"/>
    <mergeCell ref="C2598:E2600"/>
    <mergeCell ref="F2598:J2600"/>
    <mergeCell ref="D2632:K2632"/>
    <mergeCell ref="D2931:K2931"/>
    <mergeCell ref="D2932:F2932"/>
    <mergeCell ref="G2932:K2932"/>
    <mergeCell ref="D2933:F2935"/>
    <mergeCell ref="G2933:K2935"/>
    <mergeCell ref="D2936:F2936"/>
    <mergeCell ref="G2936:K2936"/>
    <mergeCell ref="D2937:F2939"/>
    <mergeCell ref="G2937:K2939"/>
    <mergeCell ref="D2940:F2942"/>
    <mergeCell ref="G2940:K2942"/>
    <mergeCell ref="D2943:F2945"/>
    <mergeCell ref="G2943:K2945"/>
    <mergeCell ref="D2946:F2948"/>
    <mergeCell ref="G2946:K2948"/>
    <mergeCell ref="D2949:F2951"/>
    <mergeCell ref="G2949:K2951"/>
    <mergeCell ref="D2954:K2954"/>
    <mergeCell ref="D2955:F2955"/>
    <mergeCell ref="G2955:K2955"/>
    <mergeCell ref="D2956:F2958"/>
    <mergeCell ref="G2956:K2958"/>
    <mergeCell ref="D2959:F2959"/>
    <mergeCell ref="G2959:K2959"/>
    <mergeCell ref="D2960:F2962"/>
    <mergeCell ref="G2960:K2962"/>
    <mergeCell ref="D2963:F2965"/>
    <mergeCell ref="G2963:K2965"/>
    <mergeCell ref="D2966:F2968"/>
    <mergeCell ref="G2966:K2968"/>
    <mergeCell ref="D2969:F2971"/>
    <mergeCell ref="G2969:K2971"/>
    <mergeCell ref="D2972:F2974"/>
    <mergeCell ref="G2972:K2974"/>
    <mergeCell ref="D3029:F3031"/>
    <mergeCell ref="G3029:K3031"/>
    <mergeCell ref="D3032:F3034"/>
    <mergeCell ref="G3032:K3034"/>
    <mergeCell ref="D3035:F3037"/>
    <mergeCell ref="G3035:K3037"/>
    <mergeCell ref="G2982:K2982"/>
    <mergeCell ref="D2983:F2985"/>
    <mergeCell ref="G2983:K2985"/>
    <mergeCell ref="D2986:F2988"/>
    <mergeCell ref="G2986:K2988"/>
    <mergeCell ref="D2989:F2991"/>
    <mergeCell ref="G2989:K2991"/>
    <mergeCell ref="D2992:F2994"/>
    <mergeCell ref="G2992:K2994"/>
    <mergeCell ref="D2995:F2997"/>
    <mergeCell ref="G2995:K2997"/>
    <mergeCell ref="C1872:J1872"/>
    <mergeCell ref="C1873:E1873"/>
    <mergeCell ref="F1873:J1873"/>
    <mergeCell ref="C1874:E1876"/>
    <mergeCell ref="F1874:J1876"/>
    <mergeCell ref="C1877:E1877"/>
    <mergeCell ref="F1877:J1877"/>
    <mergeCell ref="C1878:E1880"/>
    <mergeCell ref="D2977:K2977"/>
    <mergeCell ref="D2978:F2978"/>
    <mergeCell ref="G2978:K2978"/>
    <mergeCell ref="D2979:F2981"/>
    <mergeCell ref="G2979:K2981"/>
    <mergeCell ref="D2982:F2982"/>
    <mergeCell ref="D3048:F3050"/>
    <mergeCell ref="G3048:K3050"/>
    <mergeCell ref="D3051:F3051"/>
    <mergeCell ref="G3051:K3051"/>
    <mergeCell ref="D3000:K3000"/>
    <mergeCell ref="D3001:F3001"/>
    <mergeCell ref="G3001:K3001"/>
    <mergeCell ref="D3002:F3004"/>
    <mergeCell ref="G3002:K3004"/>
    <mergeCell ref="D3005:F3005"/>
    <mergeCell ref="G3005:K3005"/>
    <mergeCell ref="D3006:F3008"/>
    <mergeCell ref="G3006:K3008"/>
    <mergeCell ref="D3009:F3011"/>
    <mergeCell ref="G3009:K3011"/>
    <mergeCell ref="D3012:F3014"/>
    <mergeCell ref="G3012:K3014"/>
    <mergeCell ref="D3015:F3017"/>
    <mergeCell ref="C1849:J1849"/>
    <mergeCell ref="C1850:E1850"/>
    <mergeCell ref="F1850:J1850"/>
    <mergeCell ref="C1851:E1853"/>
    <mergeCell ref="F1851:J1853"/>
    <mergeCell ref="C1854:E1854"/>
    <mergeCell ref="F1854:J1854"/>
    <mergeCell ref="C1855:E1857"/>
    <mergeCell ref="F1855:J1857"/>
    <mergeCell ref="C1858:E1860"/>
    <mergeCell ref="F1858:J1860"/>
    <mergeCell ref="C1861:E1863"/>
    <mergeCell ref="F1861:J1863"/>
    <mergeCell ref="C1864:E1866"/>
    <mergeCell ref="F1864:J1866"/>
    <mergeCell ref="C1867:E1869"/>
    <mergeCell ref="F1867:J1869"/>
    <mergeCell ref="C1887:E1889"/>
    <mergeCell ref="F1887:J1889"/>
    <mergeCell ref="C1890:E1892"/>
    <mergeCell ref="F1890:J1892"/>
    <mergeCell ref="G3075:K3077"/>
    <mergeCell ref="D3078:F3080"/>
    <mergeCell ref="G3078:K3080"/>
    <mergeCell ref="D3081:F3083"/>
    <mergeCell ref="G3081:K3083"/>
    <mergeCell ref="C1895:J1895"/>
    <mergeCell ref="C1896:E1896"/>
    <mergeCell ref="F1896:J1896"/>
    <mergeCell ref="C1897:E1899"/>
    <mergeCell ref="F1897:J1899"/>
    <mergeCell ref="C1900:E1900"/>
    <mergeCell ref="F1900:J1900"/>
    <mergeCell ref="C1901:E1903"/>
    <mergeCell ref="F1901:J1903"/>
    <mergeCell ref="C1904:E1906"/>
    <mergeCell ref="F1904:J1906"/>
    <mergeCell ref="C1907:E1909"/>
    <mergeCell ref="F1907:J1909"/>
    <mergeCell ref="C1910:E1912"/>
    <mergeCell ref="F1910:J1912"/>
    <mergeCell ref="C1913:E1915"/>
    <mergeCell ref="F1913:J1915"/>
    <mergeCell ref="G3055:K3057"/>
    <mergeCell ref="D3058:F3060"/>
    <mergeCell ref="G3058:K3060"/>
    <mergeCell ref="D3061:F3063"/>
    <mergeCell ref="G3061:K3063"/>
    <mergeCell ref="D3064:F3066"/>
    <mergeCell ref="C1918:J1918"/>
    <mergeCell ref="C1919:E1919"/>
    <mergeCell ref="F1919:J1919"/>
    <mergeCell ref="C1920:E1922"/>
    <mergeCell ref="F1920:J1922"/>
    <mergeCell ref="C1923:E1923"/>
    <mergeCell ref="F1923:J1923"/>
    <mergeCell ref="C1924:E1926"/>
    <mergeCell ref="F1924:J1926"/>
    <mergeCell ref="C1927:E1929"/>
    <mergeCell ref="F1927:J1929"/>
    <mergeCell ref="C1930:E1932"/>
    <mergeCell ref="F1930:J1932"/>
    <mergeCell ref="C1933:E1935"/>
    <mergeCell ref="F1933:J1935"/>
    <mergeCell ref="C1936:E1938"/>
    <mergeCell ref="F1936:J1938"/>
    <mergeCell ref="G3130:K3132"/>
    <mergeCell ref="D3092:K3092"/>
    <mergeCell ref="D3093:F3093"/>
    <mergeCell ref="G3093:K3093"/>
    <mergeCell ref="D3094:F3096"/>
    <mergeCell ref="G3094:K3096"/>
    <mergeCell ref="D3097:F3097"/>
    <mergeCell ref="G3097:K3097"/>
    <mergeCell ref="D3098:F3100"/>
    <mergeCell ref="G3098:K3100"/>
    <mergeCell ref="D3101:F3103"/>
    <mergeCell ref="G3101:K3103"/>
    <mergeCell ref="D3104:F3106"/>
    <mergeCell ref="G3104:K3106"/>
    <mergeCell ref="D3107:F3109"/>
    <mergeCell ref="G3107:K3109"/>
    <mergeCell ref="G3064:K3066"/>
    <mergeCell ref="C2582:E2584"/>
    <mergeCell ref="F2582:J2584"/>
    <mergeCell ref="C2585:E2585"/>
    <mergeCell ref="F2585:J2585"/>
    <mergeCell ref="C2586:E2588"/>
    <mergeCell ref="F2586:J2588"/>
    <mergeCell ref="C2589:E2591"/>
    <mergeCell ref="F2589:J2591"/>
    <mergeCell ref="C2592:E2594"/>
    <mergeCell ref="F2592:J2594"/>
    <mergeCell ref="C2595:E2597"/>
    <mergeCell ref="D3115:K3115"/>
    <mergeCell ref="D3116:F3116"/>
    <mergeCell ref="G3116:K3116"/>
    <mergeCell ref="D3023:K3023"/>
    <mergeCell ref="D3024:F3024"/>
    <mergeCell ref="G3024:K3024"/>
    <mergeCell ref="D3038:F3040"/>
    <mergeCell ref="G3038:K3040"/>
    <mergeCell ref="D3041:F3043"/>
    <mergeCell ref="G3041:K3043"/>
    <mergeCell ref="D3046:K3046"/>
    <mergeCell ref="D3047:F3047"/>
    <mergeCell ref="G3047:K3047"/>
    <mergeCell ref="D3052:F3054"/>
    <mergeCell ref="G3015:K3017"/>
    <mergeCell ref="D3018:F3020"/>
    <mergeCell ref="G3018:K3020"/>
    <mergeCell ref="D3025:F3027"/>
    <mergeCell ref="G3025:K3027"/>
    <mergeCell ref="D3028:F3028"/>
    <mergeCell ref="G3028:K3028"/>
    <mergeCell ref="D3138:K3138"/>
    <mergeCell ref="G3052:K3054"/>
    <mergeCell ref="D3055:F3057"/>
    <mergeCell ref="G3084:K3086"/>
    <mergeCell ref="D3087:F3089"/>
    <mergeCell ref="G3087:K3089"/>
    <mergeCell ref="D3110:F3112"/>
    <mergeCell ref="G3110:K3112"/>
    <mergeCell ref="D3069:K3069"/>
    <mergeCell ref="D3070:F3070"/>
    <mergeCell ref="G3070:K3070"/>
    <mergeCell ref="D3071:F3073"/>
    <mergeCell ref="G3071:K3073"/>
    <mergeCell ref="D3074:F3074"/>
    <mergeCell ref="G3074:K3074"/>
    <mergeCell ref="D3075:F3077"/>
    <mergeCell ref="D3139:F3139"/>
    <mergeCell ref="G3139:K3139"/>
    <mergeCell ref="D3084:F3086"/>
    <mergeCell ref="D3133:F3135"/>
    <mergeCell ref="G3133:K3135"/>
    <mergeCell ref="D3117:F3119"/>
    <mergeCell ref="G3117:K3119"/>
    <mergeCell ref="D3120:F3120"/>
    <mergeCell ref="G3120:K3120"/>
    <mergeCell ref="D3121:F3123"/>
    <mergeCell ref="G3121:K3123"/>
    <mergeCell ref="D3124:F3126"/>
    <mergeCell ref="G3124:K3126"/>
    <mergeCell ref="D3127:F3129"/>
    <mergeCell ref="G3127:K3129"/>
    <mergeCell ref="D3130:F3132"/>
    <mergeCell ref="G3179:K3181"/>
    <mergeCell ref="D3184:K3184"/>
    <mergeCell ref="D3185:F3185"/>
    <mergeCell ref="G3185:K3185"/>
    <mergeCell ref="D3140:F3142"/>
    <mergeCell ref="G3140:K3142"/>
    <mergeCell ref="D3143:F3143"/>
    <mergeCell ref="G3143:K3143"/>
    <mergeCell ref="D3144:F3146"/>
    <mergeCell ref="G3144:K3146"/>
    <mergeCell ref="D3147:F3149"/>
    <mergeCell ref="G3147:K3149"/>
    <mergeCell ref="D3150:F3152"/>
    <mergeCell ref="G3150:K3152"/>
    <mergeCell ref="D3153:F3155"/>
    <mergeCell ref="G3153:K3155"/>
    <mergeCell ref="D3156:F3158"/>
    <mergeCell ref="G3156:K3158"/>
    <mergeCell ref="D3161:K3161"/>
    <mergeCell ref="D3162:F3162"/>
    <mergeCell ref="G3162:K3162"/>
    <mergeCell ref="D3254:K3254"/>
    <mergeCell ref="D3255:F3255"/>
    <mergeCell ref="G3255:K3255"/>
    <mergeCell ref="D3186:F3188"/>
    <mergeCell ref="G3186:K3188"/>
    <mergeCell ref="D3189:F3189"/>
    <mergeCell ref="G3189:K3189"/>
    <mergeCell ref="D3190:F3192"/>
    <mergeCell ref="G3190:K3192"/>
    <mergeCell ref="D3193:F3195"/>
    <mergeCell ref="G3193:K3195"/>
    <mergeCell ref="D3196:F3198"/>
    <mergeCell ref="G3196:K3198"/>
    <mergeCell ref="D3199:F3201"/>
    <mergeCell ref="G3199:K3201"/>
    <mergeCell ref="D3202:F3204"/>
    <mergeCell ref="G3202:K3204"/>
    <mergeCell ref="G3246:K3248"/>
    <mergeCell ref="D3249:F3251"/>
    <mergeCell ref="G3249:K3251"/>
    <mergeCell ref="D3207:K3207"/>
    <mergeCell ref="D3208:F3208"/>
    <mergeCell ref="G3208:K3208"/>
    <mergeCell ref="D3209:F3211"/>
    <mergeCell ref="G3209:K3211"/>
    <mergeCell ref="D3212:F3212"/>
    <mergeCell ref="G3212:K3212"/>
    <mergeCell ref="D3213:F3215"/>
    <mergeCell ref="G3213:K3215"/>
    <mergeCell ref="D3216:F3218"/>
    <mergeCell ref="G3216:K3218"/>
    <mergeCell ref="D3219:F3221"/>
    <mergeCell ref="D3309:F3311"/>
    <mergeCell ref="G3309:K3311"/>
    <mergeCell ref="D3312:F3314"/>
    <mergeCell ref="G3312:K3314"/>
    <mergeCell ref="D3315:F3317"/>
    <mergeCell ref="G3315:K3317"/>
    <mergeCell ref="D3318:F3320"/>
    <mergeCell ref="G3318:K3320"/>
    <mergeCell ref="D3277:K3277"/>
    <mergeCell ref="D3278:F3278"/>
    <mergeCell ref="G3278:K3278"/>
    <mergeCell ref="D3279:F3281"/>
    <mergeCell ref="G3279:K3281"/>
    <mergeCell ref="D3282:F3282"/>
    <mergeCell ref="G3282:K3282"/>
    <mergeCell ref="D3283:F3285"/>
    <mergeCell ref="G3283:K3285"/>
    <mergeCell ref="D3286:F3288"/>
    <mergeCell ref="G3286:K3288"/>
    <mergeCell ref="D3289:F3291"/>
    <mergeCell ref="G3289:K3291"/>
    <mergeCell ref="D3292:F3294"/>
    <mergeCell ref="G3292:K3294"/>
    <mergeCell ref="D3295:F3297"/>
    <mergeCell ref="G3295:K3297"/>
    <mergeCell ref="D3305:F3305"/>
    <mergeCell ref="G3305:K3305"/>
    <mergeCell ref="D3256:F3258"/>
    <mergeCell ref="G3256:K3258"/>
    <mergeCell ref="D3259:F3259"/>
    <mergeCell ref="G3259:K3259"/>
    <mergeCell ref="D3260:F3262"/>
    <mergeCell ref="G3260:K3262"/>
    <mergeCell ref="D3263:F3265"/>
    <mergeCell ref="G3263:K3265"/>
    <mergeCell ref="D3266:F3268"/>
    <mergeCell ref="G3266:K3268"/>
    <mergeCell ref="D3269:F3271"/>
    <mergeCell ref="D3306:F3308"/>
    <mergeCell ref="G3306:K3308"/>
    <mergeCell ref="G3269:K3271"/>
    <mergeCell ref="D3272:F3274"/>
    <mergeCell ref="G3272:K3274"/>
    <mergeCell ref="D2678:K2678"/>
    <mergeCell ref="D2701:K2701"/>
    <mergeCell ref="D2724:K2724"/>
    <mergeCell ref="D2747:K2747"/>
    <mergeCell ref="D2770:K2770"/>
    <mergeCell ref="D2793:K2793"/>
    <mergeCell ref="D2816:K2816"/>
    <mergeCell ref="D2839:K2839"/>
    <mergeCell ref="D2862:K2862"/>
    <mergeCell ref="D2885:K2885"/>
    <mergeCell ref="D2908:K2908"/>
    <mergeCell ref="D3300:K3300"/>
    <mergeCell ref="D3301:F3301"/>
    <mergeCell ref="G3301:K3301"/>
    <mergeCell ref="D3302:F3304"/>
    <mergeCell ref="G3302:K3304"/>
    <mergeCell ref="D3233:F3235"/>
    <mergeCell ref="G3233:K3235"/>
    <mergeCell ref="D3236:F3236"/>
    <mergeCell ref="G3236:K3236"/>
    <mergeCell ref="D3237:F3239"/>
    <mergeCell ref="G3237:K3239"/>
    <mergeCell ref="D3240:F3242"/>
    <mergeCell ref="G3240:K3242"/>
    <mergeCell ref="D3243:F3245"/>
    <mergeCell ref="G3243:K3245"/>
    <mergeCell ref="D3246:F3248"/>
    <mergeCell ref="C39:K39"/>
    <mergeCell ref="BA39:BI39"/>
    <mergeCell ref="AQ39:AY39"/>
    <mergeCell ref="AG39:AO39"/>
    <mergeCell ref="W39:AE39"/>
    <mergeCell ref="M39:U39"/>
    <mergeCell ref="W61:AE61"/>
    <mergeCell ref="W84:AE84"/>
    <mergeCell ref="W107:AE107"/>
    <mergeCell ref="W130:AE130"/>
    <mergeCell ref="W153:AE153"/>
    <mergeCell ref="W176:AE176"/>
    <mergeCell ref="W200:AE200"/>
    <mergeCell ref="W227:AE227"/>
    <mergeCell ref="W250:AE250"/>
    <mergeCell ref="W273:AE273"/>
    <mergeCell ref="W299:AE299"/>
    <mergeCell ref="C59:J59"/>
    <mergeCell ref="D3225:F3227"/>
    <mergeCell ref="G3225:K3227"/>
    <mergeCell ref="G3219:K3221"/>
    <mergeCell ref="W1274:AE1274"/>
    <mergeCell ref="W1297:AE1297"/>
    <mergeCell ref="W826:AE826"/>
    <mergeCell ref="W849:AE849"/>
    <mergeCell ref="W895:AE895"/>
    <mergeCell ref="W918:AE918"/>
    <mergeCell ref="W941:AE941"/>
    <mergeCell ref="W964:AE964"/>
    <mergeCell ref="W987:AE987"/>
    <mergeCell ref="W1010:AE1010"/>
    <mergeCell ref="W1035:AE1035"/>
    <mergeCell ref="W1058:AE1058"/>
    <mergeCell ref="W1083:AE1083"/>
    <mergeCell ref="W1181:AE1181"/>
    <mergeCell ref="D3231:K3231"/>
    <mergeCell ref="D3232:F3232"/>
    <mergeCell ref="G3232:K3232"/>
    <mergeCell ref="D3222:F3224"/>
    <mergeCell ref="G3222:K3224"/>
    <mergeCell ref="D3163:F3165"/>
    <mergeCell ref="G3163:K3165"/>
    <mergeCell ref="D3166:F3166"/>
    <mergeCell ref="G3166:K3166"/>
    <mergeCell ref="D3167:F3169"/>
    <mergeCell ref="G3167:K3169"/>
    <mergeCell ref="D3170:F3172"/>
    <mergeCell ref="G3170:K3172"/>
    <mergeCell ref="D3173:F3175"/>
    <mergeCell ref="G3173:K3175"/>
    <mergeCell ref="D3176:F3178"/>
    <mergeCell ref="G3176:K3178"/>
    <mergeCell ref="D3179:F3181"/>
    <mergeCell ref="AG1205:AO1205"/>
    <mergeCell ref="W1205:AE1205"/>
    <mergeCell ref="AG1228:AO1228"/>
    <mergeCell ref="W1228:AE1228"/>
    <mergeCell ref="W1251:AE1251"/>
    <mergeCell ref="C60:E60"/>
    <mergeCell ref="F60:J60"/>
    <mergeCell ref="C61:E63"/>
    <mergeCell ref="F61:J63"/>
    <mergeCell ref="C83:E83"/>
    <mergeCell ref="F83:J83"/>
    <mergeCell ref="C74:E76"/>
    <mergeCell ref="F74:J76"/>
    <mergeCell ref="C77:E79"/>
    <mergeCell ref="F77:J79"/>
    <mergeCell ref="C128:J128"/>
    <mergeCell ref="C111:E113"/>
    <mergeCell ref="F111:J113"/>
    <mergeCell ref="C114:E116"/>
    <mergeCell ref="F114:J116"/>
    <mergeCell ref="C117:E119"/>
    <mergeCell ref="F117:J119"/>
    <mergeCell ref="C120:E122"/>
    <mergeCell ref="F120:J122"/>
    <mergeCell ref="C123:E125"/>
    <mergeCell ref="F123:J125"/>
    <mergeCell ref="C105:J105"/>
    <mergeCell ref="C106:E106"/>
    <mergeCell ref="F106:J106"/>
    <mergeCell ref="C107:E109"/>
    <mergeCell ref="F107:J109"/>
    <mergeCell ref="C110:E110"/>
    <mergeCell ref="D3323:K3323"/>
    <mergeCell ref="D3324:F3324"/>
    <mergeCell ref="G3324:K3324"/>
    <mergeCell ref="D3325:F3327"/>
    <mergeCell ref="G3325:K3327"/>
    <mergeCell ref="D3328:F3328"/>
    <mergeCell ref="G3328:K3328"/>
    <mergeCell ref="D3329:F3331"/>
    <mergeCell ref="G3329:K3331"/>
    <mergeCell ref="D3332:F3334"/>
    <mergeCell ref="G3332:K3334"/>
    <mergeCell ref="D3335:F3337"/>
    <mergeCell ref="G3335:K3337"/>
    <mergeCell ref="D3338:F3340"/>
    <mergeCell ref="G3338:K3340"/>
    <mergeCell ref="D3341:F3343"/>
    <mergeCell ref="G3341:K3343"/>
  </mergeCells>
  <phoneticPr fontId="4" type="noConversion"/>
  <pageMargins left="0.7" right="0.7" top="0.75" bottom="0.75" header="0.3" footer="0.3"/>
  <pageSetup paperSize="0" orientation="portrait" r:id="rId1"/>
  <ignoredErrors>
    <ignoredError sqref="N2111" formula="1"/>
  </ignoredErrors>
  <legacyDrawing r:id="rId2"/>
  <tableParts count="4">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2E470-ED45-482B-A8A4-E67ACAA5299D}">
  <dimension ref="A1:BV137"/>
  <sheetViews>
    <sheetView zoomScale="59" zoomScaleNormal="40" workbookViewId="0">
      <pane xSplit="6" topLeftCell="G1" activePane="topRight" state="frozen"/>
      <selection pane="topRight"/>
    </sheetView>
  </sheetViews>
  <sheetFormatPr baseColWidth="10" defaultRowHeight="15.75" x14ac:dyDescent="0.25"/>
  <cols>
    <col min="1" max="2" width="11.42578125" style="29"/>
    <col min="3" max="3" width="21.28515625" style="29" customWidth="1"/>
    <col min="4" max="4" width="16.140625" style="29" bestFit="1" customWidth="1"/>
    <col min="5" max="8" width="11.42578125" style="29"/>
    <col min="9" max="9" width="14.85546875" style="29" bestFit="1" customWidth="1"/>
    <col min="10" max="10" width="52.42578125" style="29" bestFit="1" customWidth="1"/>
    <col min="11" max="11" width="36.7109375" style="29" bestFit="1" customWidth="1"/>
    <col min="12" max="12" width="24.42578125" style="29" bestFit="1" customWidth="1"/>
    <col min="13" max="13" width="18" style="29" bestFit="1" customWidth="1"/>
    <col min="14" max="14" width="31.7109375" style="29" bestFit="1" customWidth="1"/>
    <col min="15" max="15" width="14.42578125" style="29" bestFit="1" customWidth="1"/>
    <col min="16" max="16" width="17" style="29" bestFit="1" customWidth="1"/>
    <col min="17" max="17" width="12.85546875" style="29" bestFit="1" customWidth="1"/>
    <col min="18" max="18" width="11.42578125" style="29"/>
    <col min="19" max="19" width="36.7109375" style="29" bestFit="1" customWidth="1"/>
    <col min="20" max="20" width="11.5703125" style="29" bestFit="1" customWidth="1"/>
    <col min="21" max="21" width="65" style="29" bestFit="1" customWidth="1"/>
    <col min="22" max="22" width="36.7109375" style="29" bestFit="1" customWidth="1"/>
    <col min="23" max="23" width="33.5703125" style="29" bestFit="1" customWidth="1"/>
    <col min="24" max="24" width="28.7109375" style="29" bestFit="1" customWidth="1"/>
    <col min="25" max="25" width="36.7109375" style="29" bestFit="1" customWidth="1"/>
    <col min="26" max="26" width="15.5703125" style="29" customWidth="1"/>
    <col min="27" max="27" width="17.7109375" style="29" bestFit="1" customWidth="1"/>
    <col min="28" max="28" width="11.42578125" style="29"/>
    <col min="29" max="29" width="43.5703125" style="29" bestFit="1" customWidth="1"/>
    <col min="30" max="30" width="22.7109375" style="29" customWidth="1"/>
    <col min="31" max="31" width="57" style="29" bestFit="1" customWidth="1"/>
    <col min="32" max="32" width="36.7109375" style="29" bestFit="1" customWidth="1"/>
    <col min="33" max="33" width="24.7109375" style="29" bestFit="1" customWidth="1"/>
    <col min="34" max="34" width="18" style="29" bestFit="1" customWidth="1"/>
    <col min="35" max="35" width="36.7109375" style="29" bestFit="1" customWidth="1"/>
    <col min="36" max="37" width="17.28515625" style="29" bestFit="1" customWidth="1"/>
    <col min="38" max="39" width="17.28515625" style="29" customWidth="1"/>
    <col min="40" max="40" width="13" style="29" bestFit="1" customWidth="1"/>
    <col min="41" max="48" width="17.28515625" style="29" customWidth="1"/>
    <col min="49" max="49" width="11.42578125" style="29"/>
    <col min="50" max="50" width="36.7109375" style="29" bestFit="1" customWidth="1"/>
    <col min="51" max="51" width="11.5703125" style="29" bestFit="1" customWidth="1"/>
    <col min="52" max="52" width="52.42578125" style="29" bestFit="1" customWidth="1"/>
    <col min="53" max="53" width="36.7109375" style="29" bestFit="1" customWidth="1"/>
    <col min="54" max="54" width="24.7109375" style="29" bestFit="1" customWidth="1"/>
    <col min="55" max="55" width="18" style="29" bestFit="1" customWidth="1"/>
    <col min="56" max="56" width="36.7109375" style="29" bestFit="1" customWidth="1"/>
    <col min="57" max="57" width="14.42578125" style="29" bestFit="1" customWidth="1"/>
    <col min="58" max="58" width="16.28515625" style="29" bestFit="1" customWidth="1"/>
    <col min="59" max="59" width="11.42578125" style="29"/>
    <col min="60" max="60" width="36.28515625" style="29" bestFit="1" customWidth="1"/>
    <col min="61" max="61" width="11.5703125" style="29" bestFit="1" customWidth="1"/>
    <col min="62" max="62" width="52.42578125" style="29" bestFit="1" customWidth="1"/>
    <col min="63" max="63" width="36.7109375" style="29" bestFit="1" customWidth="1"/>
    <col min="64" max="64" width="24.7109375" style="29" bestFit="1" customWidth="1"/>
    <col min="65" max="65" width="18" style="29" bestFit="1" customWidth="1"/>
    <col min="66" max="66" width="36.7109375" style="29" bestFit="1" customWidth="1"/>
    <col min="67" max="67" width="14.42578125" style="29" bestFit="1" customWidth="1"/>
    <col min="68" max="68" width="17.5703125" style="29" bestFit="1" customWidth="1"/>
    <col min="69" max="70" width="11.42578125" style="29"/>
    <col min="71" max="71" width="17.28515625" style="29" bestFit="1" customWidth="1"/>
    <col min="72" max="72" width="14.7109375" style="29" bestFit="1" customWidth="1"/>
    <col min="73" max="16384" width="11.42578125" style="29"/>
  </cols>
  <sheetData>
    <row r="1" spans="2:74" ht="15.75" customHeight="1" x14ac:dyDescent="0.25">
      <c r="AI1" s="30"/>
      <c r="AJ1" s="288"/>
    </row>
    <row r="2" spans="2:74" ht="15.75" customHeight="1" x14ac:dyDescent="0.25">
      <c r="AI2" s="30"/>
      <c r="AJ2" s="288"/>
    </row>
    <row r="3" spans="2:74" x14ac:dyDescent="0.25">
      <c r="AI3" s="30"/>
      <c r="AJ3" s="288"/>
    </row>
    <row r="6" spans="2:74" x14ac:dyDescent="0.25">
      <c r="K6" s="1083" t="s">
        <v>1947</v>
      </c>
      <c r="L6" s="1083"/>
      <c r="N6" s="1075" t="s">
        <v>1948</v>
      </c>
      <c r="O6" s="1075"/>
      <c r="S6" s="1083" t="s">
        <v>1947</v>
      </c>
      <c r="T6" s="1083"/>
      <c r="V6" s="1075" t="s">
        <v>2354</v>
      </c>
      <c r="W6" s="1075"/>
      <c r="Y6" s="1084" t="s">
        <v>2353</v>
      </c>
      <c r="Z6" s="1084"/>
      <c r="AC6" s="1083" t="s">
        <v>1947</v>
      </c>
      <c r="AD6" s="1083"/>
      <c r="AF6" s="1075" t="s">
        <v>2354</v>
      </c>
      <c r="AG6" s="1075"/>
      <c r="AI6" s="1084" t="s">
        <v>2353</v>
      </c>
      <c r="AJ6" s="1084"/>
      <c r="AM6" s="1083" t="s">
        <v>1947</v>
      </c>
      <c r="AN6" s="1083"/>
      <c r="AP6" s="1075" t="s">
        <v>2354</v>
      </c>
      <c r="AQ6" s="1075"/>
      <c r="AS6" s="1084" t="s">
        <v>2353</v>
      </c>
      <c r="AT6" s="1084"/>
      <c r="AX6" s="1083" t="s">
        <v>1947</v>
      </c>
      <c r="AY6" s="1083"/>
      <c r="BA6" s="1075" t="s">
        <v>2354</v>
      </c>
      <c r="BB6" s="1075"/>
      <c r="BD6" s="1084" t="s">
        <v>2353</v>
      </c>
      <c r="BE6" s="1084"/>
      <c r="BH6" s="1083" t="s">
        <v>1947</v>
      </c>
      <c r="BI6" s="1083"/>
      <c r="BK6" s="1075" t="s">
        <v>2354</v>
      </c>
      <c r="BL6" s="1075"/>
      <c r="BN6" s="1075" t="s">
        <v>1949</v>
      </c>
      <c r="BO6" s="1075"/>
    </row>
    <row r="7" spans="2:74" x14ac:dyDescent="0.25">
      <c r="K7" s="398" t="s">
        <v>1578</v>
      </c>
      <c r="L7" s="398">
        <v>30</v>
      </c>
      <c r="N7" s="11" t="s">
        <v>1578</v>
      </c>
      <c r="O7" s="11">
        <v>30</v>
      </c>
      <c r="S7" s="398" t="s">
        <v>1578</v>
      </c>
      <c r="T7" s="398">
        <v>30</v>
      </c>
      <c r="V7" s="11" t="s">
        <v>1578</v>
      </c>
      <c r="W7" s="11">
        <v>30</v>
      </c>
      <c r="Y7" s="123" t="s">
        <v>1578</v>
      </c>
      <c r="Z7" s="123">
        <v>30</v>
      </c>
      <c r="AC7" s="398" t="s">
        <v>1578</v>
      </c>
      <c r="AD7" s="398">
        <v>30</v>
      </c>
      <c r="AF7" s="11" t="s">
        <v>1578</v>
      </c>
      <c r="AG7" s="11">
        <v>30</v>
      </c>
      <c r="AI7" s="123" t="s">
        <v>1578</v>
      </c>
      <c r="AJ7" s="123">
        <v>30</v>
      </c>
      <c r="AM7" s="398" t="s">
        <v>1578</v>
      </c>
      <c r="AN7" s="398">
        <v>30</v>
      </c>
      <c r="AP7" s="11" t="s">
        <v>1578</v>
      </c>
      <c r="AQ7" s="11">
        <v>30</v>
      </c>
      <c r="AS7" s="123" t="s">
        <v>1578</v>
      </c>
      <c r="AT7" s="123">
        <v>30</v>
      </c>
      <c r="AX7" s="398" t="s">
        <v>1578</v>
      </c>
      <c r="AY7" s="398">
        <v>30</v>
      </c>
      <c r="BA7" s="11" t="s">
        <v>1578</v>
      </c>
      <c r="BB7" s="11">
        <v>30</v>
      </c>
      <c r="BD7" s="123" t="s">
        <v>1578</v>
      </c>
      <c r="BE7" s="123">
        <v>30</v>
      </c>
      <c r="BH7" s="398" t="s">
        <v>1578</v>
      </c>
      <c r="BI7" s="398">
        <v>30</v>
      </c>
      <c r="BK7" s="11" t="s">
        <v>1578</v>
      </c>
      <c r="BL7" s="11">
        <v>30</v>
      </c>
      <c r="BN7" s="123" t="s">
        <v>1578</v>
      </c>
      <c r="BO7" s="123">
        <v>30</v>
      </c>
    </row>
    <row r="8" spans="2:74" x14ac:dyDescent="0.25">
      <c r="K8" s="398" t="s">
        <v>1579</v>
      </c>
      <c r="L8" s="398">
        <v>8</v>
      </c>
      <c r="N8" s="11" t="s">
        <v>1579</v>
      </c>
      <c r="O8" s="11">
        <v>10</v>
      </c>
      <c r="S8" s="398" t="s">
        <v>1579</v>
      </c>
      <c r="T8" s="398">
        <v>8</v>
      </c>
      <c r="V8" s="11" t="s">
        <v>1579</v>
      </c>
      <c r="W8" s="11">
        <v>10</v>
      </c>
      <c r="Y8" s="123" t="s">
        <v>1579</v>
      </c>
      <c r="Z8" s="123">
        <v>10</v>
      </c>
      <c r="AC8" s="398" t="s">
        <v>1579</v>
      </c>
      <c r="AD8" s="398">
        <v>8</v>
      </c>
      <c r="AF8" s="11" t="s">
        <v>1579</v>
      </c>
      <c r="AG8" s="11">
        <v>10</v>
      </c>
      <c r="AI8" s="123" t="s">
        <v>1579</v>
      </c>
      <c r="AJ8" s="123">
        <v>10</v>
      </c>
      <c r="AM8" s="398" t="s">
        <v>1579</v>
      </c>
      <c r="AN8" s="398">
        <v>8</v>
      </c>
      <c r="AP8" s="11" t="s">
        <v>1579</v>
      </c>
      <c r="AQ8" s="11">
        <v>10</v>
      </c>
      <c r="AS8" s="123" t="s">
        <v>1579</v>
      </c>
      <c r="AT8" s="123">
        <v>10</v>
      </c>
      <c r="AX8" s="398" t="s">
        <v>1579</v>
      </c>
      <c r="AY8" s="398">
        <v>8</v>
      </c>
      <c r="BA8" s="11" t="s">
        <v>1579</v>
      </c>
      <c r="BB8" s="11">
        <v>10</v>
      </c>
      <c r="BD8" s="123" t="s">
        <v>1579</v>
      </c>
      <c r="BE8" s="123">
        <v>10</v>
      </c>
      <c r="BH8" s="398" t="s">
        <v>1579</v>
      </c>
      <c r="BI8" s="398">
        <v>8</v>
      </c>
      <c r="BK8" s="11" t="s">
        <v>1579</v>
      </c>
      <c r="BL8" s="11">
        <v>10</v>
      </c>
      <c r="BN8" s="123" t="s">
        <v>1579</v>
      </c>
      <c r="BO8" s="123">
        <v>10</v>
      </c>
    </row>
    <row r="9" spans="2:74" x14ac:dyDescent="0.25">
      <c r="K9" s="398" t="s">
        <v>1580</v>
      </c>
      <c r="L9" s="398">
        <v>1</v>
      </c>
      <c r="N9" s="11" t="s">
        <v>1580</v>
      </c>
      <c r="O9" s="11">
        <v>1</v>
      </c>
      <c r="S9" s="398" t="s">
        <v>1580</v>
      </c>
      <c r="T9" s="398">
        <v>1</v>
      </c>
      <c r="V9" s="11" t="s">
        <v>1580</v>
      </c>
      <c r="W9" s="11">
        <v>1</v>
      </c>
      <c r="Y9" s="123" t="s">
        <v>1580</v>
      </c>
      <c r="Z9" s="123">
        <v>1</v>
      </c>
      <c r="AC9" s="398" t="s">
        <v>1580</v>
      </c>
      <c r="AD9" s="398">
        <v>1</v>
      </c>
      <c r="AF9" s="11" t="s">
        <v>1580</v>
      </c>
      <c r="AG9" s="11">
        <v>1</v>
      </c>
      <c r="AI9" s="123" t="s">
        <v>1580</v>
      </c>
      <c r="AJ9" s="123">
        <v>1</v>
      </c>
      <c r="AM9" s="398" t="s">
        <v>1580</v>
      </c>
      <c r="AN9" s="398">
        <v>1</v>
      </c>
      <c r="AP9" s="11" t="s">
        <v>1580</v>
      </c>
      <c r="AQ9" s="11">
        <v>1</v>
      </c>
      <c r="AS9" s="123" t="s">
        <v>1580</v>
      </c>
      <c r="AT9" s="123">
        <v>1</v>
      </c>
      <c r="AX9" s="398" t="s">
        <v>1580</v>
      </c>
      <c r="AY9" s="398">
        <v>1</v>
      </c>
      <c r="BA9" s="11" t="s">
        <v>1580</v>
      </c>
      <c r="BB9" s="11">
        <v>1</v>
      </c>
      <c r="BD9" s="123" t="s">
        <v>1580</v>
      </c>
      <c r="BE9" s="123">
        <v>1</v>
      </c>
      <c r="BH9" s="398" t="s">
        <v>1580</v>
      </c>
      <c r="BI9" s="398">
        <v>1</v>
      </c>
      <c r="BK9" s="11" t="s">
        <v>1580</v>
      </c>
      <c r="BL9" s="11">
        <v>1</v>
      </c>
      <c r="BN9" s="123" t="s">
        <v>1580</v>
      </c>
      <c r="BO9" s="123">
        <v>1</v>
      </c>
    </row>
    <row r="10" spans="2:74" ht="16.5" thickBot="1" x14ac:dyDescent="0.3">
      <c r="K10" s="398" t="s">
        <v>1581</v>
      </c>
      <c r="L10" s="398">
        <v>7</v>
      </c>
      <c r="N10" s="11" t="s">
        <v>1581</v>
      </c>
      <c r="O10" s="11">
        <v>9</v>
      </c>
      <c r="S10" s="398" t="s">
        <v>1581</v>
      </c>
      <c r="T10" s="398">
        <v>7</v>
      </c>
      <c r="V10" s="11" t="s">
        <v>1581</v>
      </c>
      <c r="W10" s="11">
        <v>9</v>
      </c>
      <c r="Y10" s="123" t="s">
        <v>1581</v>
      </c>
      <c r="Z10" s="123">
        <v>9</v>
      </c>
      <c r="AC10" s="398" t="s">
        <v>1581</v>
      </c>
      <c r="AD10" s="398">
        <v>7</v>
      </c>
      <c r="AF10" s="11" t="s">
        <v>1581</v>
      </c>
      <c r="AG10" s="11">
        <v>9</v>
      </c>
      <c r="AI10" s="123" t="s">
        <v>1581</v>
      </c>
      <c r="AJ10" s="123">
        <v>9</v>
      </c>
      <c r="AM10" s="398" t="s">
        <v>1581</v>
      </c>
      <c r="AN10" s="398">
        <v>7</v>
      </c>
      <c r="AP10" s="11" t="s">
        <v>1581</v>
      </c>
      <c r="AQ10" s="11">
        <v>9</v>
      </c>
      <c r="AS10" s="123" t="s">
        <v>1581</v>
      </c>
      <c r="AT10" s="123">
        <v>9</v>
      </c>
      <c r="AX10" s="398" t="s">
        <v>1581</v>
      </c>
      <c r="AY10" s="398">
        <v>7</v>
      </c>
      <c r="BA10" s="11" t="s">
        <v>1581</v>
      </c>
      <c r="BB10" s="11">
        <v>9</v>
      </c>
      <c r="BD10" s="123" t="s">
        <v>1581</v>
      </c>
      <c r="BE10" s="123">
        <v>9</v>
      </c>
      <c r="BH10" s="398" t="s">
        <v>1581</v>
      </c>
      <c r="BI10" s="398">
        <v>7</v>
      </c>
      <c r="BK10" s="11" t="s">
        <v>1581</v>
      </c>
      <c r="BL10" s="11">
        <v>9</v>
      </c>
      <c r="BN10" s="123" t="s">
        <v>1581</v>
      </c>
      <c r="BO10" s="123">
        <v>9</v>
      </c>
    </row>
    <row r="11" spans="2:74" x14ac:dyDescent="0.25">
      <c r="B11" s="360"/>
      <c r="C11" s="361"/>
      <c r="D11" s="361"/>
      <c r="E11" s="362"/>
      <c r="K11" s="398" t="s">
        <v>1583</v>
      </c>
      <c r="L11" s="398">
        <f>L7*L10</f>
        <v>210</v>
      </c>
      <c r="N11" s="11" t="s">
        <v>1583</v>
      </c>
      <c r="O11" s="11">
        <f>O7*O10</f>
        <v>270</v>
      </c>
      <c r="S11" s="398" t="s">
        <v>1583</v>
      </c>
      <c r="T11" s="398">
        <f>T7*T10</f>
        <v>210</v>
      </c>
      <c r="V11" s="11" t="s">
        <v>1583</v>
      </c>
      <c r="W11" s="11">
        <f>W7*W10</f>
        <v>270</v>
      </c>
      <c r="Y11" s="123" t="s">
        <v>1583</v>
      </c>
      <c r="Z11" s="123">
        <f>Z7*Z10</f>
        <v>270</v>
      </c>
      <c r="AC11" s="398" t="s">
        <v>1583</v>
      </c>
      <c r="AD11" s="398">
        <f>AD7*AD10</f>
        <v>210</v>
      </c>
      <c r="AF11" s="11" t="s">
        <v>1583</v>
      </c>
      <c r="AG11" s="11">
        <f>AG7*AG10</f>
        <v>270</v>
      </c>
      <c r="AI11" s="123" t="s">
        <v>1583</v>
      </c>
      <c r="AJ11" s="123">
        <f>AJ7*AJ10</f>
        <v>270</v>
      </c>
      <c r="AM11" s="398" t="s">
        <v>1583</v>
      </c>
      <c r="AN11" s="398">
        <f>AN7*AN10</f>
        <v>210</v>
      </c>
      <c r="AP11" s="11" t="s">
        <v>1583</v>
      </c>
      <c r="AQ11" s="11">
        <f>AQ7*AQ10</f>
        <v>270</v>
      </c>
      <c r="AS11" s="123" t="s">
        <v>1583</v>
      </c>
      <c r="AT11" s="123">
        <f>AT7*AT10</f>
        <v>270</v>
      </c>
      <c r="AX11" s="398" t="s">
        <v>1583</v>
      </c>
      <c r="AY11" s="398">
        <f>AY7*AY10</f>
        <v>210</v>
      </c>
      <c r="BA11" s="11" t="s">
        <v>1583</v>
      </c>
      <c r="BB11" s="11">
        <f>BB7*BB10</f>
        <v>270</v>
      </c>
      <c r="BD11" s="123" t="s">
        <v>1583</v>
      </c>
      <c r="BE11" s="123">
        <f>BE7*BE10</f>
        <v>270</v>
      </c>
      <c r="BH11" s="398" t="s">
        <v>1583</v>
      </c>
      <c r="BI11" s="398">
        <f>BI7*BI10</f>
        <v>210</v>
      </c>
      <c r="BK11" s="11" t="s">
        <v>1583</v>
      </c>
      <c r="BL11" s="11">
        <f>BL7*BL10</f>
        <v>270</v>
      </c>
      <c r="BN11" s="123" t="s">
        <v>1583</v>
      </c>
      <c r="BO11" s="123">
        <f>BO7*BO10</f>
        <v>270</v>
      </c>
    </row>
    <row r="12" spans="2:74" x14ac:dyDescent="0.25">
      <c r="B12" s="363"/>
      <c r="C12" s="1099" t="s">
        <v>1732</v>
      </c>
      <c r="D12" s="1099"/>
      <c r="E12" s="364"/>
      <c r="BV12" s="30"/>
    </row>
    <row r="13" spans="2:74" ht="15.75" customHeight="1" x14ac:dyDescent="0.25">
      <c r="B13" s="363"/>
      <c r="C13" s="357" t="s">
        <v>252</v>
      </c>
      <c r="D13" s="358">
        <v>4273824.3965560002</v>
      </c>
      <c r="E13" s="365"/>
      <c r="H13" s="399" t="s">
        <v>1576</v>
      </c>
      <c r="I13" s="399" t="s">
        <v>1574</v>
      </c>
      <c r="J13" s="399" t="s">
        <v>1575</v>
      </c>
      <c r="K13" s="399" t="s">
        <v>1582</v>
      </c>
      <c r="L13" s="400" t="s">
        <v>1577</v>
      </c>
      <c r="M13" s="399" t="s">
        <v>1586</v>
      </c>
      <c r="N13" s="399" t="s">
        <v>1587</v>
      </c>
      <c r="O13" s="401" t="s">
        <v>1590</v>
      </c>
      <c r="P13" s="399" t="s">
        <v>303</v>
      </c>
      <c r="S13" s="399" t="s">
        <v>1576</v>
      </c>
      <c r="T13" s="399" t="s">
        <v>1574</v>
      </c>
      <c r="U13" s="399" t="s">
        <v>1575</v>
      </c>
      <c r="V13" s="399" t="s">
        <v>1582</v>
      </c>
      <c r="W13" s="399" t="s">
        <v>1577</v>
      </c>
      <c r="X13" s="399" t="s">
        <v>1586</v>
      </c>
      <c r="Y13" s="399" t="s">
        <v>1587</v>
      </c>
      <c r="Z13" s="401" t="s">
        <v>1590</v>
      </c>
      <c r="AA13" s="399" t="s">
        <v>303</v>
      </c>
      <c r="AC13" s="399" t="s">
        <v>1576</v>
      </c>
      <c r="AD13" s="399" t="s">
        <v>1574</v>
      </c>
      <c r="AE13" s="399" t="s">
        <v>1575</v>
      </c>
      <c r="AF13" s="399" t="s">
        <v>1582</v>
      </c>
      <c r="AG13" s="399" t="s">
        <v>1577</v>
      </c>
      <c r="AH13" s="399" t="s">
        <v>1586</v>
      </c>
      <c r="AI13" s="399" t="s">
        <v>1587</v>
      </c>
      <c r="AJ13" s="401" t="s">
        <v>1590</v>
      </c>
      <c r="AK13" s="399" t="s">
        <v>303</v>
      </c>
      <c r="AL13" s="569"/>
      <c r="AM13" s="399" t="s">
        <v>1576</v>
      </c>
      <c r="AN13" s="399" t="s">
        <v>1574</v>
      </c>
      <c r="AO13" s="1093" t="s">
        <v>1575</v>
      </c>
      <c r="AP13" s="1093"/>
      <c r="AQ13" s="399" t="s">
        <v>1582</v>
      </c>
      <c r="AR13" s="399" t="s">
        <v>1577</v>
      </c>
      <c r="AS13" s="399" t="s">
        <v>1586</v>
      </c>
      <c r="AT13" s="399" t="s">
        <v>1587</v>
      </c>
      <c r="AU13" s="401" t="s">
        <v>1590</v>
      </c>
      <c r="AV13" s="399" t="s">
        <v>303</v>
      </c>
      <c r="AX13" s="399" t="s">
        <v>1576</v>
      </c>
      <c r="AY13" s="399" t="s">
        <v>1574</v>
      </c>
      <c r="AZ13" s="399" t="s">
        <v>1575</v>
      </c>
      <c r="BA13" s="399" t="s">
        <v>1582</v>
      </c>
      <c r="BB13" s="399" t="s">
        <v>1577</v>
      </c>
      <c r="BC13" s="399" t="s">
        <v>1586</v>
      </c>
      <c r="BD13" s="399" t="s">
        <v>1587</v>
      </c>
      <c r="BE13" s="401" t="s">
        <v>1590</v>
      </c>
      <c r="BF13" s="399" t="s">
        <v>303</v>
      </c>
      <c r="BH13" s="399" t="s">
        <v>1576</v>
      </c>
      <c r="BI13" s="399" t="s">
        <v>1574</v>
      </c>
      <c r="BJ13" s="399" t="s">
        <v>1575</v>
      </c>
      <c r="BK13" s="399" t="s">
        <v>1582</v>
      </c>
      <c r="BL13" s="399" t="s">
        <v>1577</v>
      </c>
      <c r="BM13" s="399" t="s">
        <v>1586</v>
      </c>
      <c r="BN13" s="399" t="s">
        <v>1587</v>
      </c>
      <c r="BO13" s="401" t="s">
        <v>1590</v>
      </c>
      <c r="BP13" s="399" t="s">
        <v>303</v>
      </c>
      <c r="BV13" s="104"/>
    </row>
    <row r="14" spans="2:74" ht="15.75" customHeight="1" x14ac:dyDescent="0.25">
      <c r="B14" s="363"/>
      <c r="C14" s="357" t="s">
        <v>285</v>
      </c>
      <c r="D14" s="358">
        <v>4022401.8357640002</v>
      </c>
      <c r="E14" s="365"/>
      <c r="H14" s="1100" t="s">
        <v>1594</v>
      </c>
      <c r="I14" s="1076" t="s">
        <v>1564</v>
      </c>
      <c r="J14" s="239" t="s">
        <v>283</v>
      </c>
      <c r="K14" s="312">
        <v>6</v>
      </c>
      <c r="L14" s="318" t="s">
        <v>251</v>
      </c>
      <c r="M14" s="378">
        <f>D15</f>
        <v>3367019.7753659999</v>
      </c>
      <c r="N14" s="378">
        <f>M14/$L$11</f>
        <v>16033.427501742857</v>
      </c>
      <c r="O14" s="378">
        <f>N14/60</f>
        <v>267.22379169571428</v>
      </c>
      <c r="P14" s="378">
        <f>O14*K14</f>
        <v>1603.3427501742858</v>
      </c>
      <c r="S14" s="1095" t="s">
        <v>335</v>
      </c>
      <c r="T14" s="1076" t="s">
        <v>1564</v>
      </c>
      <c r="U14" s="239" t="s">
        <v>283</v>
      </c>
      <c r="V14" s="312">
        <v>5</v>
      </c>
      <c r="W14" s="312" t="s">
        <v>251</v>
      </c>
      <c r="X14" s="378">
        <f>D15</f>
        <v>3367019.7753659999</v>
      </c>
      <c r="Y14" s="396">
        <f t="shared" ref="Y14:Y19" si="0">X14/$T$11</f>
        <v>16033.427501742857</v>
      </c>
      <c r="Z14" s="396">
        <f>Y14/60</f>
        <v>267.22379169571428</v>
      </c>
      <c r="AA14" s="396">
        <f>Z14*V14</f>
        <v>1336.1189584785714</v>
      </c>
      <c r="AC14" s="1096" t="s">
        <v>1597</v>
      </c>
      <c r="AD14" s="1076" t="s">
        <v>1564</v>
      </c>
      <c r="AE14" s="239" t="s">
        <v>283</v>
      </c>
      <c r="AF14" s="312">
        <v>5</v>
      </c>
      <c r="AG14" s="312" t="s">
        <v>251</v>
      </c>
      <c r="AH14" s="378">
        <f>D15</f>
        <v>3367019.7753659999</v>
      </c>
      <c r="AI14" s="378">
        <f>AH14/$AD$11</f>
        <v>16033.427501742857</v>
      </c>
      <c r="AJ14" s="378">
        <f>AI14/60</f>
        <v>267.22379169571428</v>
      </c>
      <c r="AK14" s="378">
        <f>AJ14*AF14</f>
        <v>1336.1189584785714</v>
      </c>
      <c r="AL14" s="475"/>
      <c r="AM14" s="1094" t="s">
        <v>1931</v>
      </c>
      <c r="AN14" s="1076" t="s">
        <v>1932</v>
      </c>
      <c r="AO14" s="1064" t="s">
        <v>283</v>
      </c>
      <c r="AP14" s="1065"/>
      <c r="AQ14" s="528">
        <v>5</v>
      </c>
      <c r="AR14" s="528" t="s">
        <v>251</v>
      </c>
      <c r="AS14" s="378">
        <f>D15</f>
        <v>3367019.7753659999</v>
      </c>
      <c r="AT14" s="378">
        <f>AS14/$AN$11</f>
        <v>16033.427501742857</v>
      </c>
      <c r="AU14" s="378">
        <f>AT14/60</f>
        <v>267.22379169571428</v>
      </c>
      <c r="AV14" s="378">
        <f>AU14*AQ14</f>
        <v>1336.1189584785714</v>
      </c>
      <c r="AX14" s="1088" t="s">
        <v>937</v>
      </c>
      <c r="AY14" s="391" t="s">
        <v>1564</v>
      </c>
      <c r="AZ14" s="239" t="s">
        <v>283</v>
      </c>
      <c r="BA14" s="312">
        <v>5</v>
      </c>
      <c r="BB14" s="312" t="s">
        <v>251</v>
      </c>
      <c r="BC14" s="378">
        <f>D15</f>
        <v>3367019.7753659999</v>
      </c>
      <c r="BD14" s="378">
        <f>BC14/$AY$11</f>
        <v>16033.427501742857</v>
      </c>
      <c r="BE14" s="378">
        <f t="shared" ref="BE14:BE19" si="1">BD14/60</f>
        <v>267.22379169571428</v>
      </c>
      <c r="BF14" s="378">
        <f t="shared" ref="BF14:BF19" si="2">BE14*BA14</f>
        <v>1336.1189584785714</v>
      </c>
      <c r="BH14" s="1077" t="s">
        <v>1252</v>
      </c>
      <c r="BI14" s="1076" t="s">
        <v>1564</v>
      </c>
      <c r="BJ14" s="239" t="s">
        <v>283</v>
      </c>
      <c r="BK14" s="312">
        <v>5</v>
      </c>
      <c r="BL14" s="312" t="s">
        <v>251</v>
      </c>
      <c r="BM14" s="152">
        <f>D15</f>
        <v>3367019.7753659999</v>
      </c>
      <c r="BN14" s="152">
        <f>BM14/$BI$11</f>
        <v>16033.427501742857</v>
      </c>
      <c r="BO14" s="152">
        <f>BN14/60</f>
        <v>267.22379169571428</v>
      </c>
      <c r="BP14" s="152">
        <f>BO14*BK14</f>
        <v>1336.1189584785714</v>
      </c>
      <c r="BV14" s="288"/>
    </row>
    <row r="15" spans="2:74" ht="31.5" x14ac:dyDescent="0.25">
      <c r="B15" s="363"/>
      <c r="C15" s="357" t="s">
        <v>1593</v>
      </c>
      <c r="D15" s="358">
        <v>3367019.7753659999</v>
      </c>
      <c r="E15" s="365"/>
      <c r="H15" s="1101"/>
      <c r="I15" s="1076"/>
      <c r="J15" s="228" t="s">
        <v>1520</v>
      </c>
      <c r="K15" s="312">
        <v>15</v>
      </c>
      <c r="L15" s="318" t="s">
        <v>1403</v>
      </c>
      <c r="M15" s="378">
        <f>D16</f>
        <v>3367019.7753659999</v>
      </c>
      <c r="N15" s="378">
        <f>M15/$L$11</f>
        <v>16033.427501742857</v>
      </c>
      <c r="O15" s="378">
        <f>N15/60</f>
        <v>267.22379169571428</v>
      </c>
      <c r="P15" s="378">
        <f>O15*K15</f>
        <v>4008.3568754357143</v>
      </c>
      <c r="S15" s="1095"/>
      <c r="T15" s="1076"/>
      <c r="U15" s="239" t="s">
        <v>1549</v>
      </c>
      <c r="V15" s="312">
        <v>15</v>
      </c>
      <c r="W15" s="312" t="s">
        <v>298</v>
      </c>
      <c r="X15" s="378">
        <f>D17</f>
        <v>1575142.9535399999</v>
      </c>
      <c r="Y15" s="396">
        <f t="shared" si="0"/>
        <v>7500.6807311428565</v>
      </c>
      <c r="Z15" s="396">
        <f t="shared" ref="Z15:Z22" si="3">Y15/60</f>
        <v>125.01134551904761</v>
      </c>
      <c r="AA15" s="396">
        <f t="shared" ref="AA15:AA22" si="4">Z15*V15</f>
        <v>1875.1701827857141</v>
      </c>
      <c r="AC15" s="1097"/>
      <c r="AD15" s="1076"/>
      <c r="AE15" s="239" t="s">
        <v>1548</v>
      </c>
      <c r="AF15" s="312">
        <v>40</v>
      </c>
      <c r="AG15" s="318" t="s">
        <v>2313</v>
      </c>
      <c r="AH15" s="378">
        <f>D15+D16</f>
        <v>6734039.5507319998</v>
      </c>
      <c r="AI15" s="378">
        <f>AH15/$AD$11</f>
        <v>32066.855003485714</v>
      </c>
      <c r="AJ15" s="378">
        <f t="shared" ref="AJ15:AJ23" si="5">AI15/60</f>
        <v>534.44758339142857</v>
      </c>
      <c r="AK15" s="378">
        <f t="shared" ref="AK15:AK23" si="6">AJ15*AF15</f>
        <v>21377.903335657142</v>
      </c>
      <c r="AL15" s="475"/>
      <c r="AM15" s="1094"/>
      <c r="AN15" s="1076"/>
      <c r="AO15" s="1064" t="s">
        <v>1617</v>
      </c>
      <c r="AP15" s="1065"/>
      <c r="AQ15" s="528">
        <v>40</v>
      </c>
      <c r="AR15" s="532" t="s">
        <v>1951</v>
      </c>
      <c r="AS15" s="378">
        <f>D15</f>
        <v>3367019.7753659999</v>
      </c>
      <c r="AT15" s="378">
        <f>AS15/$AN$11</f>
        <v>16033.427501742857</v>
      </c>
      <c r="AU15" s="378">
        <f t="shared" ref="AU15:AU33" si="7">AT15/60</f>
        <v>267.22379169571428</v>
      </c>
      <c r="AV15" s="378">
        <f t="shared" ref="AV15:AV33" si="8">AU15*AQ15</f>
        <v>10688.951667828571</v>
      </c>
      <c r="AX15" s="1088"/>
      <c r="AY15" s="1085" t="s">
        <v>1497</v>
      </c>
      <c r="AZ15" s="392" t="s">
        <v>1572</v>
      </c>
      <c r="BA15" s="311">
        <v>5</v>
      </c>
      <c r="BB15" s="1086" t="s">
        <v>298</v>
      </c>
      <c r="BC15" s="383">
        <f>D17</f>
        <v>1575142.9535399999</v>
      </c>
      <c r="BD15" s="383">
        <f>BC15/$AY$11</f>
        <v>7500.6807311428565</v>
      </c>
      <c r="BE15" s="383">
        <f t="shared" si="1"/>
        <v>125.01134551904761</v>
      </c>
      <c r="BF15" s="383">
        <f t="shared" si="2"/>
        <v>625.05672759523804</v>
      </c>
      <c r="BH15" s="1078"/>
      <c r="BI15" s="1076"/>
      <c r="BJ15" s="228" t="s">
        <v>1330</v>
      </c>
      <c r="BK15" s="312">
        <v>5</v>
      </c>
      <c r="BL15" s="312" t="s">
        <v>298</v>
      </c>
      <c r="BM15" s="152">
        <f>D17</f>
        <v>1575142.9535399999</v>
      </c>
      <c r="BN15" s="152">
        <f>BM15/$BI$11</f>
        <v>7500.6807311428565</v>
      </c>
      <c r="BO15" s="152">
        <f>BN15/60</f>
        <v>125.01134551904761</v>
      </c>
      <c r="BP15" s="152">
        <f>BO15*BK15</f>
        <v>625.05672759523804</v>
      </c>
      <c r="BV15" s="288"/>
    </row>
    <row r="16" spans="2:74" ht="31.5" x14ac:dyDescent="0.25">
      <c r="B16" s="363"/>
      <c r="C16" s="357" t="s">
        <v>1403</v>
      </c>
      <c r="D16" s="358">
        <v>3367019.7753659999</v>
      </c>
      <c r="E16" s="365"/>
      <c r="H16" s="1101"/>
      <c r="I16" s="1076"/>
      <c r="J16" s="239" t="s">
        <v>1530</v>
      </c>
      <c r="K16" s="312">
        <v>5</v>
      </c>
      <c r="L16" s="318" t="s">
        <v>1403</v>
      </c>
      <c r="M16" s="378">
        <f>D16</f>
        <v>3367019.7753659999</v>
      </c>
      <c r="N16" s="378">
        <f>M16/$L$11</f>
        <v>16033.427501742857</v>
      </c>
      <c r="O16" s="378">
        <f>N16/60</f>
        <v>267.22379169571428</v>
      </c>
      <c r="P16" s="378">
        <f>O16*K16</f>
        <v>1336.1189584785714</v>
      </c>
      <c r="S16" s="1095"/>
      <c r="T16" s="1076"/>
      <c r="U16" s="239" t="s">
        <v>284</v>
      </c>
      <c r="V16" s="312">
        <v>5</v>
      </c>
      <c r="W16" s="312" t="s">
        <v>298</v>
      </c>
      <c r="X16" s="378">
        <f>D17</f>
        <v>1575142.9535399999</v>
      </c>
      <c r="Y16" s="396">
        <f t="shared" si="0"/>
        <v>7500.6807311428565</v>
      </c>
      <c r="Z16" s="396">
        <f t="shared" si="3"/>
        <v>125.01134551904761</v>
      </c>
      <c r="AA16" s="396">
        <f t="shared" si="4"/>
        <v>625.05672759523804</v>
      </c>
      <c r="AC16" s="1097"/>
      <c r="AD16" s="1076"/>
      <c r="AE16" s="239" t="s">
        <v>1558</v>
      </c>
      <c r="AF16" s="312">
        <v>30</v>
      </c>
      <c r="AG16" s="318" t="s">
        <v>2316</v>
      </c>
      <c r="AH16" s="378">
        <f>D15+D17</f>
        <v>4942162.728906</v>
      </c>
      <c r="AI16" s="378">
        <f>AH16/$AD$11</f>
        <v>23534.108232885716</v>
      </c>
      <c r="AJ16" s="378">
        <f t="shared" si="5"/>
        <v>392.23513721476195</v>
      </c>
      <c r="AK16" s="378">
        <f t="shared" si="6"/>
        <v>11767.054116442858</v>
      </c>
      <c r="AL16" s="475"/>
      <c r="AM16" s="1094"/>
      <c r="AN16" s="1076"/>
      <c r="AO16" s="1064" t="s">
        <v>1558</v>
      </c>
      <c r="AP16" s="1065"/>
      <c r="AQ16" s="528">
        <v>30</v>
      </c>
      <c r="AR16" s="532" t="s">
        <v>1403</v>
      </c>
      <c r="AS16" s="378">
        <f>D15</f>
        <v>3367019.7753659999</v>
      </c>
      <c r="AT16" s="378">
        <f>AS16/$AN$11</f>
        <v>16033.427501742857</v>
      </c>
      <c r="AU16" s="378">
        <f t="shared" si="7"/>
        <v>267.22379169571428</v>
      </c>
      <c r="AV16" s="378">
        <f t="shared" si="8"/>
        <v>8016.7137508714286</v>
      </c>
      <c r="AX16" s="1088"/>
      <c r="AY16" s="1085"/>
      <c r="AZ16" s="252" t="s">
        <v>284</v>
      </c>
      <c r="BA16" s="311">
        <v>5</v>
      </c>
      <c r="BB16" s="1086"/>
      <c r="BC16" s="383">
        <f>BC15</f>
        <v>1575142.9535399999</v>
      </c>
      <c r="BD16" s="383">
        <f>BC16/$AY$11</f>
        <v>7500.6807311428565</v>
      </c>
      <c r="BE16" s="383">
        <f t="shared" si="1"/>
        <v>125.01134551904761</v>
      </c>
      <c r="BF16" s="383">
        <f t="shared" si="2"/>
        <v>625.05672759523804</v>
      </c>
      <c r="BH16" s="1078"/>
      <c r="BI16" s="1076"/>
      <c r="BJ16" s="239" t="s">
        <v>1522</v>
      </c>
      <c r="BK16" s="312">
        <v>40</v>
      </c>
      <c r="BL16" s="567" t="s">
        <v>1593</v>
      </c>
      <c r="BM16" s="152">
        <f>D15</f>
        <v>3367019.7753659999</v>
      </c>
      <c r="BN16" s="152">
        <f>BM16/$BI$11</f>
        <v>16033.427501742857</v>
      </c>
      <c r="BO16" s="152">
        <f>BN16/60</f>
        <v>267.22379169571428</v>
      </c>
      <c r="BP16" s="152">
        <f>BO16*BK16</f>
        <v>10688.951667828571</v>
      </c>
      <c r="BV16" s="288"/>
    </row>
    <row r="17" spans="1:74" ht="15.75" customHeight="1" x14ac:dyDescent="0.25">
      <c r="B17" s="363"/>
      <c r="C17" s="357" t="s">
        <v>300</v>
      </c>
      <c r="D17" s="358">
        <v>1575142.9535399999</v>
      </c>
      <c r="E17" s="365"/>
      <c r="H17" s="1101"/>
      <c r="I17" s="1076"/>
      <c r="J17" s="239" t="s">
        <v>1531</v>
      </c>
      <c r="K17" s="312">
        <v>30</v>
      </c>
      <c r="L17" s="318" t="s">
        <v>1403</v>
      </c>
      <c r="M17" s="378">
        <f>D16</f>
        <v>3367019.7753659999</v>
      </c>
      <c r="N17" s="378">
        <f>M17/$L$11</f>
        <v>16033.427501742857</v>
      </c>
      <c r="O17" s="378">
        <f>N17/60</f>
        <v>267.22379169571428</v>
      </c>
      <c r="P17" s="378">
        <f>O17*K17</f>
        <v>8016.7137508714286</v>
      </c>
      <c r="S17" s="1095"/>
      <c r="T17" s="1076"/>
      <c r="U17" s="239" t="s">
        <v>1548</v>
      </c>
      <c r="V17" s="312">
        <v>40</v>
      </c>
      <c r="W17" s="318" t="s">
        <v>2313</v>
      </c>
      <c r="X17" s="396">
        <f>D15+D16</f>
        <v>6734039.5507319998</v>
      </c>
      <c r="Y17" s="396">
        <f>X17/$T$11</f>
        <v>32066.855003485714</v>
      </c>
      <c r="Z17" s="396">
        <f t="shared" si="3"/>
        <v>534.44758339142857</v>
      </c>
      <c r="AA17" s="396">
        <f t="shared" si="4"/>
        <v>21377.903335657142</v>
      </c>
      <c r="AC17" s="1097"/>
      <c r="AD17" s="1085" t="s">
        <v>1497</v>
      </c>
      <c r="AE17" s="252" t="s">
        <v>1555</v>
      </c>
      <c r="AF17" s="311">
        <v>5</v>
      </c>
      <c r="AG17" s="311" t="s">
        <v>298</v>
      </c>
      <c r="AH17" s="383">
        <f>D17</f>
        <v>1575142.9535399999</v>
      </c>
      <c r="AI17" s="383">
        <f>AH17/$AD$11</f>
        <v>7500.6807311428565</v>
      </c>
      <c r="AJ17" s="383">
        <f t="shared" si="5"/>
        <v>125.01134551904761</v>
      </c>
      <c r="AK17" s="383">
        <f t="shared" si="6"/>
        <v>625.05672759523804</v>
      </c>
      <c r="AL17" s="475"/>
      <c r="AM17" s="1094"/>
      <c r="AN17" s="1076"/>
      <c r="AO17" s="1064" t="s">
        <v>1640</v>
      </c>
      <c r="AP17" s="1065"/>
      <c r="AQ17" s="528">
        <v>5</v>
      </c>
      <c r="AR17" s="528" t="s">
        <v>298</v>
      </c>
      <c r="AS17" s="378">
        <f>D17</f>
        <v>1575142.9535399999</v>
      </c>
      <c r="AT17" s="378">
        <f>AS17/$AN$11</f>
        <v>7500.6807311428565</v>
      </c>
      <c r="AU17" s="378">
        <f t="shared" si="7"/>
        <v>125.01134551904761</v>
      </c>
      <c r="AV17" s="378">
        <f t="shared" si="8"/>
        <v>625.05672759523804</v>
      </c>
      <c r="AX17" s="1088"/>
      <c r="AY17" s="1085"/>
      <c r="AZ17" s="252" t="s">
        <v>1112</v>
      </c>
      <c r="BA17" s="311">
        <v>3</v>
      </c>
      <c r="BB17" s="393" t="s">
        <v>1403</v>
      </c>
      <c r="BC17" s="383">
        <f>D16</f>
        <v>3367019.7753659999</v>
      </c>
      <c r="BD17" s="383">
        <f>BC17/$BB$11</f>
        <v>12470.443612466666</v>
      </c>
      <c r="BE17" s="383">
        <f t="shared" si="1"/>
        <v>207.84072687444444</v>
      </c>
      <c r="BF17" s="383">
        <f t="shared" si="2"/>
        <v>623.52218062333327</v>
      </c>
      <c r="BH17" s="1078"/>
      <c r="BI17" s="1076"/>
      <c r="BJ17" s="239" t="s">
        <v>1569</v>
      </c>
      <c r="BK17" s="312">
        <v>40</v>
      </c>
      <c r="BL17" s="318" t="s">
        <v>1593</v>
      </c>
      <c r="BM17" s="152">
        <f>D15</f>
        <v>3367019.7753659999</v>
      </c>
      <c r="BN17" s="152">
        <f>BM17/$BI$11</f>
        <v>16033.427501742857</v>
      </c>
      <c r="BO17" s="152">
        <f>BN17/60</f>
        <v>267.22379169571428</v>
      </c>
      <c r="BP17" s="152">
        <f>BO17*BK17</f>
        <v>10688.951667828571</v>
      </c>
      <c r="BR17" s="30"/>
      <c r="BS17" s="288"/>
      <c r="BT17" s="288"/>
      <c r="BU17" s="288"/>
      <c r="BV17" s="288"/>
    </row>
    <row r="18" spans="1:74" ht="15.75" customHeight="1" x14ac:dyDescent="0.25">
      <c r="B18" s="363"/>
      <c r="C18" s="357" t="s">
        <v>253</v>
      </c>
      <c r="D18" s="358">
        <v>1745895.3883799999</v>
      </c>
      <c r="E18" s="365"/>
      <c r="H18" s="1101"/>
      <c r="I18" s="1076"/>
      <c r="J18" s="239" t="s">
        <v>1527</v>
      </c>
      <c r="K18" s="312">
        <v>30</v>
      </c>
      <c r="L18" s="318" t="s">
        <v>1584</v>
      </c>
      <c r="M18" s="378">
        <f>D17</f>
        <v>1575142.9535399999</v>
      </c>
      <c r="N18" s="378">
        <f>M18/$L$11</f>
        <v>7500.6807311428565</v>
      </c>
      <c r="O18" s="378">
        <f>N18/60</f>
        <v>125.01134551904761</v>
      </c>
      <c r="P18" s="378">
        <f>O18*K18</f>
        <v>3750.3403655714283</v>
      </c>
      <c r="S18" s="1095"/>
      <c r="T18" s="1076"/>
      <c r="U18" s="239" t="s">
        <v>1559</v>
      </c>
      <c r="V18" s="312">
        <v>20</v>
      </c>
      <c r="W18" s="318" t="s">
        <v>2314</v>
      </c>
      <c r="X18" s="378">
        <f>D15+D16</f>
        <v>6734039.5507319998</v>
      </c>
      <c r="Y18" s="396">
        <f t="shared" si="0"/>
        <v>32066.855003485714</v>
      </c>
      <c r="Z18" s="396">
        <f t="shared" si="3"/>
        <v>534.44758339142857</v>
      </c>
      <c r="AA18" s="396">
        <f t="shared" si="4"/>
        <v>10688.951667828571</v>
      </c>
      <c r="AC18" s="1097"/>
      <c r="AD18" s="1085"/>
      <c r="AE18" s="252" t="s">
        <v>1556</v>
      </c>
      <c r="AF18" s="311">
        <v>10</v>
      </c>
      <c r="AG18" s="275" t="s">
        <v>285</v>
      </c>
      <c r="AH18" s="383">
        <f>D14</f>
        <v>4022401.8357640002</v>
      </c>
      <c r="AI18" s="383">
        <f>AH18/$AG$11</f>
        <v>14897.784576903705</v>
      </c>
      <c r="AJ18" s="383">
        <f t="shared" si="5"/>
        <v>248.29640961506175</v>
      </c>
      <c r="AK18" s="383">
        <f t="shared" si="6"/>
        <v>2482.9640961506175</v>
      </c>
      <c r="AL18" s="475"/>
      <c r="AM18" s="1094"/>
      <c r="AN18" s="1085" t="s">
        <v>1497</v>
      </c>
      <c r="AO18" s="1066" t="s">
        <v>1556</v>
      </c>
      <c r="AP18" s="1067"/>
      <c r="AQ18" s="279">
        <v>10</v>
      </c>
      <c r="AR18" s="568" t="s">
        <v>285</v>
      </c>
      <c r="AS18" s="572">
        <f>D14</f>
        <v>4022401.8357640002</v>
      </c>
      <c r="AT18" s="572">
        <f>AS18/$AQ$11</f>
        <v>14897.784576903705</v>
      </c>
      <c r="AU18" s="572">
        <f t="shared" si="7"/>
        <v>248.29640961506175</v>
      </c>
      <c r="AV18" s="572">
        <f>AU18*AQ18</f>
        <v>2482.9640961506175</v>
      </c>
      <c r="AX18" s="1088"/>
      <c r="AY18" s="1081" t="s">
        <v>1545</v>
      </c>
      <c r="AZ18" s="385" t="s">
        <v>1113</v>
      </c>
      <c r="BA18" s="79">
        <v>2</v>
      </c>
      <c r="BB18" s="1087" t="s">
        <v>285</v>
      </c>
      <c r="BC18" s="387">
        <f>D14</f>
        <v>4022401.8357640002</v>
      </c>
      <c r="BD18" s="387">
        <f>BC18/$BB$11</f>
        <v>14897.784576903705</v>
      </c>
      <c r="BE18" s="387">
        <f t="shared" si="1"/>
        <v>248.29640961506175</v>
      </c>
      <c r="BF18" s="387">
        <f t="shared" si="2"/>
        <v>496.5928192301235</v>
      </c>
      <c r="BH18" s="1079"/>
      <c r="BI18" s="1076"/>
      <c r="BJ18" s="239" t="s">
        <v>1331</v>
      </c>
      <c r="BK18" s="312">
        <v>20</v>
      </c>
      <c r="BL18" s="318" t="s">
        <v>1403</v>
      </c>
      <c r="BM18" s="152">
        <f>D16</f>
        <v>3367019.7753659999</v>
      </c>
      <c r="BN18" s="152">
        <f>BM18/$BI$11</f>
        <v>16033.427501742857</v>
      </c>
      <c r="BO18" s="152">
        <f>BN18/60</f>
        <v>267.22379169571428</v>
      </c>
      <c r="BP18" s="152">
        <f>BO18*BK18</f>
        <v>5344.4758339142854</v>
      </c>
      <c r="BR18" s="30"/>
      <c r="BS18" s="288"/>
      <c r="BT18" s="288"/>
      <c r="BU18" s="288"/>
      <c r="BV18" s="288"/>
    </row>
    <row r="19" spans="1:74" ht="15.75" customHeight="1" x14ac:dyDescent="0.25">
      <c r="B19" s="363"/>
      <c r="C19" s="357" t="s">
        <v>1105</v>
      </c>
      <c r="D19" s="358">
        <v>1575142.9535399999</v>
      </c>
      <c r="E19" s="365"/>
      <c r="H19" s="1080" t="s">
        <v>1595</v>
      </c>
      <c r="I19" s="1080"/>
      <c r="J19" s="1080"/>
      <c r="K19" s="1080"/>
      <c r="L19" s="1080"/>
      <c r="M19" s="1080"/>
      <c r="N19" s="1080"/>
      <c r="O19" s="1080"/>
      <c r="P19" s="402">
        <f>SUM(P14:P18)</f>
        <v>18714.872700531429</v>
      </c>
      <c r="Q19" s="286"/>
      <c r="S19" s="1095"/>
      <c r="T19" s="1076"/>
      <c r="U19" s="239" t="s">
        <v>1552</v>
      </c>
      <c r="V19" s="312">
        <v>15</v>
      </c>
      <c r="W19" s="318" t="s">
        <v>1403</v>
      </c>
      <c r="X19" s="378">
        <f>D16</f>
        <v>3367019.7753659999</v>
      </c>
      <c r="Y19" s="396">
        <f t="shared" si="0"/>
        <v>16033.427501742857</v>
      </c>
      <c r="Z19" s="396">
        <f t="shared" si="3"/>
        <v>267.22379169571428</v>
      </c>
      <c r="AA19" s="396">
        <f t="shared" si="4"/>
        <v>4008.3568754357143</v>
      </c>
      <c r="AC19" s="1097"/>
      <c r="AD19" s="1085"/>
      <c r="AE19" s="252" t="s">
        <v>1557</v>
      </c>
      <c r="AF19" s="311">
        <v>15</v>
      </c>
      <c r="AG19" s="275" t="s">
        <v>2313</v>
      </c>
      <c r="AH19" s="383">
        <f>D15+D16</f>
        <v>6734039.5507319998</v>
      </c>
      <c r="AI19" s="383">
        <f>AH19/$AD$11</f>
        <v>32066.855003485714</v>
      </c>
      <c r="AJ19" s="383">
        <f t="shared" si="5"/>
        <v>534.44758339142857</v>
      </c>
      <c r="AK19" s="383">
        <f t="shared" si="6"/>
        <v>8016.7137508714286</v>
      </c>
      <c r="AL19" s="475"/>
      <c r="AM19" s="1094"/>
      <c r="AN19" s="1085"/>
      <c r="AO19" s="1090" t="s">
        <v>1557</v>
      </c>
      <c r="AP19" s="533" t="s">
        <v>1919</v>
      </c>
      <c r="AQ19" s="279">
        <v>15</v>
      </c>
      <c r="AR19" s="568" t="s">
        <v>2314</v>
      </c>
      <c r="AS19" s="572">
        <f>$D$15+$D$16</f>
        <v>6734039.5507319998</v>
      </c>
      <c r="AT19" s="572">
        <f>AS19/$AN$11</f>
        <v>32066.855003485714</v>
      </c>
      <c r="AU19" s="572">
        <f t="shared" si="7"/>
        <v>534.44758339142857</v>
      </c>
      <c r="AV19" s="572">
        <f t="shared" ref="AV19:AV29" si="9">AU19*AQ19/30</f>
        <v>267.22379169571428</v>
      </c>
      <c r="AX19" s="1088"/>
      <c r="AY19" s="1082"/>
      <c r="AZ19" s="385" t="s">
        <v>1114</v>
      </c>
      <c r="BA19" s="79">
        <v>1</v>
      </c>
      <c r="BB19" s="1087"/>
      <c r="BC19" s="387">
        <f>D14</f>
        <v>4022401.8357640002</v>
      </c>
      <c r="BD19" s="387">
        <f>BC19/$BB$11</f>
        <v>14897.784576903705</v>
      </c>
      <c r="BE19" s="387">
        <f t="shared" si="1"/>
        <v>248.29640961506175</v>
      </c>
      <c r="BF19" s="387">
        <f t="shared" si="2"/>
        <v>248.29640961506175</v>
      </c>
      <c r="BH19" s="1080" t="s">
        <v>1595</v>
      </c>
      <c r="BI19" s="1080"/>
      <c r="BJ19" s="1080"/>
      <c r="BK19" s="1080"/>
      <c r="BL19" s="1080"/>
      <c r="BM19" s="1080"/>
      <c r="BN19" s="1080"/>
      <c r="BO19" s="1080"/>
      <c r="BP19" s="402">
        <f>SUM(BP14:BP18)</f>
        <v>28683.554855645238</v>
      </c>
      <c r="BQ19" s="286"/>
    </row>
    <row r="20" spans="1:74" ht="31.5" x14ac:dyDescent="0.25">
      <c r="B20" s="363"/>
      <c r="C20" s="357" t="s">
        <v>1600</v>
      </c>
      <c r="D20" s="358">
        <v>4190147.1834040005</v>
      </c>
      <c r="E20" s="365"/>
      <c r="H20" s="1089" t="s">
        <v>1733</v>
      </c>
      <c r="I20" s="1089"/>
      <c r="J20" s="1089"/>
      <c r="K20" s="1089"/>
      <c r="L20" s="1089"/>
      <c r="M20" s="1089"/>
      <c r="N20" s="1089"/>
      <c r="O20" s="1089"/>
      <c r="P20" s="403">
        <f>P19/208</f>
        <v>89.975349521785716</v>
      </c>
      <c r="S20" s="1095"/>
      <c r="T20" s="1085" t="s">
        <v>1497</v>
      </c>
      <c r="U20" s="252" t="s">
        <v>1550</v>
      </c>
      <c r="V20" s="311">
        <v>5</v>
      </c>
      <c r="W20" s="275" t="s">
        <v>285</v>
      </c>
      <c r="X20" s="397">
        <f>D14</f>
        <v>4022401.8357640002</v>
      </c>
      <c r="Y20" s="397">
        <f>X20/$W$11</f>
        <v>14897.784576903705</v>
      </c>
      <c r="Z20" s="397">
        <f t="shared" si="3"/>
        <v>248.29640961506175</v>
      </c>
      <c r="AA20" s="397">
        <f t="shared" si="4"/>
        <v>1241.4820480753087</v>
      </c>
      <c r="AC20" s="1097"/>
      <c r="AD20" s="1085"/>
      <c r="AE20" s="252" t="s">
        <v>1560</v>
      </c>
      <c r="AF20" s="311">
        <v>15</v>
      </c>
      <c r="AG20" s="275" t="s">
        <v>2316</v>
      </c>
      <c r="AH20" s="383">
        <f>D16+D17</f>
        <v>4942162.728906</v>
      </c>
      <c r="AI20" s="383">
        <f>AH20/$AD$11</f>
        <v>23534.108232885716</v>
      </c>
      <c r="AJ20" s="383">
        <f t="shared" si="5"/>
        <v>392.23513721476195</v>
      </c>
      <c r="AK20" s="383">
        <f t="shared" si="6"/>
        <v>5883.5270582214289</v>
      </c>
      <c r="AL20" s="475"/>
      <c r="AM20" s="1094"/>
      <c r="AN20" s="1085"/>
      <c r="AO20" s="1091"/>
      <c r="AP20" s="533" t="s">
        <v>1920</v>
      </c>
      <c r="AQ20" s="279">
        <v>10</v>
      </c>
      <c r="AR20" s="663" t="s">
        <v>2314</v>
      </c>
      <c r="AS20" s="572">
        <f t="shared" ref="AS20:AS29" si="10">$D$15+$D$16</f>
        <v>6734039.5507319998</v>
      </c>
      <c r="AT20" s="572">
        <f>AS20/$AN$11</f>
        <v>32066.855003485714</v>
      </c>
      <c r="AU20" s="572">
        <f t="shared" si="7"/>
        <v>534.44758339142857</v>
      </c>
      <c r="AV20" s="572">
        <f t="shared" si="9"/>
        <v>178.14919446380952</v>
      </c>
      <c r="AX20" s="1080" t="s">
        <v>1595</v>
      </c>
      <c r="AY20" s="1080"/>
      <c r="AZ20" s="1080"/>
      <c r="BA20" s="1080"/>
      <c r="BB20" s="1080"/>
      <c r="BC20" s="1080"/>
      <c r="BD20" s="1080"/>
      <c r="BE20" s="1080"/>
      <c r="BF20" s="402">
        <f>SUM(BF14:BF19)</f>
        <v>3954.643823137566</v>
      </c>
      <c r="BG20" s="286"/>
      <c r="BH20" s="1089" t="s">
        <v>1733</v>
      </c>
      <c r="BI20" s="1089"/>
      <c r="BJ20" s="1089"/>
      <c r="BK20" s="1089"/>
      <c r="BL20" s="1089"/>
      <c r="BM20" s="1089"/>
      <c r="BN20" s="1089"/>
      <c r="BO20" s="1089"/>
      <c r="BP20" s="403">
        <f>BP19/30</f>
        <v>956.11849518817462</v>
      </c>
    </row>
    <row r="21" spans="1:74" ht="31.5" x14ac:dyDescent="0.25">
      <c r="B21" s="363"/>
      <c r="C21" s="357" t="s">
        <v>273</v>
      </c>
      <c r="D21" s="358">
        <v>1575142.9535399999</v>
      </c>
      <c r="E21" s="365"/>
      <c r="S21" s="1095"/>
      <c r="T21" s="1085"/>
      <c r="U21" s="252" t="s">
        <v>1551</v>
      </c>
      <c r="V21" s="311">
        <v>5</v>
      </c>
      <c r="W21" s="275" t="s">
        <v>2314</v>
      </c>
      <c r="X21" s="383">
        <f>D15+D16</f>
        <v>6734039.5507319998</v>
      </c>
      <c r="Y21" s="397">
        <f>X21/$T$11</f>
        <v>32066.855003485714</v>
      </c>
      <c r="Z21" s="397">
        <f t="shared" si="3"/>
        <v>534.44758339142857</v>
      </c>
      <c r="AA21" s="397">
        <f t="shared" si="4"/>
        <v>2672.2379169571427</v>
      </c>
      <c r="AC21" s="1097"/>
      <c r="AD21" s="1085"/>
      <c r="AE21" s="252" t="s">
        <v>287</v>
      </c>
      <c r="AF21" s="311">
        <v>4</v>
      </c>
      <c r="AG21" s="275" t="s">
        <v>2316</v>
      </c>
      <c r="AH21" s="383">
        <f>D16+D17</f>
        <v>4942162.728906</v>
      </c>
      <c r="AI21" s="383">
        <f>AH21/$AD$11</f>
        <v>23534.108232885716</v>
      </c>
      <c r="AJ21" s="383">
        <f t="shared" si="5"/>
        <v>392.23513721476195</v>
      </c>
      <c r="AK21" s="383">
        <f t="shared" si="6"/>
        <v>1568.9405488590478</v>
      </c>
      <c r="AL21" s="475"/>
      <c r="AM21" s="1094"/>
      <c r="AN21" s="1085"/>
      <c r="AO21" s="1091"/>
      <c r="AP21" s="533" t="s">
        <v>1921</v>
      </c>
      <c r="AQ21" s="279">
        <v>15</v>
      </c>
      <c r="AR21" s="663" t="s">
        <v>2314</v>
      </c>
      <c r="AS21" s="572">
        <f t="shared" si="10"/>
        <v>6734039.5507319998</v>
      </c>
      <c r="AT21" s="572">
        <f>AS21/$AN$11</f>
        <v>32066.855003485714</v>
      </c>
      <c r="AU21" s="572">
        <f t="shared" si="7"/>
        <v>534.44758339142857</v>
      </c>
      <c r="AV21" s="572">
        <f t="shared" si="9"/>
        <v>267.22379169571428</v>
      </c>
      <c r="AX21" s="1089" t="s">
        <v>1733</v>
      </c>
      <c r="AY21" s="1089"/>
      <c r="AZ21" s="1089"/>
      <c r="BA21" s="1089"/>
      <c r="BB21" s="1089"/>
      <c r="BC21" s="1089"/>
      <c r="BD21" s="1089"/>
      <c r="BE21" s="1089"/>
      <c r="BF21" s="403">
        <f>BF20/30</f>
        <v>131.82146077125219</v>
      </c>
    </row>
    <row r="22" spans="1:74" ht="16.5" customHeight="1" x14ac:dyDescent="0.25">
      <c r="B22" s="363"/>
      <c r="C22" s="120" t="s">
        <v>2309</v>
      </c>
      <c r="D22" s="669">
        <v>1745895.3883799999</v>
      </c>
      <c r="E22" s="668"/>
      <c r="S22" s="1095"/>
      <c r="T22" s="1085"/>
      <c r="U22" s="252" t="s">
        <v>288</v>
      </c>
      <c r="V22" s="311">
        <v>1</v>
      </c>
      <c r="W22" s="275" t="s">
        <v>2315</v>
      </c>
      <c r="X22" s="383">
        <f>D15+D17</f>
        <v>4942162.728906</v>
      </c>
      <c r="Y22" s="397">
        <f>X22/$T$11</f>
        <v>23534.108232885716</v>
      </c>
      <c r="Z22" s="397">
        <f t="shared" si="3"/>
        <v>392.23513721476195</v>
      </c>
      <c r="AA22" s="397">
        <f t="shared" si="4"/>
        <v>392.23513721476195</v>
      </c>
      <c r="AC22" s="1097"/>
      <c r="AD22" s="1085"/>
      <c r="AE22" s="252" t="s">
        <v>1565</v>
      </c>
      <c r="AF22" s="311">
        <v>2</v>
      </c>
      <c r="AG22" s="275" t="s">
        <v>285</v>
      </c>
      <c r="AH22" s="383">
        <f>D14</f>
        <v>4022401.8357640002</v>
      </c>
      <c r="AI22" s="383">
        <f>AH22/$AG$11</f>
        <v>14897.784576903705</v>
      </c>
      <c r="AJ22" s="383">
        <f t="shared" si="5"/>
        <v>248.29640961506175</v>
      </c>
      <c r="AK22" s="383">
        <f t="shared" si="6"/>
        <v>496.5928192301235</v>
      </c>
      <c r="AL22" s="475"/>
      <c r="AM22" s="1094"/>
      <c r="AN22" s="1085"/>
      <c r="AO22" s="1091"/>
      <c r="AP22" s="533" t="s">
        <v>1922</v>
      </c>
      <c r="AQ22" s="279">
        <v>15</v>
      </c>
      <c r="AR22" s="663" t="s">
        <v>2314</v>
      </c>
      <c r="AS22" s="572">
        <f t="shared" si="10"/>
        <v>6734039.5507319998</v>
      </c>
      <c r="AT22" s="572">
        <f>AS22/$AN$11</f>
        <v>32066.855003485714</v>
      </c>
      <c r="AU22" s="572">
        <f t="shared" si="7"/>
        <v>534.44758339142857</v>
      </c>
      <c r="AV22" s="572">
        <f t="shared" si="9"/>
        <v>267.22379169571428</v>
      </c>
    </row>
    <row r="23" spans="1:74" ht="43.5" thickBot="1" x14ac:dyDescent="0.3">
      <c r="B23" s="366"/>
      <c r="C23" s="367"/>
      <c r="D23" s="367"/>
      <c r="E23" s="368"/>
      <c r="S23" s="1095"/>
      <c r="T23" s="384" t="s">
        <v>1545</v>
      </c>
      <c r="U23" s="385" t="s">
        <v>1111</v>
      </c>
      <c r="V23" s="79">
        <v>2</v>
      </c>
      <c r="W23" s="386" t="s">
        <v>285</v>
      </c>
      <c r="X23" s="387">
        <f>D14</f>
        <v>4022401.8357640002</v>
      </c>
      <c r="Y23" s="387">
        <f>X23/W11</f>
        <v>14897.784576903705</v>
      </c>
      <c r="Z23" s="387">
        <f>Y23/60</f>
        <v>248.29640961506175</v>
      </c>
      <c r="AA23" s="387">
        <f>Z23*V23</f>
        <v>496.5928192301235</v>
      </c>
      <c r="AC23" s="1098"/>
      <c r="AD23" s="384" t="s">
        <v>1545</v>
      </c>
      <c r="AE23" s="385" t="s">
        <v>1566</v>
      </c>
      <c r="AF23" s="79">
        <v>2</v>
      </c>
      <c r="AG23" s="386" t="s">
        <v>285</v>
      </c>
      <c r="AH23" s="387">
        <f>D14</f>
        <v>4022401.8357640002</v>
      </c>
      <c r="AI23" s="387">
        <f>AH23/$AG$11</f>
        <v>14897.784576903705</v>
      </c>
      <c r="AJ23" s="387">
        <f t="shared" si="5"/>
        <v>248.29640961506175</v>
      </c>
      <c r="AK23" s="387">
        <f t="shared" si="6"/>
        <v>496.5928192301235</v>
      </c>
      <c r="AL23" s="475"/>
      <c r="AM23" s="1094"/>
      <c r="AN23" s="1085"/>
      <c r="AO23" s="1091"/>
      <c r="AP23" s="533" t="s">
        <v>1924</v>
      </c>
      <c r="AQ23" s="279">
        <v>15</v>
      </c>
      <c r="AR23" s="663" t="s">
        <v>2314</v>
      </c>
      <c r="AS23" s="572">
        <f t="shared" si="10"/>
        <v>6734039.5507319998</v>
      </c>
      <c r="AT23" s="572">
        <f t="shared" ref="AT23:AT31" si="11">AS23/$AN$11</f>
        <v>32066.855003485714</v>
      </c>
      <c r="AU23" s="572">
        <f t="shared" si="7"/>
        <v>534.44758339142857</v>
      </c>
      <c r="AV23" s="572">
        <f t="shared" si="9"/>
        <v>267.22379169571428</v>
      </c>
    </row>
    <row r="24" spans="1:74" ht="31.5" x14ac:dyDescent="0.25">
      <c r="Q24" s="286"/>
      <c r="S24" s="1080" t="s">
        <v>1595</v>
      </c>
      <c r="T24" s="1080"/>
      <c r="U24" s="1080"/>
      <c r="V24" s="1080"/>
      <c r="W24" s="1080"/>
      <c r="X24" s="1080"/>
      <c r="Y24" s="1080"/>
      <c r="Z24" s="1080"/>
      <c r="AA24" s="402">
        <f>SUM(AA14:AA23)</f>
        <v>44714.105669258286</v>
      </c>
      <c r="AB24" s="286"/>
      <c r="AC24" s="1080" t="s">
        <v>1595</v>
      </c>
      <c r="AD24" s="1080"/>
      <c r="AE24" s="1080"/>
      <c r="AF24" s="1080"/>
      <c r="AG24" s="1080"/>
      <c r="AH24" s="1080"/>
      <c r="AI24" s="1080"/>
      <c r="AJ24" s="1080"/>
      <c r="AK24" s="402">
        <f>SUM(AK14:AK23)</f>
        <v>54051.464230736579</v>
      </c>
      <c r="AL24" s="570"/>
      <c r="AM24" s="1094"/>
      <c r="AN24" s="1085"/>
      <c r="AO24" s="1091"/>
      <c r="AP24" s="533" t="s">
        <v>1923</v>
      </c>
      <c r="AQ24" s="279">
        <v>10</v>
      </c>
      <c r="AR24" s="663" t="s">
        <v>2314</v>
      </c>
      <c r="AS24" s="572">
        <f t="shared" si="10"/>
        <v>6734039.5507319998</v>
      </c>
      <c r="AT24" s="572">
        <f>AS24/$AN$11</f>
        <v>32066.855003485714</v>
      </c>
      <c r="AU24" s="572">
        <f t="shared" si="7"/>
        <v>534.44758339142857</v>
      </c>
      <c r="AV24" s="572">
        <f t="shared" si="9"/>
        <v>178.14919446380952</v>
      </c>
      <c r="AW24" s="286"/>
    </row>
    <row r="25" spans="1:74" ht="31.5" x14ac:dyDescent="0.25">
      <c r="A25" s="30"/>
      <c r="B25" s="331"/>
      <c r="C25" s="359"/>
      <c r="D25" s="30"/>
      <c r="Q25" s="286"/>
      <c r="S25" s="1089" t="s">
        <v>1733</v>
      </c>
      <c r="T25" s="1089"/>
      <c r="U25" s="1089"/>
      <c r="V25" s="1089"/>
      <c r="W25" s="1089"/>
      <c r="X25" s="1089"/>
      <c r="Y25" s="1089"/>
      <c r="Z25" s="1089"/>
      <c r="AA25" s="403">
        <f>AA24/30</f>
        <v>1490.4701889752762</v>
      </c>
      <c r="AC25" s="1089" t="s">
        <v>1733</v>
      </c>
      <c r="AD25" s="1089"/>
      <c r="AE25" s="1089"/>
      <c r="AF25" s="1089"/>
      <c r="AG25" s="1089"/>
      <c r="AH25" s="1089"/>
      <c r="AI25" s="1089"/>
      <c r="AJ25" s="1089"/>
      <c r="AK25" s="403">
        <f>AK24/30</f>
        <v>1801.715474357886</v>
      </c>
      <c r="AL25" s="571"/>
      <c r="AM25" s="1094"/>
      <c r="AN25" s="1085"/>
      <c r="AO25" s="1091"/>
      <c r="AP25" s="533" t="s">
        <v>1925</v>
      </c>
      <c r="AQ25" s="279">
        <v>10</v>
      </c>
      <c r="AR25" s="663" t="s">
        <v>2314</v>
      </c>
      <c r="AS25" s="572">
        <f t="shared" si="10"/>
        <v>6734039.5507319998</v>
      </c>
      <c r="AT25" s="572">
        <f t="shared" si="11"/>
        <v>32066.855003485714</v>
      </c>
      <c r="AU25" s="572">
        <f t="shared" si="7"/>
        <v>534.44758339142857</v>
      </c>
      <c r="AV25" s="572">
        <f t="shared" si="9"/>
        <v>178.14919446380952</v>
      </c>
    </row>
    <row r="26" spans="1:74" ht="31.5" x14ac:dyDescent="0.25">
      <c r="A26" s="30"/>
      <c r="B26" s="331"/>
      <c r="C26" s="359"/>
      <c r="D26" s="30"/>
      <c r="Q26" s="286"/>
      <c r="S26" s="569"/>
      <c r="T26" s="569"/>
      <c r="U26" s="569"/>
      <c r="V26" s="569"/>
      <c r="W26" s="569"/>
      <c r="X26" s="569"/>
      <c r="Y26" s="569"/>
      <c r="Z26" s="569"/>
      <c r="AA26" s="571"/>
      <c r="AC26" s="569"/>
      <c r="AD26" s="569"/>
      <c r="AE26" s="569"/>
      <c r="AF26" s="569"/>
      <c r="AG26" s="569"/>
      <c r="AH26" s="569"/>
      <c r="AI26" s="569"/>
      <c r="AJ26" s="569"/>
      <c r="AK26" s="571"/>
      <c r="AL26" s="571"/>
      <c r="AM26" s="1094"/>
      <c r="AN26" s="1085"/>
      <c r="AO26" s="1091"/>
      <c r="AP26" s="533" t="s">
        <v>1926</v>
      </c>
      <c r="AQ26" s="279">
        <v>15</v>
      </c>
      <c r="AR26" s="663" t="s">
        <v>2314</v>
      </c>
      <c r="AS26" s="572">
        <f t="shared" si="10"/>
        <v>6734039.5507319998</v>
      </c>
      <c r="AT26" s="572">
        <f t="shared" si="11"/>
        <v>32066.855003485714</v>
      </c>
      <c r="AU26" s="572">
        <f t="shared" si="7"/>
        <v>534.44758339142857</v>
      </c>
      <c r="AV26" s="572">
        <f t="shared" si="9"/>
        <v>267.22379169571428</v>
      </c>
    </row>
    <row r="27" spans="1:74" ht="31.5" x14ac:dyDescent="0.25">
      <c r="A27" s="30"/>
      <c r="B27" s="331"/>
      <c r="C27" s="359"/>
      <c r="D27" s="30"/>
      <c r="Q27" s="286"/>
      <c r="S27" s="569"/>
      <c r="T27" s="569"/>
      <c r="U27" s="569"/>
      <c r="V27" s="569"/>
      <c r="W27" s="569"/>
      <c r="X27" s="569"/>
      <c r="Y27" s="569"/>
      <c r="Z27" s="569"/>
      <c r="AA27" s="571"/>
      <c r="AC27" s="569"/>
      <c r="AD27" s="569"/>
      <c r="AE27" s="569"/>
      <c r="AF27" s="569"/>
      <c r="AG27" s="569"/>
      <c r="AH27" s="569"/>
      <c r="AI27" s="569"/>
      <c r="AJ27" s="569"/>
      <c r="AK27" s="571"/>
      <c r="AL27" s="571"/>
      <c r="AM27" s="1094"/>
      <c r="AN27" s="1085"/>
      <c r="AO27" s="1091"/>
      <c r="AP27" s="533" t="s">
        <v>1927</v>
      </c>
      <c r="AQ27" s="279">
        <v>10</v>
      </c>
      <c r="AR27" s="663" t="s">
        <v>2314</v>
      </c>
      <c r="AS27" s="572">
        <f t="shared" si="10"/>
        <v>6734039.5507319998</v>
      </c>
      <c r="AT27" s="572">
        <f t="shared" si="11"/>
        <v>32066.855003485714</v>
      </c>
      <c r="AU27" s="572">
        <f t="shared" si="7"/>
        <v>534.44758339142857</v>
      </c>
      <c r="AV27" s="572">
        <f t="shared" si="9"/>
        <v>178.14919446380952</v>
      </c>
    </row>
    <row r="28" spans="1:74" ht="31.5" x14ac:dyDescent="0.25">
      <c r="A28" s="30"/>
      <c r="B28" s="331"/>
      <c r="C28" s="359"/>
      <c r="D28" s="30"/>
      <c r="Q28" s="286"/>
      <c r="S28" s="569"/>
      <c r="T28" s="569"/>
      <c r="U28" s="569"/>
      <c r="V28" s="569"/>
      <c r="W28" s="569"/>
      <c r="X28" s="569"/>
      <c r="Y28" s="569"/>
      <c r="Z28" s="569"/>
      <c r="AA28" s="571"/>
      <c r="AC28" s="569"/>
      <c r="AD28" s="569"/>
      <c r="AE28" s="569"/>
      <c r="AF28" s="569"/>
      <c r="AG28" s="569"/>
      <c r="AH28" s="569"/>
      <c r="AI28" s="569"/>
      <c r="AJ28" s="569"/>
      <c r="AK28" s="571"/>
      <c r="AL28" s="571"/>
      <c r="AM28" s="1094"/>
      <c r="AN28" s="1085"/>
      <c r="AO28" s="1091"/>
      <c r="AP28" s="533" t="s">
        <v>1928</v>
      </c>
      <c r="AQ28" s="279">
        <v>10</v>
      </c>
      <c r="AR28" s="663" t="s">
        <v>2314</v>
      </c>
      <c r="AS28" s="572">
        <f t="shared" si="10"/>
        <v>6734039.5507319998</v>
      </c>
      <c r="AT28" s="572">
        <f t="shared" si="11"/>
        <v>32066.855003485714</v>
      </c>
      <c r="AU28" s="572">
        <f t="shared" si="7"/>
        <v>534.44758339142857</v>
      </c>
      <c r="AV28" s="572">
        <f t="shared" si="9"/>
        <v>178.14919446380952</v>
      </c>
    </row>
    <row r="29" spans="1:74" ht="31.5" x14ac:dyDescent="0.25">
      <c r="A29" s="30"/>
      <c r="B29" s="331"/>
      <c r="C29" s="359"/>
      <c r="D29" s="30"/>
      <c r="Q29" s="286"/>
      <c r="S29" s="569"/>
      <c r="T29" s="569"/>
      <c r="U29" s="569"/>
      <c r="V29" s="569"/>
      <c r="W29" s="569"/>
      <c r="X29" s="569"/>
      <c r="Y29" s="569"/>
      <c r="Z29" s="569"/>
      <c r="AA29" s="571"/>
      <c r="AC29" s="569"/>
      <c r="AD29" s="569"/>
      <c r="AE29" s="569"/>
      <c r="AF29" s="569"/>
      <c r="AG29" s="569"/>
      <c r="AH29" s="569"/>
      <c r="AI29" s="569"/>
      <c r="AJ29" s="569"/>
      <c r="AK29" s="571"/>
      <c r="AL29" s="571"/>
      <c r="AM29" s="1094"/>
      <c r="AN29" s="1085"/>
      <c r="AO29" s="1092"/>
      <c r="AP29" s="533" t="s">
        <v>1929</v>
      </c>
      <c r="AQ29" s="279">
        <v>10</v>
      </c>
      <c r="AR29" s="663" t="s">
        <v>2314</v>
      </c>
      <c r="AS29" s="572">
        <f t="shared" si="10"/>
        <v>6734039.5507319998</v>
      </c>
      <c r="AT29" s="572">
        <f t="shared" si="11"/>
        <v>32066.855003485714</v>
      </c>
      <c r="AU29" s="572">
        <f t="shared" si="7"/>
        <v>534.44758339142857</v>
      </c>
      <c r="AV29" s="572">
        <f t="shared" si="9"/>
        <v>178.14919446380952</v>
      </c>
    </row>
    <row r="30" spans="1:74" ht="47.25" x14ac:dyDescent="0.25">
      <c r="A30" s="30"/>
      <c r="B30" s="331"/>
      <c r="C30" s="359"/>
      <c r="D30" s="30"/>
      <c r="Q30" s="286"/>
      <c r="S30" s="569"/>
      <c r="T30" s="569"/>
      <c r="U30" s="569"/>
      <c r="V30" s="569"/>
      <c r="W30" s="569"/>
      <c r="X30" s="569"/>
      <c r="Y30" s="569"/>
      <c r="Z30" s="569"/>
      <c r="AA30" s="571"/>
      <c r="AC30" s="569"/>
      <c r="AD30" s="569"/>
      <c r="AE30" s="569"/>
      <c r="AF30" s="569"/>
      <c r="AG30" s="569"/>
      <c r="AH30" s="569"/>
      <c r="AI30" s="569"/>
      <c r="AJ30" s="569"/>
      <c r="AK30" s="571"/>
      <c r="AL30" s="571"/>
      <c r="AM30" s="1094"/>
      <c r="AN30" s="1085"/>
      <c r="AO30" s="533" t="s">
        <v>1560</v>
      </c>
      <c r="AP30" s="533"/>
      <c r="AQ30" s="279">
        <v>15</v>
      </c>
      <c r="AR30" s="568" t="s">
        <v>2316</v>
      </c>
      <c r="AS30" s="573">
        <f>D16+D17</f>
        <v>4942162.728906</v>
      </c>
      <c r="AT30" s="572">
        <f>AS30/$AN$11</f>
        <v>23534.108232885716</v>
      </c>
      <c r="AU30" s="572">
        <f t="shared" si="7"/>
        <v>392.23513721476195</v>
      </c>
      <c r="AV30" s="572">
        <f t="shared" si="8"/>
        <v>5883.5270582214289</v>
      </c>
    </row>
    <row r="31" spans="1:74" x14ac:dyDescent="0.25">
      <c r="A31" s="30"/>
      <c r="B31" s="331"/>
      <c r="C31" s="359"/>
      <c r="D31" s="30"/>
      <c r="Q31" s="286"/>
      <c r="S31" s="569"/>
      <c r="T31" s="569"/>
      <c r="U31" s="569"/>
      <c r="V31" s="569"/>
      <c r="W31" s="569"/>
      <c r="X31" s="569"/>
      <c r="Y31" s="569"/>
      <c r="Z31" s="569"/>
      <c r="AA31" s="571"/>
      <c r="AC31" s="569"/>
      <c r="AD31" s="569"/>
      <c r="AE31" s="569"/>
      <c r="AF31" s="569"/>
      <c r="AG31" s="569"/>
      <c r="AH31" s="569"/>
      <c r="AI31" s="569"/>
      <c r="AJ31" s="569"/>
      <c r="AK31" s="571"/>
      <c r="AL31" s="571"/>
      <c r="AM31" s="1094"/>
      <c r="AN31" s="1085"/>
      <c r="AO31" s="252" t="s">
        <v>287</v>
      </c>
      <c r="AP31" s="252"/>
      <c r="AQ31" s="529">
        <v>4</v>
      </c>
      <c r="AR31" s="275" t="s">
        <v>1403</v>
      </c>
      <c r="AS31" s="574">
        <f>D16</f>
        <v>3367019.7753659999</v>
      </c>
      <c r="AT31" s="383">
        <f t="shared" si="11"/>
        <v>16033.427501742857</v>
      </c>
      <c r="AU31" s="383">
        <f t="shared" si="7"/>
        <v>267.22379169571428</v>
      </c>
      <c r="AV31" s="383">
        <f t="shared" si="8"/>
        <v>1068.8951667828571</v>
      </c>
    </row>
    <row r="32" spans="1:74" x14ac:dyDescent="0.25">
      <c r="A32" s="30"/>
      <c r="B32" s="331"/>
      <c r="C32" s="359"/>
      <c r="D32" s="30"/>
      <c r="Q32" s="286"/>
      <c r="S32" s="569"/>
      <c r="T32" s="569"/>
      <c r="U32" s="569"/>
      <c r="V32" s="569"/>
      <c r="W32" s="569"/>
      <c r="X32" s="569"/>
      <c r="Y32" s="569"/>
      <c r="Z32" s="569"/>
      <c r="AA32" s="571"/>
      <c r="AC32" s="569"/>
      <c r="AD32" s="569"/>
      <c r="AE32" s="569"/>
      <c r="AF32" s="569"/>
      <c r="AG32" s="569"/>
      <c r="AH32" s="569"/>
      <c r="AI32" s="569"/>
      <c r="AJ32" s="569"/>
      <c r="AK32" s="571"/>
      <c r="AL32" s="571"/>
      <c r="AM32" s="1094"/>
      <c r="AN32" s="1085"/>
      <c r="AO32" s="252" t="s">
        <v>1565</v>
      </c>
      <c r="AP32" s="252"/>
      <c r="AQ32" s="529">
        <v>2</v>
      </c>
      <c r="AR32" s="275" t="s">
        <v>285</v>
      </c>
      <c r="AS32" s="574">
        <f>D14</f>
        <v>4022401.8357640002</v>
      </c>
      <c r="AT32" s="383">
        <f>AS32/$AQ$11</f>
        <v>14897.784576903705</v>
      </c>
      <c r="AU32" s="383">
        <f t="shared" si="7"/>
        <v>248.29640961506175</v>
      </c>
      <c r="AV32" s="383">
        <f t="shared" si="8"/>
        <v>496.5928192301235</v>
      </c>
    </row>
    <row r="33" spans="1:69" ht="42.75" x14ac:dyDescent="0.25">
      <c r="A33" s="30"/>
      <c r="B33" s="331"/>
      <c r="C33" s="359"/>
      <c r="D33" s="30"/>
      <c r="Q33" s="286"/>
      <c r="S33" s="569"/>
      <c r="T33" s="569"/>
      <c r="U33" s="569"/>
      <c r="V33" s="569"/>
      <c r="W33" s="569"/>
      <c r="X33" s="569"/>
      <c r="Y33" s="569"/>
      <c r="Z33" s="569"/>
      <c r="AA33" s="571"/>
      <c r="AC33" s="569"/>
      <c r="AD33" s="569"/>
      <c r="AE33" s="569"/>
      <c r="AF33" s="569"/>
      <c r="AG33" s="569"/>
      <c r="AH33" s="569"/>
      <c r="AI33" s="569"/>
      <c r="AJ33" s="569"/>
      <c r="AK33" s="571"/>
      <c r="AL33" s="571"/>
      <c r="AM33" s="1094"/>
      <c r="AN33" s="384" t="s">
        <v>1545</v>
      </c>
      <c r="AO33" s="1062" t="s">
        <v>1566</v>
      </c>
      <c r="AP33" s="1063"/>
      <c r="AQ33" s="530">
        <v>2</v>
      </c>
      <c r="AR33" s="386" t="s">
        <v>285</v>
      </c>
      <c r="AS33" s="575">
        <f>D14</f>
        <v>4022401.8357640002</v>
      </c>
      <c r="AT33" s="387">
        <f>AS33/$AQ$11</f>
        <v>14897.784576903705</v>
      </c>
      <c r="AU33" s="387">
        <f t="shared" si="7"/>
        <v>248.29640961506175</v>
      </c>
      <c r="AV33" s="387">
        <f t="shared" si="8"/>
        <v>496.5928192301235</v>
      </c>
    </row>
    <row r="34" spans="1:69" x14ac:dyDescent="0.25">
      <c r="A34" s="30"/>
      <c r="B34" s="331"/>
      <c r="C34" s="359"/>
      <c r="D34" s="30"/>
      <c r="Q34" s="286"/>
      <c r="S34" s="569"/>
      <c r="T34" s="569"/>
      <c r="U34" s="569"/>
      <c r="V34" s="569"/>
      <c r="W34" s="569"/>
      <c r="X34" s="569"/>
      <c r="Y34" s="569"/>
      <c r="Z34" s="569"/>
      <c r="AA34" s="571"/>
      <c r="AC34" s="569"/>
      <c r="AD34" s="569"/>
      <c r="AE34" s="569"/>
      <c r="AF34" s="569"/>
      <c r="AG34" s="569"/>
      <c r="AH34" s="569"/>
      <c r="AI34" s="569"/>
      <c r="AJ34" s="569"/>
      <c r="AK34" s="571"/>
      <c r="AL34" s="571"/>
      <c r="AM34" s="1056" t="s">
        <v>1595</v>
      </c>
      <c r="AN34" s="1057"/>
      <c r="AO34" s="1057"/>
      <c r="AP34" s="1057"/>
      <c r="AQ34" s="1057"/>
      <c r="AR34" s="1057"/>
      <c r="AS34" s="1057"/>
      <c r="AT34" s="1057"/>
      <c r="AU34" s="1058"/>
      <c r="AV34" s="402">
        <f>AV14+AV15+AV16+AV17+AV30+AV31+AV32+AV33</f>
        <v>28612.448968238343</v>
      </c>
    </row>
    <row r="35" spans="1:69" x14ac:dyDescent="0.25">
      <c r="A35" s="30"/>
      <c r="B35" s="331"/>
      <c r="C35" s="359"/>
      <c r="D35" s="30"/>
      <c r="Q35" s="286"/>
      <c r="S35" s="569"/>
      <c r="T35" s="569"/>
      <c r="U35" s="569"/>
      <c r="V35" s="569"/>
      <c r="W35" s="569"/>
      <c r="X35" s="569"/>
      <c r="Y35" s="569"/>
      <c r="Z35" s="569"/>
      <c r="AA35" s="571"/>
      <c r="AC35" s="569"/>
      <c r="AD35" s="569"/>
      <c r="AE35" s="569"/>
      <c r="AF35" s="569"/>
      <c r="AG35" s="569"/>
      <c r="AH35" s="569"/>
      <c r="AI35" s="569"/>
      <c r="AJ35" s="569"/>
      <c r="AK35" s="571"/>
      <c r="AL35" s="571"/>
      <c r="AM35" s="1059" t="s">
        <v>1733</v>
      </c>
      <c r="AN35" s="1060"/>
      <c r="AO35" s="1060"/>
      <c r="AP35" s="1060"/>
      <c r="AQ35" s="1060"/>
      <c r="AR35" s="1060"/>
      <c r="AS35" s="1060"/>
      <c r="AT35" s="1060"/>
      <c r="AU35" s="1061"/>
      <c r="AV35" s="403">
        <f>AV34/30</f>
        <v>953.74829894127811</v>
      </c>
    </row>
    <row r="36" spans="1:69" x14ac:dyDescent="0.25">
      <c r="A36" s="30"/>
      <c r="B36" s="331"/>
      <c r="C36" s="359"/>
      <c r="D36" s="30"/>
      <c r="Q36" s="286"/>
      <c r="S36" s="569"/>
      <c r="T36" s="569"/>
      <c r="U36" s="569"/>
      <c r="V36" s="569"/>
      <c r="W36" s="569"/>
      <c r="X36" s="569"/>
      <c r="Y36" s="569"/>
      <c r="Z36" s="569"/>
      <c r="AA36" s="571"/>
      <c r="AC36" s="569"/>
      <c r="AD36" s="569"/>
      <c r="AE36" s="569"/>
      <c r="AF36" s="569"/>
      <c r="AG36" s="569"/>
      <c r="AH36" s="569"/>
      <c r="AI36" s="569"/>
      <c r="AJ36" s="569"/>
      <c r="AK36" s="571"/>
      <c r="AL36" s="571"/>
    </row>
    <row r="37" spans="1:69" ht="42.75" customHeight="1" x14ac:dyDescent="0.25">
      <c r="A37" s="30"/>
      <c r="B37" s="331"/>
      <c r="C37" s="359"/>
      <c r="D37" s="30"/>
      <c r="AA37" s="286"/>
    </row>
    <row r="38" spans="1:69" x14ac:dyDescent="0.25">
      <c r="A38" s="30"/>
      <c r="B38" s="331"/>
      <c r="C38" s="359"/>
      <c r="D38" s="30"/>
      <c r="H38" s="399" t="s">
        <v>1576</v>
      </c>
      <c r="I38" s="399" t="s">
        <v>1574</v>
      </c>
      <c r="J38" s="399" t="s">
        <v>1575</v>
      </c>
      <c r="K38" s="399" t="s">
        <v>1582</v>
      </c>
      <c r="L38" s="400" t="s">
        <v>1577</v>
      </c>
      <c r="M38" s="400" t="s">
        <v>1586</v>
      </c>
      <c r="N38" s="400" t="s">
        <v>1587</v>
      </c>
      <c r="O38" s="404" t="s">
        <v>1590</v>
      </c>
      <c r="P38" s="400" t="s">
        <v>303</v>
      </c>
      <c r="S38" s="399" t="s">
        <v>1576</v>
      </c>
      <c r="T38" s="400" t="s">
        <v>1574</v>
      </c>
      <c r="U38" s="400" t="s">
        <v>1575</v>
      </c>
      <c r="V38" s="400" t="s">
        <v>1582</v>
      </c>
      <c r="W38" s="400" t="s">
        <v>1577</v>
      </c>
      <c r="X38" s="400" t="s">
        <v>1586</v>
      </c>
      <c r="Y38" s="400" t="s">
        <v>1587</v>
      </c>
      <c r="Z38" s="404" t="s">
        <v>1590</v>
      </c>
      <c r="AA38" s="400" t="s">
        <v>303</v>
      </c>
      <c r="AC38" s="400" t="s">
        <v>1576</v>
      </c>
      <c r="AD38" s="400" t="s">
        <v>1574</v>
      </c>
      <c r="AE38" s="400" t="s">
        <v>1575</v>
      </c>
      <c r="AF38" s="400" t="s">
        <v>1582</v>
      </c>
      <c r="AG38" s="400" t="s">
        <v>1577</v>
      </c>
      <c r="AH38" s="400" t="s">
        <v>1586</v>
      </c>
      <c r="AI38" s="400" t="s">
        <v>1587</v>
      </c>
      <c r="AJ38" s="404" t="s">
        <v>1590</v>
      </c>
      <c r="AK38" s="400" t="s">
        <v>303</v>
      </c>
      <c r="AL38" s="569"/>
      <c r="AM38" s="399" t="s">
        <v>1576</v>
      </c>
      <c r="AN38" s="399" t="s">
        <v>1574</v>
      </c>
      <c r="AO38" s="1093" t="s">
        <v>1575</v>
      </c>
      <c r="AP38" s="1093"/>
      <c r="AQ38" s="399" t="s">
        <v>1582</v>
      </c>
      <c r="AR38" s="399" t="s">
        <v>1577</v>
      </c>
      <c r="AS38" s="399" t="s">
        <v>1586</v>
      </c>
      <c r="AT38" s="399" t="s">
        <v>1587</v>
      </c>
      <c r="AU38" s="401" t="s">
        <v>1590</v>
      </c>
      <c r="AV38" s="399" t="s">
        <v>303</v>
      </c>
      <c r="AX38" s="399" t="s">
        <v>1576</v>
      </c>
      <c r="AY38" s="399" t="s">
        <v>1574</v>
      </c>
      <c r="AZ38" s="399" t="s">
        <v>1575</v>
      </c>
      <c r="BA38" s="399" t="s">
        <v>1582</v>
      </c>
      <c r="BB38" s="399" t="s">
        <v>1577</v>
      </c>
      <c r="BC38" s="399" t="s">
        <v>1586</v>
      </c>
      <c r="BD38" s="399" t="s">
        <v>1587</v>
      </c>
      <c r="BE38" s="401" t="s">
        <v>1590</v>
      </c>
      <c r="BF38" s="399" t="s">
        <v>303</v>
      </c>
      <c r="BH38" s="399" t="s">
        <v>1576</v>
      </c>
      <c r="BI38" s="399" t="s">
        <v>1574</v>
      </c>
      <c r="BJ38" s="399" t="s">
        <v>1575</v>
      </c>
      <c r="BK38" s="399" t="s">
        <v>1582</v>
      </c>
      <c r="BL38" s="399" t="s">
        <v>1577</v>
      </c>
      <c r="BM38" s="399" t="s">
        <v>1586</v>
      </c>
      <c r="BN38" s="399" t="s">
        <v>1587</v>
      </c>
      <c r="BO38" s="401" t="s">
        <v>1590</v>
      </c>
      <c r="BP38" s="399" t="s">
        <v>303</v>
      </c>
    </row>
    <row r="39" spans="1:69" ht="15.75" customHeight="1" x14ac:dyDescent="0.25">
      <c r="A39" s="30"/>
      <c r="B39" s="331"/>
      <c r="C39" s="359"/>
      <c r="D39" s="30"/>
      <c r="H39" s="1118" t="s">
        <v>1596</v>
      </c>
      <c r="I39" s="1120" t="s">
        <v>286</v>
      </c>
      <c r="J39" s="1122" t="s">
        <v>1553</v>
      </c>
      <c r="K39" s="379">
        <v>10</v>
      </c>
      <c r="L39" s="380" t="s">
        <v>1105</v>
      </c>
      <c r="M39" s="381">
        <f>D19</f>
        <v>1575142.9535399999</v>
      </c>
      <c r="N39" s="381">
        <f>M39/$O$11</f>
        <v>5833.8627908888884</v>
      </c>
      <c r="O39" s="382">
        <f>N39/60</f>
        <v>97.231046514814807</v>
      </c>
      <c r="P39" s="382">
        <f>O39*K39</f>
        <v>972.31046514814807</v>
      </c>
      <c r="S39" s="1124" t="s">
        <v>335</v>
      </c>
      <c r="T39" s="384" t="s">
        <v>1598</v>
      </c>
      <c r="U39" s="309" t="s">
        <v>296</v>
      </c>
      <c r="V39" s="79">
        <v>3</v>
      </c>
      <c r="W39" s="79" t="s">
        <v>253</v>
      </c>
      <c r="X39" s="387">
        <f>D18</f>
        <v>1745895.3883799999</v>
      </c>
      <c r="Y39" s="387">
        <f>X39/$W$11</f>
        <v>6466.2792162222222</v>
      </c>
      <c r="Z39" s="387">
        <f>Y39/60</f>
        <v>107.77132027037037</v>
      </c>
      <c r="AA39" s="387">
        <f>V39*Z39</f>
        <v>323.31396081111109</v>
      </c>
      <c r="AC39" s="1102" t="s">
        <v>1599</v>
      </c>
      <c r="AD39" s="384" t="s">
        <v>1545</v>
      </c>
      <c r="AE39" s="385" t="s">
        <v>296</v>
      </c>
      <c r="AF39" s="79">
        <v>3</v>
      </c>
      <c r="AG39" s="79" t="s">
        <v>253</v>
      </c>
      <c r="AH39" s="387">
        <f>D18</f>
        <v>1745895.3883799999</v>
      </c>
      <c r="AI39" s="387">
        <f>AH39/$AJ$11</f>
        <v>6466.2792162222222</v>
      </c>
      <c r="AJ39" s="387">
        <f>AI39/60</f>
        <v>107.77132027037037</v>
      </c>
      <c r="AK39" s="387">
        <f>AJ39*AF39</f>
        <v>323.31396081111109</v>
      </c>
      <c r="AL39" s="475"/>
      <c r="AM39" s="1073" t="s">
        <v>1930</v>
      </c>
      <c r="AN39" s="384" t="s">
        <v>1545</v>
      </c>
      <c r="AO39" s="1072" t="s">
        <v>296</v>
      </c>
      <c r="AP39" s="1072"/>
      <c r="AQ39" s="530">
        <v>3</v>
      </c>
      <c r="AR39" s="530" t="s">
        <v>253</v>
      </c>
      <c r="AS39" s="387">
        <f>D18</f>
        <v>1745895.3883799999</v>
      </c>
      <c r="AT39" s="387">
        <f>AS39/$AT$11</f>
        <v>6466.2792162222222</v>
      </c>
      <c r="AU39" s="387">
        <f>AT39/60</f>
        <v>107.77132027037037</v>
      </c>
      <c r="AV39" s="387">
        <f>AU39*AQ39</f>
        <v>323.31396081111109</v>
      </c>
      <c r="AX39" s="1112" t="s">
        <v>937</v>
      </c>
      <c r="AY39" s="384" t="s">
        <v>1545</v>
      </c>
      <c r="AZ39" s="385" t="s">
        <v>296</v>
      </c>
      <c r="BA39" s="79">
        <v>3</v>
      </c>
      <c r="BB39" s="79" t="s">
        <v>253</v>
      </c>
      <c r="BC39" s="394">
        <f>D18</f>
        <v>1745895.3883799999</v>
      </c>
      <c r="BD39" s="394">
        <f>BC39/BE11</f>
        <v>6466.2792162222222</v>
      </c>
      <c r="BE39" s="394">
        <f>BD39/60</f>
        <v>107.77132027037037</v>
      </c>
      <c r="BF39" s="394">
        <f>BA39*BE39</f>
        <v>323.31396081111109</v>
      </c>
      <c r="BH39" s="1077" t="s">
        <v>1252</v>
      </c>
      <c r="BI39" s="384" t="s">
        <v>1545</v>
      </c>
      <c r="BJ39" s="309" t="s">
        <v>1573</v>
      </c>
      <c r="BK39" s="79">
        <v>5</v>
      </c>
      <c r="BL39" s="79" t="s">
        <v>253</v>
      </c>
      <c r="BM39" s="394">
        <f>D18</f>
        <v>1745895.3883799999</v>
      </c>
      <c r="BN39" s="394">
        <f>BM39/$BO$11</f>
        <v>6466.2792162222222</v>
      </c>
      <c r="BO39" s="394">
        <f>BN39/60</f>
        <v>107.77132027037037</v>
      </c>
      <c r="BP39" s="394">
        <f>BK39*BO39</f>
        <v>538.85660135185185</v>
      </c>
    </row>
    <row r="40" spans="1:69" ht="46.5" customHeight="1" x14ac:dyDescent="0.25">
      <c r="A40" s="30"/>
      <c r="B40" s="331"/>
      <c r="C40" s="359"/>
      <c r="D40" s="30"/>
      <c r="H40" s="1119"/>
      <c r="I40" s="1121"/>
      <c r="J40" s="1123"/>
      <c r="K40" s="379">
        <v>10</v>
      </c>
      <c r="L40" s="379" t="s">
        <v>273</v>
      </c>
      <c r="M40" s="382">
        <f>D21</f>
        <v>1575142.9535399999</v>
      </c>
      <c r="N40" s="381">
        <f>M40/$O$11</f>
        <v>5833.8627908888884</v>
      </c>
      <c r="O40" s="382">
        <f>N40/60</f>
        <v>97.231046514814807</v>
      </c>
      <c r="P40" s="382">
        <f>O40*K40</f>
        <v>972.31046514814807</v>
      </c>
      <c r="S40" s="1125"/>
      <c r="T40" s="1105" t="s">
        <v>286</v>
      </c>
      <c r="U40" s="1107" t="s">
        <v>1553</v>
      </c>
      <c r="V40" s="388">
        <v>10</v>
      </c>
      <c r="W40" s="389" t="s">
        <v>1105</v>
      </c>
      <c r="X40" s="390">
        <f>D19</f>
        <v>1575142.9535399999</v>
      </c>
      <c r="Y40" s="390">
        <f>X40/$W$11</f>
        <v>5833.8627908888884</v>
      </c>
      <c r="Z40" s="390">
        <f>Y40/60</f>
        <v>97.231046514814807</v>
      </c>
      <c r="AA40" s="390">
        <f>V40*Z40</f>
        <v>972.31046514814807</v>
      </c>
      <c r="AC40" s="1103"/>
      <c r="AD40" s="1105" t="s">
        <v>286</v>
      </c>
      <c r="AE40" s="1107" t="s">
        <v>1553</v>
      </c>
      <c r="AF40" s="388">
        <v>10</v>
      </c>
      <c r="AG40" s="389" t="s">
        <v>1105</v>
      </c>
      <c r="AH40" s="390">
        <f>D19</f>
        <v>1575142.9535399999</v>
      </c>
      <c r="AI40" s="390">
        <f>AH40/$AG$11</f>
        <v>5833.8627908888884</v>
      </c>
      <c r="AJ40" s="390">
        <f t="shared" ref="AJ40:AJ41" si="12">AI40/60</f>
        <v>97.231046514814807</v>
      </c>
      <c r="AK40" s="390">
        <f>AF40*AJ40</f>
        <v>972.31046514814807</v>
      </c>
      <c r="AL40" s="475"/>
      <c r="AM40" s="1073"/>
      <c r="AN40" s="1074" t="s">
        <v>286</v>
      </c>
      <c r="AO40" s="1068" t="s">
        <v>1553</v>
      </c>
      <c r="AP40" s="1069"/>
      <c r="AQ40" s="388">
        <v>10</v>
      </c>
      <c r="AR40" s="389" t="s">
        <v>1105</v>
      </c>
      <c r="AS40" s="390">
        <f>D19</f>
        <v>1575142.9535399999</v>
      </c>
      <c r="AT40" s="390">
        <f>AS40/$AQ$11</f>
        <v>5833.8627908888884</v>
      </c>
      <c r="AU40" s="390">
        <f>AT40/60</f>
        <v>97.231046514814807</v>
      </c>
      <c r="AV40" s="390">
        <f>AQ40*AU40</f>
        <v>972.31046514814807</v>
      </c>
      <c r="AX40" s="1113"/>
      <c r="AY40" s="1105" t="s">
        <v>286</v>
      </c>
      <c r="AZ40" s="1115" t="s">
        <v>1553</v>
      </c>
      <c r="BA40" s="388">
        <v>10</v>
      </c>
      <c r="BB40" s="389" t="s">
        <v>1105</v>
      </c>
      <c r="BC40" s="395">
        <f>D19</f>
        <v>1575142.9535399999</v>
      </c>
      <c r="BD40" s="395">
        <f>BC40/$BB$11</f>
        <v>5833.8627908888884</v>
      </c>
      <c r="BE40" s="395">
        <f>BD40/60</f>
        <v>97.231046514814807</v>
      </c>
      <c r="BF40" s="395">
        <f>BA40*BE40</f>
        <v>972.31046514814807</v>
      </c>
      <c r="BH40" s="1078"/>
      <c r="BI40" s="1105" t="s">
        <v>286</v>
      </c>
      <c r="BJ40" s="1115" t="s">
        <v>1553</v>
      </c>
      <c r="BK40" s="388">
        <v>10</v>
      </c>
      <c r="BL40" s="389" t="s">
        <v>1105</v>
      </c>
      <c r="BM40" s="395">
        <f>D19</f>
        <v>1575142.9535399999</v>
      </c>
      <c r="BN40" s="395">
        <f>BM40/$BL$11</f>
        <v>5833.8627908888884</v>
      </c>
      <c r="BO40" s="395">
        <f>BN40/60</f>
        <v>97.231046514814807</v>
      </c>
      <c r="BP40" s="395">
        <f>BK40*BO40</f>
        <v>972.31046514814807</v>
      </c>
    </row>
    <row r="41" spans="1:69" x14ac:dyDescent="0.25">
      <c r="A41" s="30"/>
      <c r="B41" s="331"/>
      <c r="C41" s="359"/>
      <c r="D41" s="30"/>
      <c r="H41" s="1109" t="s">
        <v>1601</v>
      </c>
      <c r="I41" s="1110"/>
      <c r="J41" s="1110"/>
      <c r="K41" s="1110"/>
      <c r="L41" s="1110"/>
      <c r="M41" s="1110"/>
      <c r="N41" s="1110"/>
      <c r="O41" s="1111"/>
      <c r="P41" s="405">
        <f>SUM(P39:P40)</f>
        <v>1944.6209302962961</v>
      </c>
      <c r="S41" s="1126"/>
      <c r="T41" s="1106"/>
      <c r="U41" s="1108"/>
      <c r="V41" s="388">
        <v>10</v>
      </c>
      <c r="W41" s="388" t="s">
        <v>273</v>
      </c>
      <c r="X41" s="390">
        <f>D21</f>
        <v>1575142.9535399999</v>
      </c>
      <c r="Y41" s="390">
        <f>X41/$W$11</f>
        <v>5833.8627908888884</v>
      </c>
      <c r="Z41" s="390">
        <f>Y41/60</f>
        <v>97.231046514814807</v>
      </c>
      <c r="AA41" s="390">
        <f>V41*Z41</f>
        <v>972.31046514814807</v>
      </c>
      <c r="AC41" s="1104"/>
      <c r="AD41" s="1106"/>
      <c r="AE41" s="1108"/>
      <c r="AF41" s="388">
        <v>10</v>
      </c>
      <c r="AG41" s="388" t="s">
        <v>273</v>
      </c>
      <c r="AH41" s="390">
        <f>D21</f>
        <v>1575142.9535399999</v>
      </c>
      <c r="AI41" s="390">
        <f>AH41/$AG$11</f>
        <v>5833.8627908888884</v>
      </c>
      <c r="AJ41" s="390">
        <f t="shared" si="12"/>
        <v>97.231046514814807</v>
      </c>
      <c r="AK41" s="390">
        <f>AF41*AJ41</f>
        <v>972.31046514814807</v>
      </c>
      <c r="AL41" s="475"/>
      <c r="AM41" s="1073"/>
      <c r="AN41" s="1074"/>
      <c r="AO41" s="1070"/>
      <c r="AP41" s="1071"/>
      <c r="AQ41" s="388">
        <v>10</v>
      </c>
      <c r="AR41" s="388" t="s">
        <v>273</v>
      </c>
      <c r="AS41" s="390">
        <f>D21</f>
        <v>1575142.9535399999</v>
      </c>
      <c r="AT41" s="390">
        <f>AS41/$AQ$11</f>
        <v>5833.8627908888884</v>
      </c>
      <c r="AU41" s="390">
        <f>AT41/60</f>
        <v>97.231046514814807</v>
      </c>
      <c r="AV41" s="390">
        <f>AQ41*AU41</f>
        <v>972.31046514814807</v>
      </c>
      <c r="AX41" s="1114"/>
      <c r="AY41" s="1106"/>
      <c r="AZ41" s="1116"/>
      <c r="BA41" s="388">
        <v>10</v>
      </c>
      <c r="BB41" s="388" t="s">
        <v>273</v>
      </c>
      <c r="BC41" s="395">
        <f>D21</f>
        <v>1575142.9535399999</v>
      </c>
      <c r="BD41" s="395">
        <f>BC41/$BB$11</f>
        <v>5833.8627908888884</v>
      </c>
      <c r="BE41" s="395">
        <f>BD41/60</f>
        <v>97.231046514814807</v>
      </c>
      <c r="BF41" s="395">
        <f>BA41*BE41</f>
        <v>972.31046514814807</v>
      </c>
      <c r="BH41" s="1079"/>
      <c r="BI41" s="1106"/>
      <c r="BJ41" s="1116"/>
      <c r="BK41" s="388">
        <v>10</v>
      </c>
      <c r="BL41" s="388" t="s">
        <v>273</v>
      </c>
      <c r="BM41" s="395">
        <f>D21</f>
        <v>1575142.9535399999</v>
      </c>
      <c r="BN41" s="395">
        <f>BM41/$BL$11</f>
        <v>5833.8627908888884</v>
      </c>
      <c r="BO41" s="395">
        <f>BN41/60</f>
        <v>97.231046514814807</v>
      </c>
      <c r="BP41" s="395">
        <f>BK41*BO41</f>
        <v>972.31046514814807</v>
      </c>
    </row>
    <row r="42" spans="1:69" x14ac:dyDescent="0.25">
      <c r="A42" s="30"/>
      <c r="B42" s="331"/>
      <c r="C42" s="359"/>
      <c r="D42" s="30"/>
      <c r="H42" s="1089" t="s">
        <v>1733</v>
      </c>
      <c r="I42" s="1089"/>
      <c r="J42" s="1089"/>
      <c r="K42" s="1089"/>
      <c r="L42" s="1089"/>
      <c r="M42" s="1089"/>
      <c r="N42" s="1089"/>
      <c r="O42" s="1089"/>
      <c r="P42" s="403">
        <f>P41/208</f>
        <v>9.3491390879629623</v>
      </c>
      <c r="S42" s="1109" t="s">
        <v>1601</v>
      </c>
      <c r="T42" s="1110"/>
      <c r="U42" s="1110"/>
      <c r="V42" s="1110"/>
      <c r="W42" s="1110"/>
      <c r="X42" s="1110"/>
      <c r="Y42" s="1110"/>
      <c r="Z42" s="1111"/>
      <c r="AA42" s="402">
        <f>SUM(AA39:AA41)</f>
        <v>2267.9348911074071</v>
      </c>
      <c r="AB42" s="286"/>
      <c r="AC42" s="1109" t="s">
        <v>1595</v>
      </c>
      <c r="AD42" s="1110"/>
      <c r="AE42" s="1110"/>
      <c r="AF42" s="1110"/>
      <c r="AG42" s="1110"/>
      <c r="AH42" s="1110"/>
      <c r="AI42" s="1110"/>
      <c r="AJ42" s="1111"/>
      <c r="AK42" s="402">
        <f>SUM(AK39:AK41)</f>
        <v>2267.9348911074071</v>
      </c>
      <c r="AL42" s="570"/>
      <c r="AM42" s="1056" t="s">
        <v>1595</v>
      </c>
      <c r="AN42" s="1057"/>
      <c r="AO42" s="1057"/>
      <c r="AP42" s="1057"/>
      <c r="AQ42" s="1057"/>
      <c r="AR42" s="1057"/>
      <c r="AS42" s="1057"/>
      <c r="AT42" s="1057"/>
      <c r="AU42" s="1058"/>
      <c r="AV42" s="402">
        <f>SUM(AV39:AV41)</f>
        <v>2267.9348911074071</v>
      </c>
      <c r="AW42" s="286"/>
      <c r="AX42" s="1109" t="s">
        <v>1595</v>
      </c>
      <c r="AY42" s="1110"/>
      <c r="AZ42" s="1110"/>
      <c r="BA42" s="1110"/>
      <c r="BB42" s="1110"/>
      <c r="BC42" s="1110"/>
      <c r="BD42" s="1110"/>
      <c r="BE42" s="1111"/>
      <c r="BF42" s="402">
        <f>SUM(BF39:BF41)</f>
        <v>2267.9348911074071</v>
      </c>
      <c r="BG42" s="286"/>
      <c r="BH42" s="1109" t="s">
        <v>1595</v>
      </c>
      <c r="BI42" s="1110"/>
      <c r="BJ42" s="1110"/>
      <c r="BK42" s="1110"/>
      <c r="BL42" s="1110"/>
      <c r="BM42" s="1110"/>
      <c r="BN42" s="1110"/>
      <c r="BO42" s="1111"/>
      <c r="BP42" s="402">
        <f>SUM(BP39:BP41)</f>
        <v>2483.4775316481482</v>
      </c>
      <c r="BQ42" s="286"/>
    </row>
    <row r="43" spans="1:69" x14ac:dyDescent="0.25">
      <c r="A43" s="30"/>
      <c r="B43" s="331"/>
      <c r="C43" s="359"/>
      <c r="D43" s="30"/>
      <c r="S43" s="1089" t="s">
        <v>1733</v>
      </c>
      <c r="T43" s="1089"/>
      <c r="U43" s="1089"/>
      <c r="V43" s="1089"/>
      <c r="W43" s="1089"/>
      <c r="X43" s="1089"/>
      <c r="Y43" s="1089"/>
      <c r="Z43" s="1089"/>
      <c r="AA43" s="403">
        <f>AA42/30</f>
        <v>75.597829703580231</v>
      </c>
      <c r="AB43" s="286"/>
      <c r="AC43" s="1089" t="s">
        <v>1733</v>
      </c>
      <c r="AD43" s="1089"/>
      <c r="AE43" s="1089"/>
      <c r="AF43" s="1089"/>
      <c r="AG43" s="1089"/>
      <c r="AH43" s="1089"/>
      <c r="AI43" s="1089"/>
      <c r="AJ43" s="1089"/>
      <c r="AK43" s="403">
        <f>AK42/30</f>
        <v>75.597829703580231</v>
      </c>
      <c r="AL43" s="571"/>
      <c r="AM43" s="1059" t="s">
        <v>1733</v>
      </c>
      <c r="AN43" s="1060"/>
      <c r="AO43" s="1060"/>
      <c r="AP43" s="1060"/>
      <c r="AQ43" s="1060"/>
      <c r="AR43" s="1060"/>
      <c r="AS43" s="1060"/>
      <c r="AT43" s="1060"/>
      <c r="AU43" s="1061"/>
      <c r="AV43" s="403">
        <f>AV42/30</f>
        <v>75.597829703580231</v>
      </c>
      <c r="AW43" s="286"/>
      <c r="AX43" s="1089" t="s">
        <v>1733</v>
      </c>
      <c r="AY43" s="1089"/>
      <c r="AZ43" s="1089"/>
      <c r="BA43" s="1089"/>
      <c r="BB43" s="1089"/>
      <c r="BC43" s="1089"/>
      <c r="BD43" s="1089"/>
      <c r="BE43" s="1089"/>
      <c r="BF43" s="403">
        <f>BF42/30</f>
        <v>75.597829703580231</v>
      </c>
      <c r="BG43" s="286"/>
      <c r="BH43" s="1089" t="s">
        <v>1733</v>
      </c>
      <c r="BI43" s="1089"/>
      <c r="BJ43" s="1089"/>
      <c r="BK43" s="1089"/>
      <c r="BL43" s="1089"/>
      <c r="BM43" s="1089"/>
      <c r="BN43" s="1089"/>
      <c r="BO43" s="1089"/>
      <c r="BP43" s="403">
        <f>BP42/30</f>
        <v>82.782584388271601</v>
      </c>
      <c r="BQ43" s="286"/>
    </row>
    <row r="44" spans="1:69" x14ac:dyDescent="0.25">
      <c r="A44" s="30"/>
      <c r="B44" s="30"/>
      <c r="C44" s="30"/>
      <c r="D44" s="30"/>
      <c r="AA44" s="286"/>
      <c r="AK44" s="286"/>
      <c r="AL44" s="286"/>
      <c r="AM44" s="286"/>
      <c r="AN44" s="286"/>
      <c r="AO44" s="286"/>
      <c r="AP44" s="286"/>
      <c r="AQ44" s="286"/>
      <c r="AR44" s="286"/>
      <c r="AS44" s="286"/>
      <c r="AT44" s="286"/>
      <c r="AU44" s="286"/>
      <c r="AV44" s="286"/>
      <c r="BF44" s="286"/>
      <c r="BP44" s="286"/>
    </row>
    <row r="45" spans="1:69" x14ac:dyDescent="0.25">
      <c r="B45" s="331"/>
      <c r="C45" s="359"/>
    </row>
    <row r="46" spans="1:69" x14ac:dyDescent="0.25">
      <c r="B46" s="331"/>
      <c r="C46" s="359"/>
      <c r="U46" s="1080" t="s">
        <v>1777</v>
      </c>
      <c r="V46" s="1080"/>
      <c r="W46" s="1080"/>
      <c r="X46" s="1080"/>
      <c r="Z46" s="1117" t="s">
        <v>1766</v>
      </c>
      <c r="AA46" s="1117"/>
      <c r="AB46" s="30"/>
      <c r="AC46" s="30"/>
      <c r="AD46" s="30"/>
      <c r="AE46" s="30"/>
    </row>
    <row r="47" spans="1:69" x14ac:dyDescent="0.25">
      <c r="B47" s="30"/>
      <c r="C47" s="30"/>
      <c r="U47" s="1130" t="s">
        <v>1778</v>
      </c>
      <c r="V47" s="1130"/>
      <c r="W47" s="1130" t="s">
        <v>1779</v>
      </c>
      <c r="X47" s="1130"/>
      <c r="Z47" s="239" t="s">
        <v>188</v>
      </c>
      <c r="AA47" s="410">
        <v>1649000</v>
      </c>
      <c r="AB47" s="28"/>
      <c r="AC47" s="30"/>
      <c r="AD47" s="30"/>
      <c r="AE47" s="28"/>
    </row>
    <row r="48" spans="1:69" x14ac:dyDescent="0.25">
      <c r="B48" s="331"/>
      <c r="C48" s="359"/>
      <c r="U48" s="13" t="s">
        <v>1602</v>
      </c>
      <c r="V48" s="152">
        <v>2300000</v>
      </c>
      <c r="W48" s="13" t="s">
        <v>1607</v>
      </c>
      <c r="X48" s="152">
        <v>400000</v>
      </c>
      <c r="Z48" s="239" t="s">
        <v>189</v>
      </c>
      <c r="AA48" s="410">
        <v>849900</v>
      </c>
      <c r="AB48" s="28"/>
      <c r="AC48" s="30"/>
      <c r="AD48" s="30"/>
      <c r="AE48" s="28"/>
    </row>
    <row r="49" spans="2:31" x14ac:dyDescent="0.25">
      <c r="B49" s="30"/>
      <c r="C49" s="30"/>
      <c r="U49" s="13" t="s">
        <v>1761</v>
      </c>
      <c r="V49" s="152">
        <f>D13+D20+D22</f>
        <v>10209866.96834</v>
      </c>
      <c r="W49" s="13" t="s">
        <v>1603</v>
      </c>
      <c r="X49" s="152">
        <v>160000</v>
      </c>
      <c r="Z49" s="239" t="s">
        <v>1673</v>
      </c>
      <c r="AA49" s="411">
        <v>109900</v>
      </c>
      <c r="AB49" s="28"/>
      <c r="AC49" s="30"/>
      <c r="AD49" s="30"/>
      <c r="AE49" s="377"/>
    </row>
    <row r="50" spans="2:31" x14ac:dyDescent="0.25">
      <c r="B50" s="30"/>
      <c r="C50" s="30"/>
      <c r="U50" s="13" t="s">
        <v>1762</v>
      </c>
      <c r="V50" s="152">
        <v>100000</v>
      </c>
      <c r="W50" s="13" t="s">
        <v>294</v>
      </c>
      <c r="X50" s="152">
        <v>160000</v>
      </c>
      <c r="Z50" s="239" t="s">
        <v>1758</v>
      </c>
      <c r="AA50" s="411">
        <v>51900</v>
      </c>
      <c r="AB50" s="28"/>
      <c r="AC50" s="30"/>
      <c r="AD50" s="30"/>
      <c r="AE50" s="377"/>
    </row>
    <row r="51" spans="2:31" x14ac:dyDescent="0.25">
      <c r="B51" s="331"/>
      <c r="C51" s="359"/>
      <c r="U51" s="13" t="s">
        <v>1880</v>
      </c>
      <c r="V51" s="152">
        <v>1500000</v>
      </c>
      <c r="W51" s="13" t="s">
        <v>1767</v>
      </c>
      <c r="X51" s="152">
        <v>300000</v>
      </c>
      <c r="Z51" s="239" t="s">
        <v>1759</v>
      </c>
      <c r="AA51" s="411">
        <v>406000</v>
      </c>
      <c r="AB51" s="28"/>
      <c r="AC51" s="30"/>
      <c r="AD51" s="30"/>
      <c r="AE51" s="377"/>
    </row>
    <row r="52" spans="2:31" x14ac:dyDescent="0.25">
      <c r="B52" s="30"/>
      <c r="C52" s="30"/>
      <c r="U52" s="13" t="s">
        <v>1703</v>
      </c>
      <c r="V52" s="152">
        <v>150000</v>
      </c>
      <c r="W52" s="13" t="s">
        <v>1605</v>
      </c>
      <c r="X52" s="152">
        <v>300000</v>
      </c>
      <c r="Z52" s="13" t="s">
        <v>1831</v>
      </c>
      <c r="AA52" s="152">
        <v>949900</v>
      </c>
      <c r="AB52" s="30"/>
      <c r="AC52" s="30"/>
      <c r="AD52" s="30"/>
      <c r="AE52" s="30"/>
    </row>
    <row r="53" spans="2:31" x14ac:dyDescent="0.25">
      <c r="U53" s="406" t="s">
        <v>295</v>
      </c>
      <c r="V53" s="407">
        <f>SUM(V48:V52)</f>
        <v>14259866.96834</v>
      </c>
      <c r="W53" s="406" t="s">
        <v>295</v>
      </c>
      <c r="X53" s="407">
        <f>SUM(X48:X52)</f>
        <v>1320000</v>
      </c>
      <c r="Z53" s="13" t="s">
        <v>1774</v>
      </c>
      <c r="AA53" s="13">
        <v>9006675.2169000003</v>
      </c>
    </row>
    <row r="54" spans="2:31" x14ac:dyDescent="0.25">
      <c r="U54" s="408" t="s">
        <v>1886</v>
      </c>
      <c r="V54" s="409">
        <f>V53*12</f>
        <v>171118403.62007999</v>
      </c>
      <c r="W54" s="408" t="s">
        <v>1886</v>
      </c>
      <c r="X54" s="409">
        <f>X53*12</f>
        <v>15840000</v>
      </c>
      <c r="Z54" s="13" t="s">
        <v>1775</v>
      </c>
      <c r="AA54" s="13">
        <v>1038276.84</v>
      </c>
    </row>
    <row r="55" spans="2:31" x14ac:dyDescent="0.25">
      <c r="U55" s="123" t="s">
        <v>1887</v>
      </c>
      <c r="V55" s="432">
        <f>V54+X54</f>
        <v>186958403.62007999</v>
      </c>
      <c r="W55" s="30"/>
      <c r="X55" s="288"/>
      <c r="Z55" s="29" t="s">
        <v>1608</v>
      </c>
    </row>
    <row r="56" spans="2:31" x14ac:dyDescent="0.25">
      <c r="U56" s="30"/>
      <c r="V56" s="288">
        <f>V53+X53</f>
        <v>15579866.96834</v>
      </c>
      <c r="W56" s="30"/>
      <c r="X56" s="288"/>
      <c r="Y56" s="30"/>
    </row>
    <row r="57" spans="2:31" x14ac:dyDescent="0.25">
      <c r="U57" s="30"/>
      <c r="V57" s="288"/>
      <c r="W57" s="30"/>
      <c r="X57" s="30"/>
      <c r="Y57" s="30"/>
      <c r="Z57" s="13" t="s">
        <v>1673</v>
      </c>
      <c r="AA57" s="152">
        <f>AA49*12</f>
        <v>1318800</v>
      </c>
    </row>
    <row r="58" spans="2:31" x14ac:dyDescent="0.25">
      <c r="U58" s="1109" t="s">
        <v>1776</v>
      </c>
      <c r="V58" s="1111"/>
      <c r="W58" s="30"/>
      <c r="X58" s="30"/>
      <c r="Y58" s="30"/>
      <c r="Z58" s="13" t="s">
        <v>2245</v>
      </c>
      <c r="AA58" s="152">
        <f>AA57*0.2</f>
        <v>263760</v>
      </c>
    </row>
    <row r="59" spans="2:31" x14ac:dyDescent="0.25">
      <c r="U59" s="13" t="s">
        <v>1764</v>
      </c>
      <c r="V59" s="152">
        <v>500000</v>
      </c>
      <c r="Z59" s="13" t="s">
        <v>1604</v>
      </c>
      <c r="AA59" s="152">
        <v>9501772.1140000001</v>
      </c>
    </row>
    <row r="60" spans="2:31" x14ac:dyDescent="0.25">
      <c r="U60" s="13" t="s">
        <v>1765</v>
      </c>
      <c r="V60" s="152">
        <v>500000</v>
      </c>
    </row>
    <row r="61" spans="2:31" x14ac:dyDescent="0.25">
      <c r="U61" s="13" t="s">
        <v>1704</v>
      </c>
      <c r="V61" s="152">
        <f>SUM(AA47:AA52)*0.2</f>
        <v>803320</v>
      </c>
    </row>
    <row r="62" spans="2:31" x14ac:dyDescent="0.25">
      <c r="U62" s="13" t="s">
        <v>1606</v>
      </c>
      <c r="V62" s="152">
        <f>SUM(AA53:AA54)*0.1</f>
        <v>1004495.2056900001</v>
      </c>
    </row>
    <row r="63" spans="2:31" x14ac:dyDescent="0.25">
      <c r="U63" s="13" t="s">
        <v>295</v>
      </c>
      <c r="V63" s="152">
        <f>SUM(V59:V62)</f>
        <v>2807815.2056900002</v>
      </c>
    </row>
    <row r="64" spans="2:31" x14ac:dyDescent="0.25">
      <c r="U64" s="13" t="s">
        <v>1888</v>
      </c>
      <c r="V64" s="152">
        <f>V63+V55</f>
        <v>189766218.82576999</v>
      </c>
    </row>
    <row r="65" spans="16:31" x14ac:dyDescent="0.25">
      <c r="U65" s="13" t="s">
        <v>1889</v>
      </c>
      <c r="V65" s="152">
        <f>(V64/365)/14</f>
        <v>37136.246345551859</v>
      </c>
      <c r="W65" s="137"/>
      <c r="X65" s="137"/>
      <c r="Y65" s="137"/>
      <c r="Z65" s="482"/>
      <c r="AA65" s="137"/>
      <c r="AB65" s="137"/>
    </row>
    <row r="66" spans="16:31" x14ac:dyDescent="0.25">
      <c r="U66" s="13" t="s">
        <v>2151</v>
      </c>
      <c r="V66" s="152">
        <f>V65/6</f>
        <v>6189.3743909253099</v>
      </c>
      <c r="W66" s="482"/>
      <c r="X66" s="137"/>
      <c r="Y66" s="137"/>
      <c r="Z66" s="482"/>
      <c r="AA66" s="137"/>
      <c r="AB66" s="137"/>
    </row>
    <row r="67" spans="16:31" x14ac:dyDescent="0.25">
      <c r="U67" s="13" t="s">
        <v>2152</v>
      </c>
      <c r="V67" s="152">
        <f>V66/6</f>
        <v>1031.5623984875517</v>
      </c>
      <c r="W67" s="482"/>
      <c r="X67" s="137"/>
      <c r="Y67" s="137"/>
      <c r="Z67" s="137"/>
      <c r="AA67" s="137"/>
      <c r="AB67" s="137"/>
    </row>
    <row r="68" spans="16:31" x14ac:dyDescent="0.25">
      <c r="U68" s="13" t="s">
        <v>2154</v>
      </c>
      <c r="V68" s="152">
        <f>V66/14</f>
        <v>442.09817078037929</v>
      </c>
      <c r="W68" s="286"/>
    </row>
    <row r="69" spans="16:31" x14ac:dyDescent="0.25">
      <c r="U69" s="13" t="s">
        <v>2153</v>
      </c>
      <c r="V69" s="152">
        <f>V66/89</f>
        <v>69.543532482306858</v>
      </c>
      <c r="W69" s="286"/>
    </row>
    <row r="70" spans="16:31" x14ac:dyDescent="0.25">
      <c r="U70" s="13" t="s">
        <v>2155</v>
      </c>
      <c r="V70" s="152">
        <f>V66/44</f>
        <v>140.66759979375703</v>
      </c>
    </row>
    <row r="71" spans="16:31" x14ac:dyDescent="0.25">
      <c r="U71" s="13" t="s">
        <v>2156</v>
      </c>
      <c r="V71" s="152">
        <f>V66/10</f>
        <v>618.93743909253101</v>
      </c>
    </row>
    <row r="72" spans="16:31" x14ac:dyDescent="0.25">
      <c r="U72" s="13" t="s">
        <v>2141</v>
      </c>
      <c r="V72" s="152">
        <f>V66/4</f>
        <v>1547.3435977313275</v>
      </c>
    </row>
    <row r="74" spans="16:31" x14ac:dyDescent="0.25">
      <c r="U74" s="30"/>
      <c r="V74" s="288"/>
      <c r="AC74" s="995" t="s">
        <v>2163</v>
      </c>
      <c r="AD74" s="995"/>
    </row>
    <row r="75" spans="16:31" x14ac:dyDescent="0.25">
      <c r="U75" s="1127" t="s">
        <v>2143</v>
      </c>
      <c r="V75" s="1128"/>
      <c r="W75" s="1128"/>
      <c r="X75" s="1128"/>
      <c r="Y75" s="1129"/>
      <c r="AC75" s="713" t="s">
        <v>2160</v>
      </c>
      <c r="AD75" s="127">
        <f>V64</f>
        <v>189766218.82576999</v>
      </c>
    </row>
    <row r="76" spans="16:31" x14ac:dyDescent="0.25">
      <c r="U76" s="754" t="s">
        <v>2157</v>
      </c>
      <c r="V76" s="754" t="s">
        <v>2158</v>
      </c>
      <c r="W76" s="754" t="s">
        <v>335</v>
      </c>
      <c r="X76" s="754" t="s">
        <v>937</v>
      </c>
      <c r="Y76" s="754" t="s">
        <v>1252</v>
      </c>
      <c r="AA76" s="33"/>
      <c r="AB76" s="33"/>
      <c r="AC76" s="609" t="s">
        <v>2161</v>
      </c>
      <c r="AD76" s="127">
        <f>'10. EQUIPO DE TRABAJO'!Q93</f>
        <v>334509431.92867196</v>
      </c>
    </row>
    <row r="77" spans="16:31" x14ac:dyDescent="0.25">
      <c r="U77" s="10">
        <f>'3. PRECIOS Y COSTOS'!T72</f>
        <v>50.299729736317701</v>
      </c>
      <c r="V77" s="10">
        <f>'3. PRECIOS Y COSTOS'!T1504</f>
        <v>46.835320028749798</v>
      </c>
      <c r="W77" s="10">
        <f>'3. PRECIOS Y COSTOS'!T2500</f>
        <v>45.223078324031817</v>
      </c>
      <c r="X77" s="10">
        <f>'3. PRECIOS Y COSTOS'!T2645</f>
        <v>42.992719329951527</v>
      </c>
      <c r="Y77" s="10">
        <f>'3. PRECIOS Y COSTOS'!T3105</f>
        <v>47.635319029876413</v>
      </c>
      <c r="AC77" s="713" t="s">
        <v>2143</v>
      </c>
      <c r="AD77" s="713">
        <f>Y137/100</f>
        <v>0.46055678288767415</v>
      </c>
      <c r="AE77" s="715">
        <f>1-AD77</f>
        <v>0.53944321711232579</v>
      </c>
    </row>
    <row r="78" spans="16:31" x14ac:dyDescent="0.25">
      <c r="U78" s="10">
        <f>'3. PRECIOS Y COSTOS'!T95</f>
        <v>46.868434302400374</v>
      </c>
      <c r="V78" s="10">
        <f>'3. PRECIOS Y COSTOS'!T1530</f>
        <v>50.528450320518012</v>
      </c>
      <c r="W78" s="10">
        <f>'3. PRECIOS Y COSTOS'!AD2500</f>
        <v>46.403875444694137</v>
      </c>
      <c r="X78" s="10">
        <f>'3. PRECIOS Y COSTOS'!AD2645</f>
        <v>50.605444044887989</v>
      </c>
      <c r="Y78" s="10">
        <f>'3. PRECIOS Y COSTOS'!T3128</f>
        <v>47.730947925085957</v>
      </c>
      <c r="AC78" s="713" t="s">
        <v>295</v>
      </c>
      <c r="AD78" s="127">
        <f>(AD75+AD76)/(1-AD77)</f>
        <v>971882923.21279562</v>
      </c>
      <c r="AE78" s="288"/>
    </row>
    <row r="79" spans="16:31" x14ac:dyDescent="0.25">
      <c r="U79" s="10">
        <f>'3. PRECIOS Y COSTOS'!T118</f>
        <v>52.219901314628736</v>
      </c>
      <c r="V79" s="10">
        <f>'3. PRECIOS Y COSTOS'!T1553</f>
        <v>41.648588699297882</v>
      </c>
      <c r="W79" s="10">
        <f>'3. PRECIOS Y COSTOS'!T2523</f>
        <v>35.851743846174472</v>
      </c>
      <c r="X79" s="10">
        <f>'3. PRECIOS Y COSTOS'!T2669</f>
        <v>41.249207302189191</v>
      </c>
      <c r="Y79" s="10">
        <f>'3. PRECIOS Y COSTOS'!T3151</f>
        <v>47.688982949241229</v>
      </c>
      <c r="AC79" s="713" t="s">
        <v>2162</v>
      </c>
      <c r="AD79" s="127">
        <f>AD78*AD77</f>
        <v>447607272.45835358</v>
      </c>
      <c r="AE79" s="30"/>
    </row>
    <row r="80" spans="16:31" x14ac:dyDescent="0.25">
      <c r="P80" s="286"/>
      <c r="U80" s="10">
        <f>'3. PRECIOS Y COSTOS'!T141</f>
        <v>51.380070344520178</v>
      </c>
      <c r="V80" s="10">
        <f>'3. PRECIOS Y COSTOS'!T1578</f>
        <v>44.549802096295188</v>
      </c>
      <c r="W80" s="10">
        <f>'3. PRECIOS Y COSTOS'!AD2523</f>
        <v>37.960027205713239</v>
      </c>
      <c r="X80" s="10">
        <f>'3. PRECIOS Y COSTOS'!AD2669</f>
        <v>51.19053912322844</v>
      </c>
      <c r="Y80" s="10">
        <f>'3. PRECIOS Y COSTOS'!T3174</f>
        <v>48.044341900194439</v>
      </c>
      <c r="AE80" s="30"/>
    </row>
    <row r="81" spans="16:25" x14ac:dyDescent="0.25">
      <c r="P81" s="286"/>
      <c r="U81" s="10">
        <f>'3. PRECIOS Y COSTOS'!T164</f>
        <v>52.766004839553915</v>
      </c>
      <c r="V81" s="10">
        <f>'3. PRECIOS Y COSTOS'!T1600</f>
        <v>50.639653085308126</v>
      </c>
      <c r="W81" s="10">
        <f>'3. PRECIOS Y COSTOS'!T2546</f>
        <v>35.037040423281461</v>
      </c>
      <c r="X81" s="10">
        <f>'3. PRECIOS Y COSTOS'!T2691</f>
        <v>42.764516045211124</v>
      </c>
      <c r="Y81" s="10">
        <f>'3. PRECIOS Y COSTOS'!T3197</f>
        <v>36.189873466993312</v>
      </c>
    </row>
    <row r="82" spans="16:25" x14ac:dyDescent="0.25">
      <c r="U82" s="10">
        <f>'3. PRECIOS Y COSTOS'!T187</f>
        <v>51.890136515109916</v>
      </c>
      <c r="V82" s="10">
        <f>'3. PRECIOS Y COSTOS'!T1623</f>
        <v>47.749935501719875</v>
      </c>
      <c r="W82" s="10">
        <f>'3. PRECIOS Y COSTOS'!AD2546</f>
        <v>34.850243102741047</v>
      </c>
      <c r="X82" s="10">
        <f>'3. PRECIOS Y COSTOS'!AD2691</f>
        <v>51.466543065141735</v>
      </c>
      <c r="Y82" s="10">
        <f>'3. PRECIOS Y COSTOS'!T3222</f>
        <v>41.400475695665904</v>
      </c>
    </row>
    <row r="83" spans="16:25" x14ac:dyDescent="0.25">
      <c r="U83" s="10">
        <f>'3. PRECIOS Y COSTOS'!T209</f>
        <v>51.200935833906598</v>
      </c>
      <c r="V83" s="10">
        <f>'3. PRECIOS Y COSTOS'!T1651</f>
        <v>50.308151189117865</v>
      </c>
      <c r="W83" s="10">
        <f>'3. PRECIOS Y COSTOS'!T2568</f>
        <v>38.042786989665295</v>
      </c>
      <c r="X83" s="10">
        <f>'3. PRECIOS Y COSTOS'!T2715</f>
        <v>50.604550485165724</v>
      </c>
      <c r="Y83" s="10">
        <f>'3. PRECIOS Y COSTOS'!T3243</f>
        <v>36.759626405378043</v>
      </c>
    </row>
    <row r="84" spans="16:25" x14ac:dyDescent="0.25">
      <c r="P84" s="286"/>
      <c r="U84" s="10">
        <f>'3. PRECIOS Y COSTOS'!T238</f>
        <v>51.302201507076035</v>
      </c>
      <c r="V84" s="10">
        <f>'3. PRECIOS Y COSTOS'!T1675</f>
        <v>49.77951236759219</v>
      </c>
      <c r="W84" s="10">
        <f>'3. PRECIOS Y COSTOS'!AD2568</f>
        <v>45.903199293481151</v>
      </c>
      <c r="X84" s="10">
        <f>'3. PRECIOS Y COSTOS'!AD2715</f>
        <v>53.476462369881268</v>
      </c>
      <c r="Y84" s="10">
        <f>'3. PRECIOS Y COSTOS'!T3268</f>
        <v>43.094066401090046</v>
      </c>
    </row>
    <row r="85" spans="16:25" x14ac:dyDescent="0.25">
      <c r="P85" s="286"/>
      <c r="U85" s="10">
        <f>'3. PRECIOS Y COSTOS'!T262</f>
        <v>47.282926504241146</v>
      </c>
      <c r="V85" s="10">
        <f>'3. PRECIOS Y COSTOS'!T1697</f>
        <v>39.477876886077837</v>
      </c>
      <c r="W85" s="10">
        <f>'3. PRECIOS Y COSTOS'!T2592</f>
        <v>41.157208170799535</v>
      </c>
      <c r="X85" s="10">
        <f>'3. PRECIOS Y COSTOS'!T2736</f>
        <v>50.732867964253906</v>
      </c>
      <c r="Y85" s="10">
        <f>'3. PRECIOS Y COSTOS'!T3291</f>
        <v>42.245682970207113</v>
      </c>
    </row>
    <row r="86" spans="16:25" x14ac:dyDescent="0.25">
      <c r="U86" s="10">
        <f>'3. PRECIOS Y COSTOS'!T284</f>
        <v>50.663084770930823</v>
      </c>
      <c r="V86" s="10">
        <f>'3. PRECIOS Y COSTOS'!T1722</f>
        <v>46.086407164307715</v>
      </c>
      <c r="W86" s="10">
        <f>'3. PRECIOS Y COSTOS'!AD2592</f>
        <v>35.795061577017542</v>
      </c>
      <c r="X86" s="10">
        <f>'3. PRECIOS Y COSTOS'!AD2736</f>
        <v>52.49558958920332</v>
      </c>
      <c r="Y86" s="10">
        <f>'3. PRECIOS Y COSTOS'!T3314</f>
        <v>34.017357213032476</v>
      </c>
    </row>
    <row r="87" spans="16:25" x14ac:dyDescent="0.25">
      <c r="U87" s="10">
        <f>'3. PRECIOS Y COSTOS'!T311</f>
        <v>51.370205355742193</v>
      </c>
      <c r="V87" s="10">
        <f>'3. PRECIOS Y COSTOS'!T1747</f>
        <v>40.392456818343035</v>
      </c>
      <c r="W87" s="10">
        <f>'3. PRECIOS Y COSTOS'!R2628</f>
        <v>37.158618782758552</v>
      </c>
      <c r="X87" s="10">
        <f>'3. PRECIOS Y COSTOS'!T2761</f>
        <v>37.140481376241858</v>
      </c>
      <c r="Y87" s="10"/>
    </row>
    <row r="88" spans="16:25" x14ac:dyDescent="0.25">
      <c r="U88" s="10">
        <f>'3. PRECIOS Y COSTOS'!T333</f>
        <v>42.807119986195829</v>
      </c>
      <c r="V88" s="10">
        <f>'3. PRECIOS Y COSTOS'!T1771</f>
        <v>40.053795595026699</v>
      </c>
      <c r="W88" s="10">
        <f>'3. PRECIOS Y COSTOS'!U2628</f>
        <v>38.568506824816588</v>
      </c>
      <c r="X88" s="10">
        <f>'3. PRECIOS Y COSTOS'!AD2761</f>
        <v>47.253373505944538</v>
      </c>
      <c r="Y88" s="10"/>
    </row>
    <row r="89" spans="16:25" x14ac:dyDescent="0.25">
      <c r="U89" s="10">
        <f>'3. PRECIOS Y COSTOS'!T356</f>
        <v>53.468426372747473</v>
      </c>
      <c r="V89" s="10">
        <f>'3. PRECIOS Y COSTOS'!T1793</f>
        <v>46.271770506374096</v>
      </c>
      <c r="W89" s="10">
        <f>'3. PRECIOS Y COSTOS'!AB2628</f>
        <v>38.063687882884629</v>
      </c>
      <c r="X89" s="10">
        <f>'3. PRECIOS Y COSTOS'!T2784</f>
        <v>27.563457806728948</v>
      </c>
      <c r="Y89" s="10"/>
    </row>
    <row r="90" spans="16:25" x14ac:dyDescent="0.25">
      <c r="U90" s="10">
        <f>'3. PRECIOS Y COSTOS'!T381</f>
        <v>54.009307415582221</v>
      </c>
      <c r="V90" s="10">
        <f>'3. PRECIOS Y COSTOS'!T1816</f>
        <v>40.133174453828495</v>
      </c>
      <c r="W90" s="10">
        <f>'3. PRECIOS Y COSTOS'!AE2628</f>
        <v>37.378204154895435</v>
      </c>
      <c r="X90" s="10">
        <f>'3. PRECIOS Y COSTOS'!AD2784</f>
        <v>45.167352307949294</v>
      </c>
      <c r="Y90" s="10"/>
    </row>
    <row r="91" spans="16:25" x14ac:dyDescent="0.25">
      <c r="U91" s="10">
        <f>'3. PRECIOS Y COSTOS'!T404</f>
        <v>52.485973078884264</v>
      </c>
      <c r="V91" s="10">
        <f>'3. PRECIOS Y COSTOS'!T1839</f>
        <v>43.402100346847782</v>
      </c>
      <c r="W91" s="10"/>
      <c r="X91" s="10">
        <f>'3. PRECIOS Y COSTOS'!T2805</f>
        <v>43.709446257331457</v>
      </c>
      <c r="Y91" s="10"/>
    </row>
    <row r="92" spans="16:25" x14ac:dyDescent="0.25">
      <c r="U92" s="10">
        <f>'3. PRECIOS Y COSTOS'!T428</f>
        <v>52.423403495381073</v>
      </c>
      <c r="V92" s="10">
        <f>'3. PRECIOS Y COSTOS'!T1862</f>
        <v>43.842653447255934</v>
      </c>
      <c r="W92" s="10"/>
      <c r="X92" s="10">
        <f>'3. PRECIOS Y COSTOS'!AD2805</f>
        <v>49.78237166526587</v>
      </c>
      <c r="Y92" s="10"/>
    </row>
    <row r="93" spans="16:25" x14ac:dyDescent="0.25">
      <c r="U93" s="10">
        <f>'3. PRECIOS Y COSTOS'!T451</f>
        <v>50.049330610112662</v>
      </c>
      <c r="V93" s="10">
        <f>'3. PRECIOS Y COSTOS'!T1885</f>
        <v>42.537171738864672</v>
      </c>
      <c r="W93" s="10"/>
      <c r="X93" s="10">
        <f>'3. PRECIOS Y COSTOS'!T2830</f>
        <v>44.455597126243916</v>
      </c>
      <c r="Y93" s="10"/>
    </row>
    <row r="94" spans="16:25" x14ac:dyDescent="0.25">
      <c r="U94" s="10">
        <f>'3. PRECIOS Y COSTOS'!T474</f>
        <v>51.165574681662463</v>
      </c>
      <c r="V94" s="10">
        <f>'3. PRECIOS Y COSTOS'!T1908</f>
        <v>44.178155386140837</v>
      </c>
      <c r="W94" s="10"/>
      <c r="X94" s="10">
        <f>'3. PRECIOS Y COSTOS'!AD2830</f>
        <v>49.571184716308622</v>
      </c>
      <c r="Y94" s="10"/>
    </row>
    <row r="95" spans="16:25" x14ac:dyDescent="0.25">
      <c r="U95" s="10">
        <f>'3. PRECIOS Y COSTOS'!T497</f>
        <v>50.758133520857704</v>
      </c>
      <c r="V95" s="10">
        <f>'3. PRECIOS Y COSTOS'!T1931</f>
        <v>44.27264700715687</v>
      </c>
      <c r="W95" s="10"/>
      <c r="X95" s="10">
        <f>'3. PRECIOS Y COSTOS'!T2853</f>
        <v>29.739039956954777</v>
      </c>
      <c r="Y95" s="10"/>
    </row>
    <row r="96" spans="16:25" x14ac:dyDescent="0.25">
      <c r="U96" s="10">
        <f>'3. PRECIOS Y COSTOS'!T520</f>
        <v>54.185334255882367</v>
      </c>
      <c r="V96" s="10">
        <f>'3. PRECIOS Y COSTOS'!T1956</f>
        <v>47.779449199206304</v>
      </c>
      <c r="W96" s="10"/>
      <c r="X96" s="10">
        <f>'3. PRECIOS Y COSTOS'!AD2853</f>
        <v>45.599923243368195</v>
      </c>
      <c r="Y96" s="10"/>
    </row>
    <row r="97" spans="21:25" x14ac:dyDescent="0.25">
      <c r="U97" s="10">
        <f>'3. PRECIOS Y COSTOS'!T546</f>
        <v>52.86938359291976</v>
      </c>
      <c r="V97" s="10">
        <f>'3. PRECIOS Y COSTOS'!T1979</f>
        <v>46.835352453590673</v>
      </c>
      <c r="W97" s="10"/>
      <c r="X97" s="10">
        <f>'3. PRECIOS Y COSTOS'!T2876</f>
        <v>29.776609650409966</v>
      </c>
      <c r="Y97" s="10"/>
    </row>
    <row r="98" spans="21:25" x14ac:dyDescent="0.25">
      <c r="U98" s="10">
        <f>'3. PRECIOS Y COSTOS'!T570</f>
        <v>53.103710286024366</v>
      </c>
      <c r="V98" s="10">
        <f>'3. PRECIOS Y COSTOS'!T2003</f>
        <v>37.767842146092782</v>
      </c>
      <c r="W98" s="10"/>
      <c r="X98" s="10">
        <f>'3. PRECIOS Y COSTOS'!AD2876</f>
        <v>45.607076520057944</v>
      </c>
      <c r="Y98" s="10"/>
    </row>
    <row r="99" spans="21:25" x14ac:dyDescent="0.25">
      <c r="U99" s="10">
        <f>'3. PRECIOS Y COSTOS'!T596</f>
        <v>44.777289939471892</v>
      </c>
      <c r="V99" s="10">
        <f>'3. PRECIOS Y COSTOS'!T2026</f>
        <v>37.433940811556894</v>
      </c>
      <c r="W99" s="10"/>
      <c r="X99" s="10">
        <f>'3. PRECIOS Y COSTOS'!T2899</f>
        <v>47.906415311104489</v>
      </c>
      <c r="Y99" s="10"/>
    </row>
    <row r="100" spans="21:25" x14ac:dyDescent="0.25">
      <c r="U100" s="10">
        <f>'3. PRECIOS Y COSTOS'!T618</f>
        <v>53.590696782444745</v>
      </c>
      <c r="V100" s="10">
        <f>'3. PRECIOS Y COSTOS'!T2049</f>
        <v>40.182185068309494</v>
      </c>
      <c r="W100" s="10"/>
      <c r="X100" s="10">
        <f>'3. PRECIOS Y COSTOS'!AD2899</f>
        <v>51.035605934514528</v>
      </c>
      <c r="Y100" s="10"/>
    </row>
    <row r="101" spans="21:25" x14ac:dyDescent="0.25">
      <c r="U101" s="10">
        <f>'3. PRECIOS Y COSTOS'!T644</f>
        <v>48.719123471703618</v>
      </c>
      <c r="V101" s="10">
        <f>'3. PRECIOS Y COSTOS'!T2073</f>
        <v>49.068675847432772</v>
      </c>
      <c r="W101" s="10"/>
      <c r="X101" s="10">
        <f>'3. PRECIOS Y COSTOS'!T2922</f>
        <v>41.39490410850015</v>
      </c>
      <c r="Y101" s="10"/>
    </row>
    <row r="102" spans="21:25" x14ac:dyDescent="0.25">
      <c r="U102" s="10">
        <f>'3. PRECIOS Y COSTOS'!T667</f>
        <v>51.931717838606737</v>
      </c>
      <c r="V102" s="10">
        <f>'3. PRECIOS Y COSTOS'!T2096</f>
        <v>42.560112711016899</v>
      </c>
      <c r="W102" s="10"/>
      <c r="X102" s="10">
        <f>'3. PRECIOS Y COSTOS'!AD2922</f>
        <v>47.3152907659844</v>
      </c>
      <c r="Y102" s="10"/>
    </row>
    <row r="103" spans="21:25" x14ac:dyDescent="0.25">
      <c r="U103" s="10">
        <f>'3. PRECIOS Y COSTOS'!T689</f>
        <v>51.709035729964668</v>
      </c>
      <c r="V103" s="10">
        <f>'3. PRECIOS Y COSTOS'!T2120</f>
        <v>48.95968650782347</v>
      </c>
      <c r="W103" s="10"/>
      <c r="X103" s="10">
        <f>'3. PRECIOS Y COSTOS'!T2942</f>
        <v>35.539933457462389</v>
      </c>
      <c r="Y103" s="10"/>
    </row>
    <row r="104" spans="21:25" x14ac:dyDescent="0.25">
      <c r="U104" s="10">
        <f>'3. PRECIOS Y COSTOS'!T716</f>
        <v>50.972045512660515</v>
      </c>
      <c r="V104" s="10">
        <f>'3. PRECIOS Y COSTOS'!T2143</f>
        <v>46.820861203765659</v>
      </c>
      <c r="W104" s="10"/>
      <c r="X104" s="10">
        <f>'3. PRECIOS Y COSTOS'!AD2942</f>
        <v>44.711975437861838</v>
      </c>
      <c r="Y104" s="10"/>
    </row>
    <row r="105" spans="21:25" x14ac:dyDescent="0.25">
      <c r="U105" s="10">
        <f>'3. PRECIOS Y COSTOS'!T740</f>
        <v>54.400234796206952</v>
      </c>
      <c r="V105" s="10">
        <f>'3. PRECIOS Y COSTOS'!T2166</f>
        <v>40.247907580208903</v>
      </c>
      <c r="W105" s="10"/>
      <c r="X105" s="10">
        <f>'3. PRECIOS Y COSTOS'!T2967</f>
        <v>30.313127802059878</v>
      </c>
      <c r="Y105" s="10"/>
    </row>
    <row r="106" spans="21:25" x14ac:dyDescent="0.25">
      <c r="U106" s="10">
        <f>'3. PRECIOS Y COSTOS'!T765</f>
        <v>48.097824118593032</v>
      </c>
      <c r="V106" s="10"/>
      <c r="W106" s="10"/>
      <c r="X106" s="10">
        <f>'3. PRECIOS Y COSTOS'!AD2967</f>
        <v>45.710418734627424</v>
      </c>
      <c r="Y106" s="10"/>
    </row>
    <row r="107" spans="21:25" x14ac:dyDescent="0.25">
      <c r="U107" s="10">
        <f>'3. PRECIOS Y COSTOS'!T789</f>
        <v>41.159043184721071</v>
      </c>
      <c r="V107" s="10"/>
      <c r="W107" s="10"/>
      <c r="X107" s="10">
        <f>'3. PRECIOS Y COSTOS'!T2990</f>
        <v>30.4835952325584</v>
      </c>
      <c r="Y107" s="10"/>
    </row>
    <row r="108" spans="21:25" x14ac:dyDescent="0.25">
      <c r="U108" s="10">
        <f>'3. PRECIOS Y COSTOS'!T815</f>
        <v>51.735649168519728</v>
      </c>
      <c r="V108" s="10"/>
      <c r="W108" s="10"/>
      <c r="X108" s="10">
        <f>'3. PRECIOS Y COSTOS'!AD2990</f>
        <v>45.743725867820594</v>
      </c>
      <c r="Y108" s="10"/>
    </row>
    <row r="109" spans="21:25" x14ac:dyDescent="0.25">
      <c r="U109" s="10">
        <f>'3. PRECIOS Y COSTOS'!T837</f>
        <v>50.848332238015864</v>
      </c>
      <c r="V109" s="10"/>
      <c r="W109" s="10"/>
      <c r="X109" s="10">
        <f>'3. PRECIOS Y COSTOS'!T3011</f>
        <v>44.010321878646963</v>
      </c>
      <c r="Y109" s="10"/>
    </row>
    <row r="110" spans="21:25" x14ac:dyDescent="0.25">
      <c r="U110" s="10">
        <f>'3. PRECIOS Y COSTOS'!T860</f>
        <v>53.771148005256592</v>
      </c>
      <c r="V110" s="10"/>
      <c r="W110" s="10"/>
      <c r="X110" s="10">
        <f>'3. PRECIOS Y COSTOS'!AD3011</f>
        <v>44.66626228027242</v>
      </c>
      <c r="Y110" s="10"/>
    </row>
    <row r="111" spans="21:25" x14ac:dyDescent="0.25">
      <c r="U111" s="10">
        <f>'3. PRECIOS Y COSTOS'!T883</f>
        <v>49.268274106064602</v>
      </c>
      <c r="V111" s="10"/>
      <c r="W111" s="10"/>
      <c r="X111" s="10">
        <f>'3. PRECIOS Y COSTOS'!T3034</f>
        <v>34.602339881339745</v>
      </c>
      <c r="Y111" s="10"/>
    </row>
    <row r="112" spans="21:25" x14ac:dyDescent="0.25">
      <c r="U112" s="10">
        <f>'3. PRECIOS Y COSTOS'!T906</f>
        <v>43.53278895567685</v>
      </c>
      <c r="V112" s="10"/>
      <c r="W112" s="10"/>
      <c r="X112" s="10">
        <f>'3. PRECIOS Y COSTOS'!AD3034</f>
        <v>46.625127467880603</v>
      </c>
      <c r="Y112" s="10"/>
    </row>
    <row r="113" spans="21:25" x14ac:dyDescent="0.25">
      <c r="U113" s="10">
        <f>'3. PRECIOS Y COSTOS'!T929</f>
        <v>52.788861116726757</v>
      </c>
      <c r="V113" s="10"/>
      <c r="W113" s="10"/>
      <c r="X113" s="10">
        <f>'3. PRECIOS Y COSTOS'!T3060</f>
        <v>27.832666690971557</v>
      </c>
      <c r="Y113" s="10"/>
    </row>
    <row r="114" spans="21:25" x14ac:dyDescent="0.25">
      <c r="U114" s="10">
        <f>'3. PRECIOS Y COSTOS'!T952</f>
        <v>48.370458616441802</v>
      </c>
      <c r="V114" s="10"/>
      <c r="W114" s="10"/>
      <c r="X114" s="10">
        <f>'3. PRECIOS Y COSTOS'!AD3060</f>
        <v>45.250570800451861</v>
      </c>
      <c r="Y114" s="10"/>
    </row>
    <row r="115" spans="21:25" x14ac:dyDescent="0.25">
      <c r="U115" s="10">
        <f>'3. PRECIOS Y COSTOS'!T975</f>
        <v>52.238914321411556</v>
      </c>
      <c r="V115" s="10"/>
      <c r="W115" s="10"/>
      <c r="X115" s="10">
        <f>'3. PRECIOS Y COSTOS'!T3082</f>
        <v>31.286750187639804</v>
      </c>
      <c r="Y115" s="10"/>
    </row>
    <row r="116" spans="21:25" x14ac:dyDescent="0.25">
      <c r="U116" s="10">
        <f>'3. PRECIOS Y COSTOS'!T998</f>
        <v>50.520684670310338</v>
      </c>
      <c r="V116" s="10"/>
      <c r="W116" s="10"/>
      <c r="X116" s="10">
        <f>'3. PRECIOS Y COSTOS'!AD3082</f>
        <v>46.822619667923654</v>
      </c>
      <c r="Y116" s="10"/>
    </row>
    <row r="117" spans="21:25" x14ac:dyDescent="0.25">
      <c r="U117" s="10">
        <f>'3. PRECIOS Y COSTOS'!T1021</f>
        <v>49.785257574822495</v>
      </c>
      <c r="V117" s="10"/>
      <c r="W117" s="10"/>
      <c r="X117" s="10"/>
      <c r="Y117" s="10"/>
    </row>
    <row r="118" spans="21:25" x14ac:dyDescent="0.25">
      <c r="U118" s="10">
        <f>'3. PRECIOS Y COSTOS'!T1046</f>
        <v>50.354048964223125</v>
      </c>
      <c r="V118" s="10"/>
      <c r="W118" s="10"/>
      <c r="X118" s="10"/>
      <c r="Y118" s="10"/>
    </row>
    <row r="119" spans="21:25" x14ac:dyDescent="0.25">
      <c r="U119" s="10">
        <f>'3. PRECIOS Y COSTOS'!T1072</f>
        <v>51.194034225303497</v>
      </c>
      <c r="V119" s="10"/>
      <c r="W119" s="10"/>
      <c r="X119" s="10"/>
      <c r="Y119" s="10"/>
    </row>
    <row r="120" spans="21:25" x14ac:dyDescent="0.25">
      <c r="U120" s="10">
        <f>'3. PRECIOS Y COSTOS'!T1094</f>
        <v>49.508892314545299</v>
      </c>
      <c r="V120" s="10"/>
      <c r="W120" s="10"/>
      <c r="X120" s="10"/>
      <c r="Y120" s="10"/>
    </row>
    <row r="121" spans="21:25" x14ac:dyDescent="0.25">
      <c r="U121" s="10">
        <f>'3. PRECIOS Y COSTOS'!T1119</f>
        <v>51.781458083426237</v>
      </c>
      <c r="V121" s="10"/>
      <c r="W121" s="10"/>
      <c r="X121" s="10"/>
      <c r="Y121" s="10"/>
    </row>
    <row r="122" spans="21:25" x14ac:dyDescent="0.25">
      <c r="U122" s="10">
        <f>'3. PRECIOS Y COSTOS'!T1146</f>
        <v>50.693022981288955</v>
      </c>
      <c r="V122" s="10"/>
      <c r="W122" s="10"/>
      <c r="X122" s="10"/>
      <c r="Y122" s="10"/>
    </row>
    <row r="123" spans="21:25" x14ac:dyDescent="0.25">
      <c r="U123" s="10">
        <f>'3. PRECIOS Y COSTOS'!T1170</f>
        <v>49.484136944266893</v>
      </c>
      <c r="V123" s="10"/>
      <c r="W123" s="10"/>
      <c r="X123" s="10"/>
      <c r="Y123" s="10"/>
    </row>
    <row r="124" spans="21:25" x14ac:dyDescent="0.25">
      <c r="U124" s="10">
        <f>'3. PRECIOS Y COSTOS'!T1194</f>
        <v>53.866327208767082</v>
      </c>
      <c r="V124" s="10"/>
      <c r="W124" s="10"/>
      <c r="X124" s="10"/>
      <c r="Y124" s="10"/>
    </row>
    <row r="125" spans="21:25" x14ac:dyDescent="0.25">
      <c r="U125" s="10">
        <f>'3. PRECIOS Y COSTOS'!T1217</f>
        <v>53.259674395789169</v>
      </c>
      <c r="V125" s="10"/>
      <c r="W125" s="10"/>
      <c r="X125" s="10"/>
      <c r="Y125" s="10"/>
    </row>
    <row r="126" spans="21:25" x14ac:dyDescent="0.25">
      <c r="U126" s="10">
        <f>'3. PRECIOS Y COSTOS'!T1239</f>
        <v>52.869163464414783</v>
      </c>
      <c r="V126" s="10"/>
      <c r="W126" s="10"/>
      <c r="X126" s="10"/>
      <c r="Y126" s="10"/>
    </row>
    <row r="127" spans="21:25" x14ac:dyDescent="0.25">
      <c r="U127" s="10">
        <f>'3. PRECIOS Y COSTOS'!T1262</f>
        <v>54.96235397945933</v>
      </c>
      <c r="V127" s="10"/>
      <c r="W127" s="10"/>
      <c r="X127" s="10"/>
      <c r="Y127" s="10"/>
    </row>
    <row r="128" spans="21:25" x14ac:dyDescent="0.25">
      <c r="U128" s="10">
        <f>'3. PRECIOS Y COSTOS'!T1285</f>
        <v>53.094831465510694</v>
      </c>
      <c r="V128" s="10"/>
      <c r="W128" s="10"/>
      <c r="X128" s="10"/>
      <c r="Y128" s="10"/>
    </row>
    <row r="129" spans="20:25" x14ac:dyDescent="0.25">
      <c r="U129" s="10">
        <f>'3. PRECIOS Y COSTOS'!T1308</f>
        <v>53.448062954004222</v>
      </c>
      <c r="V129" s="10"/>
      <c r="W129" s="10"/>
      <c r="X129" s="10"/>
      <c r="Y129" s="10"/>
    </row>
    <row r="130" spans="20:25" x14ac:dyDescent="0.25">
      <c r="U130" s="10">
        <f>'3. PRECIOS Y COSTOS'!T1337</f>
        <v>54.570037390117392</v>
      </c>
      <c r="V130" s="10"/>
      <c r="W130" s="10"/>
      <c r="X130" s="10"/>
      <c r="Y130" s="10"/>
    </row>
    <row r="131" spans="20:25" x14ac:dyDescent="0.25">
      <c r="U131" s="10">
        <f>'3. PRECIOS Y COSTOS'!T1357</f>
        <v>47.101334618943895</v>
      </c>
      <c r="V131" s="10"/>
      <c r="W131" s="10"/>
      <c r="X131" s="10"/>
      <c r="Y131" s="10"/>
    </row>
    <row r="132" spans="20:25" x14ac:dyDescent="0.25">
      <c r="U132" s="10">
        <f>'3. PRECIOS Y COSTOS'!T1382</f>
        <v>51.645777452829243</v>
      </c>
      <c r="V132" s="10"/>
      <c r="W132" s="10"/>
      <c r="X132" s="10"/>
      <c r="Y132" s="10"/>
    </row>
    <row r="133" spans="20:25" x14ac:dyDescent="0.25">
      <c r="U133" s="10">
        <f>'3. PRECIOS Y COSTOS'!T1405</f>
        <v>53.414270462903239</v>
      </c>
      <c r="V133" s="10"/>
      <c r="W133" s="10"/>
      <c r="X133" s="10"/>
      <c r="Y133" s="10"/>
    </row>
    <row r="134" spans="20:25" x14ac:dyDescent="0.25">
      <c r="U134" s="10">
        <f>'3. PRECIOS Y COSTOS'!T1431</f>
        <v>52.234204005738512</v>
      </c>
      <c r="V134" s="10"/>
      <c r="W134" s="10"/>
      <c r="X134" s="10"/>
      <c r="Y134" s="10"/>
    </row>
    <row r="135" spans="20:25" x14ac:dyDescent="0.25">
      <c r="U135" s="10">
        <f>'3. PRECIOS Y COSTOS'!T1454</f>
        <v>50.134859015090278</v>
      </c>
      <c r="V135" s="10"/>
      <c r="W135" s="10"/>
      <c r="X135" s="10"/>
      <c r="Y135" s="10"/>
    </row>
    <row r="136" spans="20:25" x14ac:dyDescent="0.25">
      <c r="T136" s="29" t="s">
        <v>2144</v>
      </c>
      <c r="U136" s="10">
        <f>'3. PRECIOS Y COSTOS'!T1481</f>
        <v>53.375982679409184</v>
      </c>
      <c r="V136" s="10"/>
      <c r="W136" s="10"/>
      <c r="X136" s="10"/>
      <c r="Y136" s="10"/>
    </row>
    <row r="137" spans="20:25" x14ac:dyDescent="0.25">
      <c r="U137" s="755" t="s">
        <v>2159</v>
      </c>
      <c r="V137" s="755"/>
      <c r="W137" s="755"/>
      <c r="X137" s="755"/>
      <c r="Y137" s="11">
        <f>AVERAGE(U77:AC136)</f>
        <v>46.055678288767417</v>
      </c>
    </row>
  </sheetData>
  <mergeCells count="95">
    <mergeCell ref="U75:Y75"/>
    <mergeCell ref="AC74:AD74"/>
    <mergeCell ref="U47:V47"/>
    <mergeCell ref="W47:X47"/>
    <mergeCell ref="U46:X46"/>
    <mergeCell ref="U58:V58"/>
    <mergeCell ref="BI40:BI41"/>
    <mergeCell ref="Z46:AA46"/>
    <mergeCell ref="T40:T41"/>
    <mergeCell ref="U40:U41"/>
    <mergeCell ref="H39:H40"/>
    <mergeCell ref="I39:I40"/>
    <mergeCell ref="S43:Z43"/>
    <mergeCell ref="H42:O42"/>
    <mergeCell ref="S42:Z42"/>
    <mergeCell ref="J39:J40"/>
    <mergeCell ref="H41:O41"/>
    <mergeCell ref="S39:S41"/>
    <mergeCell ref="BH20:BO20"/>
    <mergeCell ref="BH43:BO43"/>
    <mergeCell ref="AC39:AC41"/>
    <mergeCell ref="AD40:AD41"/>
    <mergeCell ref="AE40:AE41"/>
    <mergeCell ref="AC42:AJ42"/>
    <mergeCell ref="AX39:AX41"/>
    <mergeCell ref="AY40:AY41"/>
    <mergeCell ref="AZ40:AZ41"/>
    <mergeCell ref="AX42:BE42"/>
    <mergeCell ref="BH39:BH41"/>
    <mergeCell ref="BH42:BO42"/>
    <mergeCell ref="BJ40:BJ41"/>
    <mergeCell ref="AC43:AJ43"/>
    <mergeCell ref="AX43:BE43"/>
    <mergeCell ref="AO38:AP38"/>
    <mergeCell ref="C12:D12"/>
    <mergeCell ref="H20:O20"/>
    <mergeCell ref="S25:Z25"/>
    <mergeCell ref="AC25:AJ25"/>
    <mergeCell ref="V6:W6"/>
    <mergeCell ref="K6:L6"/>
    <mergeCell ref="I14:I18"/>
    <mergeCell ref="H14:H18"/>
    <mergeCell ref="N6:O6"/>
    <mergeCell ref="S6:T6"/>
    <mergeCell ref="T14:T19"/>
    <mergeCell ref="T20:T22"/>
    <mergeCell ref="H19:O19"/>
    <mergeCell ref="AF6:AG6"/>
    <mergeCell ref="AI6:AJ6"/>
    <mergeCell ref="S24:Z24"/>
    <mergeCell ref="S14:S23"/>
    <mergeCell ref="AD14:AD16"/>
    <mergeCell ref="AD17:AD22"/>
    <mergeCell ref="AC14:AC23"/>
    <mergeCell ref="AC6:AD6"/>
    <mergeCell ref="AC24:AJ24"/>
    <mergeCell ref="Y6:Z6"/>
    <mergeCell ref="AX21:BE21"/>
    <mergeCell ref="AM6:AN6"/>
    <mergeCell ref="AP6:AQ6"/>
    <mergeCell ref="AS6:AT6"/>
    <mergeCell ref="AN18:AN32"/>
    <mergeCell ref="AO19:AO29"/>
    <mergeCell ref="AX20:BE20"/>
    <mergeCell ref="AO13:AP13"/>
    <mergeCell ref="AM14:AM33"/>
    <mergeCell ref="AN14:AN17"/>
    <mergeCell ref="BN6:BO6"/>
    <mergeCell ref="BI14:BI18"/>
    <mergeCell ref="BH14:BH18"/>
    <mergeCell ref="BH19:BO19"/>
    <mergeCell ref="AY18:AY19"/>
    <mergeCell ref="BH6:BI6"/>
    <mergeCell ref="BK6:BL6"/>
    <mergeCell ref="AX6:AY6"/>
    <mergeCell ref="BA6:BB6"/>
    <mergeCell ref="BD6:BE6"/>
    <mergeCell ref="AY15:AY17"/>
    <mergeCell ref="BB15:BB16"/>
    <mergeCell ref="BB18:BB19"/>
    <mergeCell ref="AX14:AX19"/>
    <mergeCell ref="AM34:AU34"/>
    <mergeCell ref="AM35:AU35"/>
    <mergeCell ref="AM43:AU43"/>
    <mergeCell ref="AO33:AP33"/>
    <mergeCell ref="AO14:AP14"/>
    <mergeCell ref="AO15:AP15"/>
    <mergeCell ref="AO16:AP16"/>
    <mergeCell ref="AO17:AP17"/>
    <mergeCell ref="AO18:AP18"/>
    <mergeCell ref="AO40:AP41"/>
    <mergeCell ref="AM42:AU42"/>
    <mergeCell ref="AO39:AP39"/>
    <mergeCell ref="AM39:AM41"/>
    <mergeCell ref="AN40:AN41"/>
  </mergeCells>
  <pageMargins left="0.7" right="0.7" top="0.75" bottom="0.75" header="0.3" footer="0.3"/>
  <pageSetup paperSize="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9F2A6-5774-42ED-AAA8-D2658388879F}">
  <sheetPr>
    <pageSetUpPr autoPageBreaks="0"/>
  </sheetPr>
  <dimension ref="A2:BR332"/>
  <sheetViews>
    <sheetView zoomScale="70" zoomScaleNormal="70" workbookViewId="0"/>
  </sheetViews>
  <sheetFormatPr baseColWidth="10" defaultRowHeight="15.75" x14ac:dyDescent="0.25"/>
  <cols>
    <col min="1" max="2" width="11.42578125" style="29"/>
    <col min="3" max="3" width="64.85546875" style="29" bestFit="1" customWidth="1"/>
    <col min="4" max="4" width="27.28515625" style="29" customWidth="1"/>
    <col min="5" max="5" width="14.85546875" style="29" bestFit="1" customWidth="1"/>
    <col min="6" max="6" width="14.42578125" style="29" bestFit="1" customWidth="1"/>
    <col min="7" max="8" width="14.7109375" style="29" bestFit="1" customWidth="1"/>
    <col min="9" max="10" width="14.42578125" style="29" bestFit="1" customWidth="1"/>
    <col min="11" max="11" width="40.42578125" style="29" bestFit="1" customWidth="1"/>
    <col min="12" max="12" width="22.140625" style="29" customWidth="1"/>
    <col min="13" max="13" width="25.42578125" style="29" customWidth="1"/>
    <col min="14" max="14" width="14.85546875" style="29" customWidth="1"/>
    <col min="15" max="15" width="18.7109375" style="29" customWidth="1"/>
    <col min="16" max="16" width="30.28515625" style="29" bestFit="1" customWidth="1"/>
    <col min="17" max="17" width="40.7109375" style="29" bestFit="1" customWidth="1"/>
    <col min="18" max="18" width="42.5703125" style="29" bestFit="1" customWidth="1"/>
    <col min="19" max="19" width="44" style="29" customWidth="1"/>
    <col min="20" max="20" width="40.5703125" style="29" bestFit="1" customWidth="1"/>
    <col min="21" max="21" width="42.42578125" style="29" bestFit="1" customWidth="1"/>
    <col min="22" max="22" width="41.140625" style="29" bestFit="1" customWidth="1"/>
    <col min="23" max="23" width="23.7109375" style="29" customWidth="1"/>
    <col min="24" max="24" width="22.85546875" style="29" customWidth="1"/>
    <col min="25" max="25" width="25.5703125" style="29" bestFit="1" customWidth="1"/>
    <col min="26" max="26" width="27.5703125" style="29" customWidth="1"/>
    <col min="27" max="27" width="23.85546875" style="29" customWidth="1"/>
    <col min="28" max="28" width="24.7109375" style="29" customWidth="1"/>
    <col min="29" max="29" width="20.7109375" style="29" customWidth="1"/>
    <col min="30" max="30" width="20.5703125" style="29" customWidth="1"/>
    <col min="31" max="31" width="22.140625" style="29" customWidth="1"/>
    <col min="32" max="32" width="27.7109375" style="29" customWidth="1"/>
    <col min="33" max="33" width="23.28515625" style="29" customWidth="1"/>
    <col min="34" max="34" width="21.5703125" style="29" customWidth="1"/>
    <col min="35" max="35" width="24.42578125" style="29" customWidth="1"/>
    <col min="36" max="36" width="21.85546875" style="29" bestFit="1" customWidth="1"/>
    <col min="37" max="37" width="29.5703125" style="29" customWidth="1"/>
    <col min="38" max="38" width="23.5703125" style="29" customWidth="1"/>
    <col min="39" max="39" width="22" style="29" customWidth="1"/>
    <col min="40" max="40" width="23.7109375" style="29" customWidth="1"/>
    <col min="41" max="41" width="20.85546875" style="29" customWidth="1"/>
    <col min="42" max="42" width="20" style="29" customWidth="1"/>
    <col min="43" max="43" width="23.42578125" style="29" customWidth="1"/>
    <col min="44" max="44" width="23.7109375" style="29" customWidth="1"/>
    <col min="45" max="45" width="19.85546875" style="29" customWidth="1"/>
    <col min="46" max="47" width="20.7109375" style="29" customWidth="1"/>
    <col min="48" max="49" width="13" style="29" bestFit="1" customWidth="1"/>
    <col min="50" max="52" width="11.42578125" style="29"/>
    <col min="53" max="53" width="19.140625" style="29" customWidth="1"/>
    <col min="54" max="54" width="11.42578125" style="29"/>
    <col min="55" max="55" width="18.140625" style="29" customWidth="1"/>
    <col min="56" max="59" width="13" style="29" bestFit="1" customWidth="1"/>
    <col min="60" max="61" width="11.42578125" style="29"/>
    <col min="62" max="62" width="11.42578125" style="29" customWidth="1"/>
    <col min="63" max="63" width="28.42578125" style="29" customWidth="1"/>
    <col min="64" max="64" width="11.42578125" style="29"/>
    <col min="65" max="65" width="15.28515625" style="29" customWidth="1"/>
    <col min="66" max="69" width="13" style="29" bestFit="1" customWidth="1"/>
    <col min="70" max="16384" width="11.42578125" style="29"/>
  </cols>
  <sheetData>
    <row r="2" spans="3:26" x14ac:dyDescent="0.25">
      <c r="C2" s="1131" t="s">
        <v>2106</v>
      </c>
      <c r="D2" s="429" t="s">
        <v>1821</v>
      </c>
      <c r="E2" s="429">
        <v>2021</v>
      </c>
      <c r="F2" s="429">
        <v>2022</v>
      </c>
      <c r="G2" s="429">
        <v>2023</v>
      </c>
      <c r="H2" s="429">
        <v>2024</v>
      </c>
      <c r="I2" s="429">
        <v>2025</v>
      </c>
      <c r="L2" s="892" t="s">
        <v>359</v>
      </c>
      <c r="M2" s="735" t="s">
        <v>1821</v>
      </c>
      <c r="N2" s="429">
        <v>2021</v>
      </c>
      <c r="O2" s="429">
        <v>2022</v>
      </c>
      <c r="P2" s="429">
        <v>2023</v>
      </c>
      <c r="Q2" s="429">
        <v>2024</v>
      </c>
      <c r="R2" s="429">
        <v>2025</v>
      </c>
      <c r="T2" s="896" t="s">
        <v>359</v>
      </c>
      <c r="U2" s="429" t="s">
        <v>1821</v>
      </c>
      <c r="V2" s="429">
        <v>2021</v>
      </c>
      <c r="W2" s="429">
        <v>2022</v>
      </c>
      <c r="X2" s="429">
        <v>2023</v>
      </c>
      <c r="Y2" s="429">
        <v>2024</v>
      </c>
      <c r="Z2" s="429">
        <v>2025</v>
      </c>
    </row>
    <row r="3" spans="3:26" x14ac:dyDescent="0.25">
      <c r="C3" s="1131"/>
      <c r="D3" s="778" t="s">
        <v>1825</v>
      </c>
      <c r="E3" s="734">
        <v>3.5999999999999997E-2</v>
      </c>
      <c r="F3" s="734">
        <v>3.3000000000000002E-2</v>
      </c>
      <c r="G3" s="734">
        <v>3.1E-2</v>
      </c>
      <c r="H3" s="734">
        <v>3.1E-2</v>
      </c>
      <c r="I3" s="734">
        <v>3.3000000000000002E-2</v>
      </c>
      <c r="L3" s="892"/>
      <c r="M3" s="852" t="s">
        <v>1825</v>
      </c>
      <c r="N3" s="720">
        <v>3.5999999999999997E-2</v>
      </c>
      <c r="O3" s="720">
        <v>3.3000000000000002E-2</v>
      </c>
      <c r="P3" s="720">
        <v>3.1E-2</v>
      </c>
      <c r="Q3" s="720">
        <v>3.1E-2</v>
      </c>
      <c r="R3" s="720">
        <v>3.3000000000000002E-2</v>
      </c>
      <c r="T3" s="896"/>
      <c r="U3" s="778" t="s">
        <v>1825</v>
      </c>
      <c r="V3" s="720">
        <v>3.5999999999999997E-2</v>
      </c>
      <c r="W3" s="720">
        <v>3.3000000000000002E-2</v>
      </c>
      <c r="X3" s="720">
        <v>3.1E-2</v>
      </c>
      <c r="Y3" s="720">
        <v>3.1E-2</v>
      </c>
      <c r="Z3" s="720">
        <v>3.3000000000000002E-2</v>
      </c>
    </row>
    <row r="4" spans="3:26" x14ac:dyDescent="0.25">
      <c r="C4" s="745" t="s">
        <v>2100</v>
      </c>
      <c r="D4" s="745" t="s">
        <v>2108</v>
      </c>
      <c r="E4" s="127">
        <f>'3. PRECIOS Y COSTOS'!F56</f>
        <v>2099.0723984875517</v>
      </c>
      <c r="F4" s="127">
        <f>E4*(1+$F$3)</f>
        <v>2168.3417876376407</v>
      </c>
      <c r="G4" s="127">
        <f>F4*(1+$G$3)</f>
        <v>2235.5603830544073</v>
      </c>
      <c r="H4" s="127">
        <f>G4*(1+$H$3)</f>
        <v>2304.8627549290936</v>
      </c>
      <c r="I4" s="127">
        <f>H4*(1+$I$3)</f>
        <v>2380.9232258417537</v>
      </c>
      <c r="L4" s="120" t="s">
        <v>353</v>
      </c>
      <c r="M4" s="120" t="s">
        <v>2108</v>
      </c>
      <c r="N4" s="127">
        <f>'3. PRECIOS Y COSTOS'!AE70</f>
        <v>5944.7800000000007</v>
      </c>
      <c r="O4" s="127">
        <f>N4*(1+$F$3)</f>
        <v>6140.9577399999998</v>
      </c>
      <c r="P4" s="127">
        <f>O4*(1+$G$3)</f>
        <v>6331.3274299399991</v>
      </c>
      <c r="Q4" s="127">
        <f>P4*(1+$H$3)</f>
        <v>6527.5985802681389</v>
      </c>
      <c r="R4" s="127">
        <f>Q4*(1+$I$3)</f>
        <v>6743.0093334169869</v>
      </c>
      <c r="T4" s="13" t="s">
        <v>353</v>
      </c>
      <c r="U4" s="105" t="s">
        <v>2108</v>
      </c>
      <c r="V4" s="127">
        <f>'3. PRECIOS Y COSTOS'!AB79</f>
        <v>13803.087307164998</v>
      </c>
      <c r="W4" s="127">
        <f>V4*(1+$F$3)</f>
        <v>14258.589188301443</v>
      </c>
      <c r="X4" s="127">
        <f>W4*(1+$G$3)</f>
        <v>14700.605453138787</v>
      </c>
      <c r="Y4" s="127">
        <f>X4*(1+$H$3)</f>
        <v>15156.324222186089</v>
      </c>
      <c r="Z4" s="127">
        <f>Y4*(1+$I$3)</f>
        <v>15656.482921518229</v>
      </c>
    </row>
    <row r="5" spans="3:26" x14ac:dyDescent="0.25">
      <c r="C5" s="745" t="s">
        <v>2101</v>
      </c>
      <c r="D5" s="745" t="s">
        <v>2108</v>
      </c>
      <c r="E5" s="127">
        <f>'3. PRECIOS Y COSTOS'!R56</f>
        <v>2073.8723984875514</v>
      </c>
      <c r="F5" s="127">
        <f t="shared" ref="F5" si="0">E5*(1+$F$3)</f>
        <v>2142.3101876376404</v>
      </c>
      <c r="G5" s="127">
        <f t="shared" ref="G5" si="1">F5*(1+$G$3)</f>
        <v>2208.7218034544071</v>
      </c>
      <c r="H5" s="127">
        <f t="shared" ref="H5" si="2">G5*(1+$H$3)</f>
        <v>2277.1921793614933</v>
      </c>
      <c r="I5" s="127">
        <f t="shared" ref="I5" si="3">H5*(1+$I$3)</f>
        <v>2352.3395212804226</v>
      </c>
      <c r="L5" s="120" t="s">
        <v>355</v>
      </c>
      <c r="M5" s="120" t="s">
        <v>2108</v>
      </c>
      <c r="N5" s="127">
        <f>'3. PRECIOS Y COSTOS'!AE91</f>
        <v>1320.04</v>
      </c>
      <c r="O5" s="127">
        <f t="shared" ref="O5:O26" si="4">N5*(1+$F$3)</f>
        <v>1363.6013199999998</v>
      </c>
      <c r="P5" s="127">
        <f t="shared" ref="P5:P26" si="5">O5*(1+$G$3)</f>
        <v>1405.8729609199997</v>
      </c>
      <c r="Q5" s="127">
        <f t="shared" ref="Q5:Q26" si="6">P5*(1+$H$3)</f>
        <v>1449.4550227085197</v>
      </c>
      <c r="R5" s="127">
        <f t="shared" ref="R5:R26" si="7">Q5*(1+$I$3)</f>
        <v>1497.2870384579007</v>
      </c>
      <c r="T5" s="13" t="s">
        <v>355</v>
      </c>
      <c r="U5" s="105" t="s">
        <v>2108</v>
      </c>
      <c r="V5" s="127">
        <f>'3. PRECIOS Y COSTOS'!AB100</f>
        <v>5811.5365871649983</v>
      </c>
      <c r="W5" s="127">
        <f t="shared" ref="W5:W26" si="8">V5*(1+$F$3)</f>
        <v>6003.3172945414426</v>
      </c>
      <c r="X5" s="127">
        <f t="shared" ref="X5:X26" si="9">W5*(1+$G$3)</f>
        <v>6189.4201306722271</v>
      </c>
      <c r="Y5" s="127">
        <f t="shared" ref="Y5:Y26" si="10">X5*(1+$H$3)</f>
        <v>6381.2921547230653</v>
      </c>
      <c r="Z5" s="127">
        <f t="shared" ref="Z5:Z26" si="11">Y5*(1+$I$3)</f>
        <v>6591.8747958289259</v>
      </c>
    </row>
    <row r="6" spans="3:26" x14ac:dyDescent="0.25">
      <c r="C6" s="30"/>
      <c r="D6" s="30"/>
      <c r="E6" s="288"/>
      <c r="F6" s="288"/>
      <c r="G6" s="288"/>
      <c r="H6" s="288"/>
      <c r="I6" s="288"/>
      <c r="L6" s="120" t="s">
        <v>2109</v>
      </c>
      <c r="M6" s="120" t="s">
        <v>2108</v>
      </c>
      <c r="N6" s="127">
        <f>'3. PRECIOS Y COSTOS'!AE116</f>
        <v>6728.0612000000001</v>
      </c>
      <c r="O6" s="127">
        <f t="shared" si="4"/>
        <v>6950.0872195999991</v>
      </c>
      <c r="P6" s="127">
        <f t="shared" si="5"/>
        <v>7165.5399234075985</v>
      </c>
      <c r="Q6" s="127">
        <f t="shared" si="6"/>
        <v>7387.6716610332332</v>
      </c>
      <c r="R6" s="127">
        <f t="shared" si="7"/>
        <v>7631.4648258473289</v>
      </c>
      <c r="T6" s="13" t="s">
        <v>2109</v>
      </c>
      <c r="U6" s="105" t="s">
        <v>2108</v>
      </c>
      <c r="V6" s="127">
        <f>'3. PRECIOS Y COSTOS'!AB125</f>
        <v>15156.597220764996</v>
      </c>
      <c r="W6" s="127">
        <f t="shared" si="8"/>
        <v>15656.76492905024</v>
      </c>
      <c r="X6" s="127">
        <f t="shared" si="9"/>
        <v>16142.124641850796</v>
      </c>
      <c r="Y6" s="127">
        <f t="shared" si="10"/>
        <v>16642.530505748171</v>
      </c>
      <c r="Z6" s="127">
        <f t="shared" si="11"/>
        <v>17191.734012437861</v>
      </c>
    </row>
    <row r="7" spans="3:26" x14ac:dyDescent="0.25">
      <c r="C7" s="30"/>
      <c r="D7" s="30"/>
      <c r="E7" s="288"/>
      <c r="F7" s="288"/>
      <c r="G7" s="288"/>
      <c r="H7" s="288"/>
      <c r="I7" s="288"/>
      <c r="L7" s="120" t="s">
        <v>500</v>
      </c>
      <c r="M7" s="120" t="s">
        <v>2108</v>
      </c>
      <c r="N7" s="127">
        <f>'3. PRECIOS Y COSTOS'!AE139</f>
        <v>4123.38</v>
      </c>
      <c r="O7" s="127">
        <f t="shared" si="4"/>
        <v>4259.45154</v>
      </c>
      <c r="P7" s="127">
        <f t="shared" si="5"/>
        <v>4391.4945377399999</v>
      </c>
      <c r="Q7" s="127">
        <f t="shared" si="6"/>
        <v>4527.6308684099395</v>
      </c>
      <c r="R7" s="127">
        <f t="shared" si="7"/>
        <v>4677.0426870674673</v>
      </c>
      <c r="T7" s="13" t="s">
        <v>500</v>
      </c>
      <c r="U7" s="105" t="s">
        <v>2108</v>
      </c>
      <c r="V7" s="127">
        <f>'3. PRECIOS Y COSTOS'!AB148</f>
        <v>10655.708107164999</v>
      </c>
      <c r="W7" s="127">
        <f t="shared" si="8"/>
        <v>11007.346474701444</v>
      </c>
      <c r="X7" s="127">
        <f t="shared" si="9"/>
        <v>11348.574215417188</v>
      </c>
      <c r="Y7" s="127">
        <f t="shared" si="10"/>
        <v>11700.38001609512</v>
      </c>
      <c r="Z7" s="127">
        <f t="shared" si="11"/>
        <v>12086.492556626257</v>
      </c>
    </row>
    <row r="8" spans="3:26" x14ac:dyDescent="0.25">
      <c r="C8" s="30"/>
      <c r="D8" s="30"/>
      <c r="E8" s="288"/>
      <c r="F8" s="288"/>
      <c r="G8" s="288"/>
      <c r="H8" s="288"/>
      <c r="I8" s="288"/>
      <c r="L8" s="120" t="s">
        <v>440</v>
      </c>
      <c r="M8" s="120" t="s">
        <v>2108</v>
      </c>
      <c r="N8" s="127">
        <f>'3. PRECIOS Y COSTOS'!AE160</f>
        <v>5999.66</v>
      </c>
      <c r="O8" s="127">
        <f t="shared" si="4"/>
        <v>6197.6487799999995</v>
      </c>
      <c r="P8" s="127">
        <f t="shared" si="5"/>
        <v>6389.7758921799987</v>
      </c>
      <c r="Q8" s="127">
        <f t="shared" si="6"/>
        <v>6587.8589448375778</v>
      </c>
      <c r="R8" s="127">
        <f t="shared" si="7"/>
        <v>6805.2582900172174</v>
      </c>
      <c r="T8" s="13" t="s">
        <v>440</v>
      </c>
      <c r="U8" s="105" t="s">
        <v>2108</v>
      </c>
      <c r="V8" s="127">
        <f>'3. PRECIOS Y COSTOS'!AB169</f>
        <v>13897.919947164997</v>
      </c>
      <c r="W8" s="127">
        <f t="shared" si="8"/>
        <v>14356.551305421441</v>
      </c>
      <c r="X8" s="127">
        <f t="shared" si="9"/>
        <v>14801.604395889504</v>
      </c>
      <c r="Y8" s="127">
        <f t="shared" si="10"/>
        <v>15260.454132162078</v>
      </c>
      <c r="Z8" s="127">
        <f t="shared" si="11"/>
        <v>15764.049118523426</v>
      </c>
    </row>
    <row r="9" spans="3:26" x14ac:dyDescent="0.25">
      <c r="C9" s="30"/>
      <c r="D9" s="30"/>
      <c r="E9" s="288"/>
      <c r="F9" s="288"/>
      <c r="G9" s="288"/>
      <c r="H9" s="288"/>
      <c r="I9" s="288"/>
      <c r="L9" s="120" t="s">
        <v>441</v>
      </c>
      <c r="M9" s="120" t="s">
        <v>2108</v>
      </c>
      <c r="N9" s="127">
        <f>'3. PRECIOS Y COSTOS'!AE187</f>
        <v>7214.81</v>
      </c>
      <c r="O9" s="127">
        <f t="shared" si="4"/>
        <v>7452.8987299999999</v>
      </c>
      <c r="P9" s="127">
        <f t="shared" si="5"/>
        <v>7683.9385906299995</v>
      </c>
      <c r="Q9" s="127">
        <f t="shared" si="6"/>
        <v>7922.1406869395287</v>
      </c>
      <c r="R9" s="127">
        <f t="shared" si="7"/>
        <v>8183.5713296085323</v>
      </c>
      <c r="T9" s="13" t="s">
        <v>441</v>
      </c>
      <c r="U9" s="105" t="s">
        <v>2108</v>
      </c>
      <c r="V9" s="127">
        <f>'3. PRECIOS Y COSTOS'!AB196</f>
        <v>15997.699147165</v>
      </c>
      <c r="W9" s="127">
        <f t="shared" si="8"/>
        <v>16525.623219021443</v>
      </c>
      <c r="X9" s="127">
        <f t="shared" si="9"/>
        <v>17037.917538811107</v>
      </c>
      <c r="Y9" s="127">
        <f t="shared" si="10"/>
        <v>17566.092982514248</v>
      </c>
      <c r="Z9" s="127">
        <f t="shared" si="11"/>
        <v>18145.774050937216</v>
      </c>
    </row>
    <row r="10" spans="3:26" x14ac:dyDescent="0.25">
      <c r="L10" s="120" t="s">
        <v>2110</v>
      </c>
      <c r="M10" s="120" t="s">
        <v>2108</v>
      </c>
      <c r="N10" s="127">
        <f>'3. PRECIOS Y COSTOS'!AE214</f>
        <v>6190.3927999999996</v>
      </c>
      <c r="O10" s="127">
        <f t="shared" si="4"/>
        <v>6394.6757623999993</v>
      </c>
      <c r="P10" s="127">
        <f t="shared" si="5"/>
        <v>6592.9107110343984</v>
      </c>
      <c r="Q10" s="127">
        <f t="shared" si="6"/>
        <v>6797.2909430764639</v>
      </c>
      <c r="R10" s="127">
        <f t="shared" si="7"/>
        <v>7021.6015441979871</v>
      </c>
      <c r="T10" s="13" t="s">
        <v>2110</v>
      </c>
      <c r="U10" s="105" t="s">
        <v>2108</v>
      </c>
      <c r="V10" s="127">
        <f>'3. PRECIOS Y COSTOS'!AB223</f>
        <v>14227.506225564997</v>
      </c>
      <c r="W10" s="127">
        <f t="shared" si="8"/>
        <v>14697.013931008642</v>
      </c>
      <c r="X10" s="127">
        <f t="shared" si="9"/>
        <v>15152.621362869908</v>
      </c>
      <c r="Y10" s="127">
        <f t="shared" si="10"/>
        <v>15622.352625118874</v>
      </c>
      <c r="Z10" s="127">
        <f t="shared" si="11"/>
        <v>16137.890261747796</v>
      </c>
    </row>
    <row r="11" spans="3:26" x14ac:dyDescent="0.25">
      <c r="L11" s="120" t="s">
        <v>2111</v>
      </c>
      <c r="M11" s="120" t="s">
        <v>2108</v>
      </c>
      <c r="N11" s="127">
        <f>'3. PRECIOS Y COSTOS'!AE236</f>
        <v>6049.74</v>
      </c>
      <c r="O11" s="127">
        <f t="shared" si="4"/>
        <v>6249.3814199999997</v>
      </c>
      <c r="P11" s="127">
        <f t="shared" si="5"/>
        <v>6443.1122440199988</v>
      </c>
      <c r="Q11" s="127">
        <f t="shared" si="6"/>
        <v>6642.8487235846178</v>
      </c>
      <c r="R11" s="127">
        <f t="shared" si="7"/>
        <v>6862.0627314629101</v>
      </c>
      <c r="T11" s="13" t="s">
        <v>2111</v>
      </c>
      <c r="U11" s="105" t="s">
        <v>2108</v>
      </c>
      <c r="V11" s="127">
        <f>'3. PRECIOS Y COSTOS'!AB245</f>
        <v>13984.458187164995</v>
      </c>
      <c r="W11" s="127">
        <f t="shared" si="8"/>
        <v>14445.945307341439</v>
      </c>
      <c r="X11" s="127">
        <f t="shared" si="9"/>
        <v>14893.769611869022</v>
      </c>
      <c r="Y11" s="127">
        <f t="shared" si="10"/>
        <v>15355.47646983696</v>
      </c>
      <c r="Z11" s="127">
        <f t="shared" si="11"/>
        <v>15862.207193341579</v>
      </c>
    </row>
    <row r="12" spans="3:26" x14ac:dyDescent="0.25">
      <c r="C12" s="1131" t="s">
        <v>2107</v>
      </c>
      <c r="D12" s="429" t="s">
        <v>1821</v>
      </c>
      <c r="E12" s="429">
        <v>2021</v>
      </c>
      <c r="F12" s="429">
        <v>2022</v>
      </c>
      <c r="G12" s="429">
        <v>2023</v>
      </c>
      <c r="H12" s="429">
        <v>2024</v>
      </c>
      <c r="I12" s="429">
        <v>2025</v>
      </c>
      <c r="L12" s="120" t="s">
        <v>457</v>
      </c>
      <c r="M12" s="120" t="s">
        <v>2108</v>
      </c>
      <c r="N12" s="127">
        <f>'3. PRECIOS Y COSTOS'!AE258</f>
        <v>2537.65</v>
      </c>
      <c r="O12" s="127">
        <f t="shared" si="4"/>
        <v>2621.3924499999998</v>
      </c>
      <c r="P12" s="127">
        <f t="shared" si="5"/>
        <v>2702.6556159499996</v>
      </c>
      <c r="Q12" s="127">
        <f t="shared" si="6"/>
        <v>2786.4379400444495</v>
      </c>
      <c r="R12" s="127">
        <f t="shared" si="7"/>
        <v>2878.3903920659163</v>
      </c>
      <c r="T12" s="13" t="s">
        <v>457</v>
      </c>
      <c r="U12" s="105" t="s">
        <v>2108</v>
      </c>
      <c r="V12" s="127">
        <f>'3. PRECIOS Y COSTOS'!AB267</f>
        <v>7915.5666671649988</v>
      </c>
      <c r="W12" s="127">
        <f t="shared" si="8"/>
        <v>8176.7803671814427</v>
      </c>
      <c r="X12" s="127">
        <f t="shared" si="9"/>
        <v>8430.2605585640667</v>
      </c>
      <c r="Y12" s="127">
        <f t="shared" si="10"/>
        <v>8691.5986358795526</v>
      </c>
      <c r="Z12" s="127">
        <f t="shared" si="11"/>
        <v>8978.4213908635775</v>
      </c>
    </row>
    <row r="13" spans="3:26" x14ac:dyDescent="0.25">
      <c r="C13" s="1131"/>
      <c r="D13" s="778" t="s">
        <v>1825</v>
      </c>
      <c r="E13" s="720">
        <v>3.5999999999999997E-2</v>
      </c>
      <c r="F13" s="720">
        <v>3.3000000000000002E-2</v>
      </c>
      <c r="G13" s="720">
        <v>3.1E-2</v>
      </c>
      <c r="H13" s="720">
        <v>3.1E-2</v>
      </c>
      <c r="I13" s="720">
        <v>3.3000000000000002E-2</v>
      </c>
      <c r="L13" s="120" t="s">
        <v>527</v>
      </c>
      <c r="M13" s="120" t="s">
        <v>2108</v>
      </c>
      <c r="N13" s="127">
        <f>'3. PRECIOS Y COSTOS'!AE377</f>
        <v>5787.2000000000007</v>
      </c>
      <c r="O13" s="127">
        <f t="shared" si="4"/>
        <v>5978.1776</v>
      </c>
      <c r="P13" s="127">
        <f t="shared" si="5"/>
        <v>6163.5011055999994</v>
      </c>
      <c r="Q13" s="127">
        <f t="shared" si="6"/>
        <v>6354.569639873599</v>
      </c>
      <c r="R13" s="127">
        <f t="shared" si="7"/>
        <v>6564.2704379894276</v>
      </c>
      <c r="T13" s="13" t="s">
        <v>527</v>
      </c>
      <c r="U13" s="105" t="s">
        <v>2108</v>
      </c>
      <c r="V13" s="127">
        <f>'3. PRECIOS Y COSTOS'!AB386</f>
        <v>13530.789067164997</v>
      </c>
      <c r="W13" s="127">
        <f t="shared" si="8"/>
        <v>13977.30510638144</v>
      </c>
      <c r="X13" s="127">
        <f t="shared" si="9"/>
        <v>14410.601564679264</v>
      </c>
      <c r="Y13" s="127">
        <f t="shared" si="10"/>
        <v>14857.330213184319</v>
      </c>
      <c r="Z13" s="127">
        <f t="shared" si="11"/>
        <v>15347.622110219401</v>
      </c>
    </row>
    <row r="14" spans="3:26" x14ac:dyDescent="0.25">
      <c r="C14" s="105" t="s">
        <v>2100</v>
      </c>
      <c r="D14" s="105" t="s">
        <v>2108</v>
      </c>
      <c r="E14" s="127">
        <f>'3. PRECIOS Y COSTOS'!I56</f>
        <v>2290.2922361466221</v>
      </c>
      <c r="F14" s="127">
        <f>E14*(1+$F$13)</f>
        <v>2365.8718799394605</v>
      </c>
      <c r="G14" s="127">
        <f>F14*(1+$G$13)</f>
        <v>2439.2139082175836</v>
      </c>
      <c r="H14" s="127">
        <f>G14*(1+$H$13)</f>
        <v>2514.8295393723283</v>
      </c>
      <c r="I14" s="127">
        <f>H14*(1+$I$13)</f>
        <v>2597.8189141716148</v>
      </c>
      <c r="L14" s="120" t="s">
        <v>579</v>
      </c>
      <c r="M14" s="120" t="s">
        <v>2108</v>
      </c>
      <c r="N14" s="127">
        <f>'3. PRECIOS Y COSTOS'!AE469</f>
        <v>3025.9</v>
      </c>
      <c r="O14" s="127">
        <f t="shared" si="4"/>
        <v>3125.7547</v>
      </c>
      <c r="P14" s="127">
        <f t="shared" si="5"/>
        <v>3222.6530956999995</v>
      </c>
      <c r="Q14" s="127">
        <f t="shared" si="6"/>
        <v>3322.5553416666994</v>
      </c>
      <c r="R14" s="127">
        <f t="shared" si="7"/>
        <v>3432.1996679417002</v>
      </c>
      <c r="T14" s="13" t="s">
        <v>579</v>
      </c>
      <c r="U14" s="105" t="s">
        <v>2108</v>
      </c>
      <c r="V14" s="127">
        <f>'3. PRECIOS Y COSTOS'!AB478</f>
        <v>8759.2626671649978</v>
      </c>
      <c r="W14" s="127">
        <f t="shared" si="8"/>
        <v>9048.3183351814423</v>
      </c>
      <c r="X14" s="127">
        <f t="shared" si="9"/>
        <v>9328.816203572067</v>
      </c>
      <c r="Y14" s="127">
        <f t="shared" si="10"/>
        <v>9618.009505882801</v>
      </c>
      <c r="Z14" s="127">
        <f t="shared" si="11"/>
        <v>9935.4038195769335</v>
      </c>
    </row>
    <row r="15" spans="3:26" x14ac:dyDescent="0.25">
      <c r="C15" s="105" t="s">
        <v>2101</v>
      </c>
      <c r="D15" s="105" t="s">
        <v>2108</v>
      </c>
      <c r="E15" s="127">
        <f>'3. PRECIOS Y COSTOS'!U56</f>
        <v>2234.6290361466226</v>
      </c>
      <c r="F15" s="127">
        <f t="shared" ref="F15:F19" si="12">E15*(1+$F$13)</f>
        <v>2308.3717943394608</v>
      </c>
      <c r="G15" s="127">
        <f t="shared" ref="G15:G19" si="13">F15*(1+$G$13)</f>
        <v>2379.9313199639842</v>
      </c>
      <c r="H15" s="127">
        <f t="shared" ref="H15:H19" si="14">G15*(1+$H$13)</f>
        <v>2453.7091908828675</v>
      </c>
      <c r="I15" s="127">
        <f t="shared" ref="I15:I19" si="15">H15*(1+$I$13)</f>
        <v>2534.6815941820018</v>
      </c>
      <c r="L15" s="120" t="s">
        <v>483</v>
      </c>
      <c r="M15" s="120" t="s">
        <v>2108</v>
      </c>
      <c r="N15" s="127">
        <f>'3. PRECIOS Y COSTOS'!AE518</f>
        <v>5620.16</v>
      </c>
      <c r="O15" s="127">
        <f t="shared" si="4"/>
        <v>5805.6252799999993</v>
      </c>
      <c r="P15" s="127">
        <f t="shared" si="5"/>
        <v>5985.5996636799991</v>
      </c>
      <c r="Q15" s="127">
        <f t="shared" si="6"/>
        <v>6171.1532532540787</v>
      </c>
      <c r="R15" s="127">
        <f t="shared" si="7"/>
        <v>6374.8013106114631</v>
      </c>
      <c r="T15" s="13" t="s">
        <v>483</v>
      </c>
      <c r="U15" s="105" t="s">
        <v>2108</v>
      </c>
      <c r="V15" s="127">
        <f>'3. PRECIOS Y COSTOS'!AB527</f>
        <v>13242.143947164997</v>
      </c>
      <c r="W15" s="127">
        <f t="shared" si="8"/>
        <v>13679.134697421441</v>
      </c>
      <c r="X15" s="127">
        <f t="shared" si="9"/>
        <v>14103.187873041505</v>
      </c>
      <c r="Y15" s="127">
        <f t="shared" si="10"/>
        <v>14540.386697105791</v>
      </c>
      <c r="Z15" s="127">
        <f t="shared" si="11"/>
        <v>15020.219458110281</v>
      </c>
    </row>
    <row r="16" spans="3:26" x14ac:dyDescent="0.25">
      <c r="C16" s="105" t="s">
        <v>2102</v>
      </c>
      <c r="D16" s="105" t="s">
        <v>2108</v>
      </c>
      <c r="E16" s="127">
        <f>'3. PRECIOS Y COSTOS'!AD56</f>
        <v>2502.4690361466228</v>
      </c>
      <c r="F16" s="127">
        <f t="shared" si="12"/>
        <v>2585.0505143394612</v>
      </c>
      <c r="G16" s="127">
        <f t="shared" si="13"/>
        <v>2665.1870802839844</v>
      </c>
      <c r="H16" s="127">
        <f t="shared" si="14"/>
        <v>2747.8078797727876</v>
      </c>
      <c r="I16" s="127">
        <f t="shared" si="15"/>
        <v>2838.4855398052896</v>
      </c>
      <c r="L16" s="120" t="s">
        <v>2112</v>
      </c>
      <c r="M16" s="120" t="s">
        <v>2108</v>
      </c>
      <c r="N16" s="127">
        <f>'3. PRECIOS Y COSTOS'!AE540</f>
        <v>4118.9928</v>
      </c>
      <c r="O16" s="127">
        <f t="shared" si="4"/>
        <v>4254.9195623999994</v>
      </c>
      <c r="P16" s="127">
        <f t="shared" si="5"/>
        <v>4386.822068834399</v>
      </c>
      <c r="Q16" s="127">
        <f t="shared" si="6"/>
        <v>4522.813552968265</v>
      </c>
      <c r="R16" s="127">
        <f t="shared" si="7"/>
        <v>4672.0664002162175</v>
      </c>
      <c r="T16" s="13" t="s">
        <v>2112</v>
      </c>
      <c r="U16" s="105" t="s">
        <v>2108</v>
      </c>
      <c r="V16" s="127">
        <f>'3. PRECIOS Y COSTOS'!AB549</f>
        <v>10648.127025564998</v>
      </c>
      <c r="W16" s="127">
        <f t="shared" si="8"/>
        <v>10999.515217408642</v>
      </c>
      <c r="X16" s="127">
        <f t="shared" si="9"/>
        <v>11340.500189148308</v>
      </c>
      <c r="Y16" s="127">
        <f t="shared" si="10"/>
        <v>11692.055695011904</v>
      </c>
      <c r="Z16" s="127">
        <f t="shared" si="11"/>
        <v>12077.893532947297</v>
      </c>
    </row>
    <row r="17" spans="1:26" x14ac:dyDescent="0.25">
      <c r="C17" s="105" t="s">
        <v>2103</v>
      </c>
      <c r="D17" s="105" t="s">
        <v>2108</v>
      </c>
      <c r="E17" s="127">
        <f>'3. PRECIOS Y COSTOS'!AN56</f>
        <v>2447.1730361466225</v>
      </c>
      <c r="F17" s="127">
        <f t="shared" si="12"/>
        <v>2527.929746339461</v>
      </c>
      <c r="G17" s="127">
        <f t="shared" si="13"/>
        <v>2606.2955684759841</v>
      </c>
      <c r="H17" s="127">
        <f t="shared" si="14"/>
        <v>2687.0907310987395</v>
      </c>
      <c r="I17" s="127">
        <f t="shared" si="15"/>
        <v>2775.7647252249976</v>
      </c>
      <c r="L17" s="120" t="s">
        <v>2113</v>
      </c>
      <c r="M17" s="120" t="s">
        <v>2108</v>
      </c>
      <c r="N17" s="127">
        <f>'3. PRECIOS Y COSTOS'!AE641</f>
        <v>3567.1349999999993</v>
      </c>
      <c r="O17" s="127">
        <f t="shared" si="4"/>
        <v>3684.8504549999989</v>
      </c>
      <c r="P17" s="127">
        <f t="shared" si="5"/>
        <v>3799.0808191049987</v>
      </c>
      <c r="Q17" s="127">
        <f t="shared" si="6"/>
        <v>3916.8523244972534</v>
      </c>
      <c r="R17" s="127">
        <f t="shared" si="7"/>
        <v>4046.1084512056623</v>
      </c>
      <c r="T17" s="13" t="s">
        <v>2113</v>
      </c>
      <c r="U17" s="105" t="s">
        <v>2108</v>
      </c>
      <c r="V17" s="127">
        <f>'3. PRECIOS Y COSTOS'!AB650</f>
        <v>9694.5167471649984</v>
      </c>
      <c r="W17" s="127">
        <f t="shared" si="8"/>
        <v>10014.435799821442</v>
      </c>
      <c r="X17" s="127">
        <f t="shared" si="9"/>
        <v>10324.883309615905</v>
      </c>
      <c r="Y17" s="127">
        <f t="shared" si="10"/>
        <v>10644.954692213998</v>
      </c>
      <c r="Z17" s="127">
        <f t="shared" si="11"/>
        <v>10996.238197057059</v>
      </c>
    </row>
    <row r="18" spans="1:26" x14ac:dyDescent="0.25">
      <c r="C18" s="105" t="s">
        <v>2104</v>
      </c>
      <c r="D18" s="105" t="s">
        <v>2108</v>
      </c>
      <c r="E18" s="127">
        <f>'3. PRECIOS Y COSTOS'!AX56</f>
        <v>2299.9474361466223</v>
      </c>
      <c r="F18" s="127">
        <f t="shared" si="12"/>
        <v>2375.8457015394606</v>
      </c>
      <c r="G18" s="127">
        <f t="shared" si="13"/>
        <v>2449.4969182871837</v>
      </c>
      <c r="H18" s="127">
        <f t="shared" si="14"/>
        <v>2525.4313227540861</v>
      </c>
      <c r="I18" s="127">
        <f t="shared" si="15"/>
        <v>2608.7705564049706</v>
      </c>
      <c r="L18" s="120" t="s">
        <v>2114</v>
      </c>
      <c r="M18" s="120" t="s">
        <v>2108</v>
      </c>
      <c r="N18" s="127">
        <f>'3. PRECIOS Y COSTOS'!AE1066</f>
        <v>2895.24</v>
      </c>
      <c r="O18" s="127">
        <f>N18*(1+$F$3)</f>
        <v>2990.7829199999996</v>
      </c>
      <c r="P18" s="127">
        <f t="shared" si="5"/>
        <v>3083.4971905199995</v>
      </c>
      <c r="Q18" s="127">
        <f t="shared" si="6"/>
        <v>3179.0856034261192</v>
      </c>
      <c r="R18" s="127">
        <f t="shared" si="7"/>
        <v>3283.9954283391808</v>
      </c>
      <c r="T18" s="13" t="s">
        <v>2114</v>
      </c>
      <c r="U18" s="105" t="s">
        <v>2108</v>
      </c>
      <c r="V18" s="127">
        <f>'3. PRECIOS Y COSTOS'!AB1075</f>
        <v>8533.4821871649965</v>
      </c>
      <c r="W18" s="127">
        <f>V18*(1+$F$3)</f>
        <v>8815.087099341441</v>
      </c>
      <c r="X18" s="127">
        <f t="shared" si="9"/>
        <v>9088.3547994210257</v>
      </c>
      <c r="Y18" s="127">
        <f t="shared" si="10"/>
        <v>9370.0937982030773</v>
      </c>
      <c r="Z18" s="127">
        <f t="shared" si="11"/>
        <v>9679.3068935437786</v>
      </c>
    </row>
    <row r="19" spans="1:26" x14ac:dyDescent="0.25">
      <c r="C19" s="105" t="s">
        <v>2105</v>
      </c>
      <c r="D19" s="105" t="s">
        <v>2108</v>
      </c>
      <c r="E19" s="127">
        <f>'3. PRECIOS Y COSTOS'!BI56</f>
        <v>4695.4738361466225</v>
      </c>
      <c r="F19" s="127">
        <f t="shared" si="12"/>
        <v>4850.4244727394607</v>
      </c>
      <c r="G19" s="127">
        <f t="shared" si="13"/>
        <v>5000.7876313943834</v>
      </c>
      <c r="H19" s="127">
        <f t="shared" si="14"/>
        <v>5155.812047967609</v>
      </c>
      <c r="I19" s="127">
        <f t="shared" si="15"/>
        <v>5325.9538455505399</v>
      </c>
      <c r="L19" s="120" t="s">
        <v>2115</v>
      </c>
      <c r="M19" s="120" t="s">
        <v>2108</v>
      </c>
      <c r="N19" s="127">
        <f>'3. PRECIOS Y COSTOS'!AE1044</f>
        <v>2861.2690000000002</v>
      </c>
      <c r="O19" s="127">
        <f t="shared" si="4"/>
        <v>2955.690877</v>
      </c>
      <c r="P19" s="127">
        <f t="shared" si="5"/>
        <v>3047.3172941869998</v>
      </c>
      <c r="Q19" s="127">
        <f t="shared" si="6"/>
        <v>3141.7841303067967</v>
      </c>
      <c r="R19" s="127">
        <f t="shared" si="7"/>
        <v>3245.4630066069208</v>
      </c>
      <c r="T19" s="13" t="s">
        <v>2115</v>
      </c>
      <c r="U19" s="105" t="s">
        <v>2108</v>
      </c>
      <c r="V19" s="127">
        <f>'3. PRECIOS Y COSTOS'!AB1053</f>
        <v>8474.7802991649987</v>
      </c>
      <c r="W19" s="127">
        <f t="shared" si="8"/>
        <v>8754.4480490374426</v>
      </c>
      <c r="X19" s="127">
        <f t="shared" si="9"/>
        <v>9025.8359385576023</v>
      </c>
      <c r="Y19" s="127">
        <f t="shared" si="10"/>
        <v>9305.6368526528877</v>
      </c>
      <c r="Z19" s="127">
        <f t="shared" si="11"/>
        <v>9612.7228687904317</v>
      </c>
    </row>
    <row r="20" spans="1:26" x14ac:dyDescent="0.25">
      <c r="L20" s="120" t="s">
        <v>2116</v>
      </c>
      <c r="M20" s="120" t="s">
        <v>2108</v>
      </c>
      <c r="N20" s="127">
        <f>'3. PRECIOS Y COSTOS'!AE1354</f>
        <v>1710.1</v>
      </c>
      <c r="O20" s="127">
        <f t="shared" si="4"/>
        <v>1766.5332999999998</v>
      </c>
      <c r="P20" s="127">
        <f t="shared" si="5"/>
        <v>1821.2958322999996</v>
      </c>
      <c r="Q20" s="127">
        <f t="shared" si="6"/>
        <v>1877.7560031012995</v>
      </c>
      <c r="R20" s="127">
        <f t="shared" si="7"/>
        <v>1939.7219512036422</v>
      </c>
      <c r="T20" s="13" t="s">
        <v>2116</v>
      </c>
      <c r="U20" s="105" t="s">
        <v>2108</v>
      </c>
      <c r="V20" s="127">
        <f>'3. PRECIOS Y COSTOS'!AB1363</f>
        <v>6485.5602671649985</v>
      </c>
      <c r="W20" s="127">
        <f t="shared" si="8"/>
        <v>6699.5837559814427</v>
      </c>
      <c r="X20" s="127">
        <f t="shared" si="9"/>
        <v>6907.2708524168665</v>
      </c>
      <c r="Y20" s="127">
        <f t="shared" si="10"/>
        <v>7121.3962488417892</v>
      </c>
      <c r="Z20" s="127">
        <f t="shared" si="11"/>
        <v>7356.4023250535674</v>
      </c>
    </row>
    <row r="21" spans="1:26" x14ac:dyDescent="0.25">
      <c r="L21" s="120" t="s">
        <v>2117</v>
      </c>
      <c r="M21" s="120" t="s">
        <v>2108</v>
      </c>
      <c r="N21" s="127">
        <f>'3. PRECIOS Y COSTOS'!BG2200</f>
        <v>2121.7800000000002</v>
      </c>
      <c r="O21" s="127">
        <f t="shared" si="4"/>
        <v>2191.7987400000002</v>
      </c>
      <c r="P21" s="127">
        <f t="shared" si="5"/>
        <v>2259.7445009399999</v>
      </c>
      <c r="Q21" s="127">
        <f t="shared" si="6"/>
        <v>2329.7965804691398</v>
      </c>
      <c r="R21" s="127">
        <f t="shared" si="7"/>
        <v>2406.6798676246212</v>
      </c>
      <c r="T21" s="13" t="s">
        <v>2117</v>
      </c>
      <c r="U21" s="105" t="s">
        <v>2108</v>
      </c>
      <c r="V21" s="127">
        <f>'3. PRECIOS Y COSTOS'!BD2209</f>
        <v>5191.5860045051986</v>
      </c>
      <c r="W21" s="127">
        <f t="shared" si="8"/>
        <v>5362.90834265387</v>
      </c>
      <c r="X21" s="127">
        <f t="shared" si="9"/>
        <v>5529.1585012761398</v>
      </c>
      <c r="Y21" s="127">
        <f t="shared" si="10"/>
        <v>5700.5624148156994</v>
      </c>
      <c r="Z21" s="127">
        <f t="shared" si="11"/>
        <v>5888.6809745046166</v>
      </c>
    </row>
    <row r="22" spans="1:26" x14ac:dyDescent="0.25">
      <c r="L22" s="120" t="s">
        <v>2118</v>
      </c>
      <c r="M22" s="120" t="s">
        <v>2108</v>
      </c>
      <c r="N22" s="127">
        <f>'3. PRECIOS Y COSTOS'!AE1598</f>
        <v>2676.9328</v>
      </c>
      <c r="O22" s="127">
        <f t="shared" si="4"/>
        <v>2765.2715823999997</v>
      </c>
      <c r="P22" s="127">
        <f t="shared" si="5"/>
        <v>2850.9950014543997</v>
      </c>
      <c r="Q22" s="127">
        <f t="shared" si="6"/>
        <v>2939.3758464994858</v>
      </c>
      <c r="R22" s="127">
        <f t="shared" si="7"/>
        <v>3036.3752494339687</v>
      </c>
      <c r="T22" s="13" t="s">
        <v>2118</v>
      </c>
      <c r="U22" s="105" t="s">
        <v>2108</v>
      </c>
      <c r="V22" s="127">
        <f>'3. PRECIOS Y COSTOS'!AB1607</f>
        <v>8156.2473455649979</v>
      </c>
      <c r="W22" s="127">
        <f t="shared" si="8"/>
        <v>8425.4035079686419</v>
      </c>
      <c r="X22" s="127">
        <f t="shared" si="9"/>
        <v>8686.591016715669</v>
      </c>
      <c r="Y22" s="127">
        <f t="shared" si="10"/>
        <v>8955.8753382338546</v>
      </c>
      <c r="Z22" s="127">
        <f t="shared" si="11"/>
        <v>9251.4192243955713</v>
      </c>
    </row>
    <row r="23" spans="1:26" x14ac:dyDescent="0.25">
      <c r="L23" s="120" t="s">
        <v>2119</v>
      </c>
      <c r="M23" s="120" t="s">
        <v>2108</v>
      </c>
      <c r="N23" s="127">
        <f>'3. PRECIOS Y COSTOS'!BG2225</f>
        <v>715.6</v>
      </c>
      <c r="O23" s="127">
        <f t="shared" si="4"/>
        <v>739.21479999999997</v>
      </c>
      <c r="P23" s="127">
        <f t="shared" si="5"/>
        <v>762.13045879999993</v>
      </c>
      <c r="Q23" s="127">
        <f t="shared" si="6"/>
        <v>785.75650302279985</v>
      </c>
      <c r="R23" s="127">
        <f t="shared" si="7"/>
        <v>811.68646762255219</v>
      </c>
      <c r="T23" s="13" t="s">
        <v>2119</v>
      </c>
      <c r="U23" s="105" t="s">
        <v>2108</v>
      </c>
      <c r="V23" s="127">
        <f>'3. PRECIOS Y COSTOS'!BD2234</f>
        <v>2761.7069645051979</v>
      </c>
      <c r="W23" s="127">
        <f t="shared" si="8"/>
        <v>2852.8432943338694</v>
      </c>
      <c r="X23" s="127">
        <f t="shared" si="9"/>
        <v>2941.2814364582191</v>
      </c>
      <c r="Y23" s="127">
        <f t="shared" si="10"/>
        <v>3032.4611609884237</v>
      </c>
      <c r="Z23" s="127">
        <f t="shared" si="11"/>
        <v>3132.5323793010416</v>
      </c>
    </row>
    <row r="24" spans="1:26" x14ac:dyDescent="0.25">
      <c r="L24" s="120" t="s">
        <v>2120</v>
      </c>
      <c r="M24" s="120" t="s">
        <v>2108</v>
      </c>
      <c r="N24" s="127">
        <f>'3. PRECIOS Y COSTOS'!BG2294</f>
        <v>4568.2849999999999</v>
      </c>
      <c r="O24" s="127">
        <f t="shared" si="4"/>
        <v>4719.0384049999993</v>
      </c>
      <c r="P24" s="127">
        <f t="shared" si="5"/>
        <v>4865.3285955549991</v>
      </c>
      <c r="Q24" s="127">
        <f t="shared" si="6"/>
        <v>5016.1537820172034</v>
      </c>
      <c r="R24" s="127">
        <f t="shared" si="7"/>
        <v>5181.6868568237705</v>
      </c>
      <c r="T24" s="13" t="s">
        <v>2120</v>
      </c>
      <c r="U24" s="105" t="s">
        <v>2108</v>
      </c>
      <c r="V24" s="127">
        <f>'3. PRECIOS Y COSTOS'!BD2303</f>
        <v>9419.1466445051974</v>
      </c>
      <c r="W24" s="127">
        <f t="shared" si="8"/>
        <v>9729.978483773868</v>
      </c>
      <c r="X24" s="127">
        <f t="shared" si="9"/>
        <v>10031.607816770857</v>
      </c>
      <c r="Y24" s="127">
        <f t="shared" si="10"/>
        <v>10342.587659090752</v>
      </c>
      <c r="Z24" s="127">
        <f t="shared" si="11"/>
        <v>10683.893051840745</v>
      </c>
    </row>
    <row r="25" spans="1:26" x14ac:dyDescent="0.25">
      <c r="L25" s="120" t="s">
        <v>638</v>
      </c>
      <c r="M25" s="120" t="s">
        <v>2108</v>
      </c>
      <c r="N25" s="127">
        <f>'3. PRECIOS Y COSTOS'!AE1951</f>
        <v>1016.98</v>
      </c>
      <c r="O25" s="127">
        <f t="shared" si="4"/>
        <v>1050.54034</v>
      </c>
      <c r="P25" s="127">
        <f t="shared" si="5"/>
        <v>1083.1070905399999</v>
      </c>
      <c r="Q25" s="127">
        <f t="shared" si="6"/>
        <v>1116.6834103467399</v>
      </c>
      <c r="R25" s="127">
        <f t="shared" si="7"/>
        <v>1153.5339628881823</v>
      </c>
      <c r="T25" s="13" t="s">
        <v>638</v>
      </c>
      <c r="U25" s="105" t="s">
        <v>2108</v>
      </c>
      <c r="V25" s="127">
        <f>'3. PRECIOS Y COSTOS'!AB1960</f>
        <v>5287.8489071649983</v>
      </c>
      <c r="W25" s="127">
        <f t="shared" si="8"/>
        <v>5462.3479211014428</v>
      </c>
      <c r="X25" s="127">
        <f t="shared" si="9"/>
        <v>5631.6807066555875</v>
      </c>
      <c r="Y25" s="127">
        <f t="shared" si="10"/>
        <v>5806.2628085619099</v>
      </c>
      <c r="Z25" s="127">
        <f t="shared" si="11"/>
        <v>5997.8694812444528</v>
      </c>
    </row>
    <row r="26" spans="1:26" x14ac:dyDescent="0.25">
      <c r="L26" s="120" t="s">
        <v>2121</v>
      </c>
      <c r="M26" s="120" t="s">
        <v>2108</v>
      </c>
      <c r="N26" s="127">
        <f>'3. PRECIOS Y COSTOS'!AE2116</f>
        <v>4787.2849999999999</v>
      </c>
      <c r="O26" s="127">
        <f t="shared" si="4"/>
        <v>4945.2654049999992</v>
      </c>
      <c r="P26" s="127">
        <f t="shared" si="5"/>
        <v>5098.5686325549987</v>
      </c>
      <c r="Q26" s="127">
        <f t="shared" si="6"/>
        <v>5256.6242601642034</v>
      </c>
      <c r="R26" s="127">
        <f t="shared" si="7"/>
        <v>5430.0928607496217</v>
      </c>
      <c r="T26" s="13" t="s">
        <v>2121</v>
      </c>
      <c r="U26" s="105" t="s">
        <v>2108</v>
      </c>
      <c r="V26" s="127">
        <f>'3. PRECIOS Y COSTOS'!AB2125</f>
        <v>11802.935947164995</v>
      </c>
      <c r="W26" s="127">
        <f t="shared" si="8"/>
        <v>12192.432833421439</v>
      </c>
      <c r="X26" s="127">
        <f t="shared" si="9"/>
        <v>12570.398251257502</v>
      </c>
      <c r="Y26" s="127">
        <f t="shared" si="10"/>
        <v>12960.080597046484</v>
      </c>
      <c r="Z26" s="127">
        <f t="shared" si="11"/>
        <v>13387.763256749018</v>
      </c>
    </row>
    <row r="28" spans="1:26" x14ac:dyDescent="0.25">
      <c r="A28" s="29" t="s">
        <v>1822</v>
      </c>
      <c r="O28" s="29" t="s">
        <v>1834</v>
      </c>
    </row>
    <row r="29" spans="1:26" x14ac:dyDescent="0.25">
      <c r="A29" s="29" t="s">
        <v>1823</v>
      </c>
      <c r="H29" s="30"/>
      <c r="O29" s="29" t="s">
        <v>1851</v>
      </c>
    </row>
    <row r="30" spans="1:26" ht="16.5" thickBot="1" x14ac:dyDescent="0.3">
      <c r="H30" s="30"/>
      <c r="O30" s="34"/>
      <c r="P30" s="34"/>
      <c r="Q30" s="34"/>
      <c r="R30" s="34"/>
      <c r="S30" s="34"/>
      <c r="T30" s="34"/>
      <c r="U30" s="34"/>
      <c r="V30" s="34"/>
    </row>
    <row r="31" spans="1:26" x14ac:dyDescent="0.25">
      <c r="C31" s="1134" t="s">
        <v>1829</v>
      </c>
      <c r="D31" s="1135"/>
      <c r="E31" s="1135"/>
      <c r="F31" s="1135"/>
      <c r="G31" s="1135"/>
      <c r="H31" s="1135"/>
      <c r="I31" s="1136"/>
      <c r="O31" s="34"/>
      <c r="P31" s="34"/>
      <c r="Q31" s="34"/>
      <c r="R31" s="34"/>
      <c r="S31" s="34"/>
      <c r="T31" s="34"/>
      <c r="U31" s="34"/>
      <c r="V31" s="34"/>
    </row>
    <row r="32" spans="1:26" ht="16.5" thickBot="1" x14ac:dyDescent="0.3">
      <c r="C32" s="1137"/>
      <c r="D32" s="1138"/>
      <c r="E32" s="1138"/>
      <c r="F32" s="1138"/>
      <c r="G32" s="1138"/>
      <c r="H32" s="1138"/>
      <c r="I32" s="1139"/>
      <c r="K32" s="103"/>
      <c r="L32" s="103"/>
      <c r="N32" s="30"/>
      <c r="O32" s="104"/>
      <c r="P32" s="106"/>
      <c r="Q32" s="635"/>
      <c r="R32" s="635"/>
      <c r="S32" s="635"/>
      <c r="T32" s="635"/>
      <c r="U32" s="635"/>
      <c r="V32" s="635"/>
    </row>
    <row r="33" spans="2:22" ht="16.5" thickBot="1" x14ac:dyDescent="0.3">
      <c r="C33" s="1132" t="s">
        <v>1576</v>
      </c>
      <c r="D33" s="460" t="s">
        <v>1821</v>
      </c>
      <c r="E33" s="460">
        <v>2021</v>
      </c>
      <c r="F33" s="460">
        <v>2022</v>
      </c>
      <c r="G33" s="460">
        <v>2023</v>
      </c>
      <c r="H33" s="460">
        <v>2024</v>
      </c>
      <c r="I33" s="461">
        <v>2025</v>
      </c>
      <c r="K33" s="103"/>
      <c r="L33" s="103"/>
      <c r="N33" s="30"/>
      <c r="O33" s="104"/>
      <c r="P33" s="636"/>
      <c r="Q33" s="637"/>
      <c r="R33" s="638"/>
      <c r="S33" s="639"/>
      <c r="T33" s="639"/>
      <c r="U33" s="639"/>
      <c r="V33" s="640"/>
    </row>
    <row r="34" spans="2:22" ht="16.5" thickBot="1" x14ac:dyDescent="0.3">
      <c r="C34" s="1140"/>
      <c r="D34" s="779" t="s">
        <v>1825</v>
      </c>
      <c r="E34" s="780">
        <v>3.5999999999999997E-2</v>
      </c>
      <c r="F34" s="780">
        <v>3.3000000000000002E-2</v>
      </c>
      <c r="G34" s="780">
        <v>3.1E-2</v>
      </c>
      <c r="H34" s="780">
        <v>3.1E-2</v>
      </c>
      <c r="I34" s="781">
        <v>3.3000000000000002E-2</v>
      </c>
      <c r="K34" s="103"/>
      <c r="L34" s="103"/>
      <c r="N34" s="30"/>
      <c r="O34" s="104"/>
      <c r="P34" s="636"/>
      <c r="Q34" s="637"/>
      <c r="R34" s="638"/>
      <c r="S34" s="639"/>
      <c r="T34" s="639"/>
      <c r="U34" s="639"/>
      <c r="V34" s="640"/>
    </row>
    <row r="35" spans="2:22" ht="15.75" customHeight="1" x14ac:dyDescent="0.25">
      <c r="B35" s="1167" t="s">
        <v>1826</v>
      </c>
      <c r="C35" s="462" t="s">
        <v>290</v>
      </c>
      <c r="D35" s="469" t="s">
        <v>1824</v>
      </c>
      <c r="E35" s="434">
        <f>'3. PRECIOS Y COSTOS'!R79</f>
        <v>25715.908348406345</v>
      </c>
      <c r="F35" s="434">
        <f>E35*(1+$F$34)</f>
        <v>26564.533323903754</v>
      </c>
      <c r="G35" s="434">
        <f>F35*(1+$G$34)</f>
        <v>27388.033856944767</v>
      </c>
      <c r="H35" s="434">
        <f>G35*(1+$H$34)</f>
        <v>28237.062906510051</v>
      </c>
      <c r="I35" s="435">
        <f>H35*(1+$I$34)</f>
        <v>29168.885982424879</v>
      </c>
      <c r="J35" s="137"/>
      <c r="K35" s="103"/>
      <c r="L35" s="103"/>
      <c r="N35" s="30"/>
      <c r="O35" s="104"/>
      <c r="P35" s="636"/>
      <c r="Q35" s="637"/>
      <c r="R35" s="638"/>
      <c r="S35" s="639"/>
      <c r="T35" s="639"/>
      <c r="U35" s="639"/>
      <c r="V35" s="640"/>
    </row>
    <row r="36" spans="2:22" x14ac:dyDescent="0.25">
      <c r="B36" s="1168"/>
      <c r="C36" s="463" t="s">
        <v>289</v>
      </c>
      <c r="D36" s="425" t="s">
        <v>1824</v>
      </c>
      <c r="E36" s="153">
        <f>'3. PRECIOS Y COSTOS'!R102</f>
        <v>17695.603708406346</v>
      </c>
      <c r="F36" s="153">
        <f>E36*(1+$F$34)</f>
        <v>18279.558630783755</v>
      </c>
      <c r="G36" s="153">
        <f>F36*(1+$G$34)</f>
        <v>18846.224948338051</v>
      </c>
      <c r="H36" s="153">
        <f>G36*(1+$H$34)</f>
        <v>19430.457921736528</v>
      </c>
      <c r="I36" s="436">
        <f>H36*(1+$I$34)</f>
        <v>20071.663033153833</v>
      </c>
      <c r="J36" s="137"/>
      <c r="K36" s="103"/>
      <c r="L36" s="103"/>
      <c r="N36" s="30"/>
      <c r="O36" s="104"/>
      <c r="P36" s="636"/>
      <c r="Q36" s="637"/>
      <c r="R36" s="638"/>
      <c r="S36" s="639"/>
      <c r="T36" s="639"/>
      <c r="U36" s="639"/>
      <c r="V36" s="640"/>
    </row>
    <row r="37" spans="2:22" x14ac:dyDescent="0.25">
      <c r="B37" s="1168"/>
      <c r="C37" s="463" t="s">
        <v>24</v>
      </c>
      <c r="D37" s="425" t="s">
        <v>1824</v>
      </c>
      <c r="E37" s="153">
        <f>'3. PRECIOS Y COSTOS'!R125</f>
        <v>34454.821142006345</v>
      </c>
      <c r="F37" s="153">
        <f>E37*(1+$F$34)</f>
        <v>35591.83023969255</v>
      </c>
      <c r="G37" s="153">
        <f t="shared" ref="G37:G100" si="16">F37*(1+$G$34)</f>
        <v>36695.176977123017</v>
      </c>
      <c r="H37" s="153">
        <f t="shared" ref="H37:H100" si="17">G37*(1+$H$34)</f>
        <v>37832.72746341383</v>
      </c>
      <c r="I37" s="436">
        <f t="shared" ref="I37:I100" si="18">H37*(1+$I$34)</f>
        <v>39081.207469706482</v>
      </c>
      <c r="J37" s="137"/>
      <c r="K37" s="103"/>
      <c r="L37" s="103"/>
      <c r="N37" s="30"/>
      <c r="O37" s="104"/>
      <c r="P37" s="636"/>
      <c r="Q37" s="637"/>
      <c r="R37" s="638"/>
      <c r="S37" s="639"/>
      <c r="T37" s="639"/>
      <c r="U37" s="639"/>
      <c r="V37" s="640"/>
    </row>
    <row r="38" spans="2:22" x14ac:dyDescent="0.25">
      <c r="B38" s="1168"/>
      <c r="C38" s="463" t="s">
        <v>18</v>
      </c>
      <c r="D38" s="425" t="s">
        <v>1824</v>
      </c>
      <c r="E38" s="153">
        <f>'3. PRECIOS Y COSTOS'!R148</f>
        <v>29996.440828406347</v>
      </c>
      <c r="F38" s="153">
        <f>E38*(1+$F$34)</f>
        <v>30986.323375743752</v>
      </c>
      <c r="G38" s="153">
        <f t="shared" si="16"/>
        <v>31946.899400391805</v>
      </c>
      <c r="H38" s="153">
        <f t="shared" si="17"/>
        <v>32937.253281803947</v>
      </c>
      <c r="I38" s="436">
        <f t="shared" si="18"/>
        <v>34024.182640103478</v>
      </c>
      <c r="J38" s="137"/>
      <c r="K38" s="103"/>
      <c r="L38" s="103"/>
      <c r="N38" s="30"/>
      <c r="O38" s="104"/>
      <c r="P38" s="636"/>
      <c r="Q38" s="637"/>
      <c r="R38" s="638"/>
      <c r="S38" s="639"/>
      <c r="T38" s="639"/>
      <c r="U38" s="639"/>
      <c r="V38" s="640"/>
    </row>
    <row r="39" spans="2:22" x14ac:dyDescent="0.25">
      <c r="B39" s="1168"/>
      <c r="C39" s="463" t="s">
        <v>22</v>
      </c>
      <c r="D39" s="425" t="s">
        <v>1824</v>
      </c>
      <c r="E39" s="153">
        <f>'3. PRECIOS Y COSTOS'!R171</f>
        <v>38141.057788406353</v>
      </c>
      <c r="F39" s="153">
        <f t="shared" ref="F39:F100" si="19">E39*(1+$F$34)</f>
        <v>39399.712695423761</v>
      </c>
      <c r="G39" s="153">
        <f t="shared" si="16"/>
        <v>40621.103788981891</v>
      </c>
      <c r="H39" s="153">
        <f t="shared" si="17"/>
        <v>41880.358006440329</v>
      </c>
      <c r="I39" s="436">
        <f t="shared" si="18"/>
        <v>43262.409820652858</v>
      </c>
      <c r="J39" s="137"/>
      <c r="K39" s="103"/>
      <c r="L39" s="103"/>
      <c r="N39" s="30"/>
      <c r="O39" s="104"/>
      <c r="P39" s="636"/>
      <c r="Q39" s="637"/>
      <c r="R39" s="638"/>
      <c r="S39" s="639"/>
      <c r="T39" s="639"/>
      <c r="U39" s="639"/>
      <c r="V39" s="640"/>
    </row>
    <row r="40" spans="2:22" x14ac:dyDescent="0.25">
      <c r="B40" s="1168"/>
      <c r="C40" s="463" t="s">
        <v>26</v>
      </c>
      <c r="D40" s="425" t="s">
        <v>1824</v>
      </c>
      <c r="E40" s="153">
        <f>'3. PRECIOS Y COSTOS'!R194</f>
        <v>32554.897583606347</v>
      </c>
      <c r="F40" s="153">
        <f t="shared" si="19"/>
        <v>33629.209203865357</v>
      </c>
      <c r="G40" s="153">
        <f t="shared" si="16"/>
        <v>34671.714689185181</v>
      </c>
      <c r="H40" s="153">
        <f t="shared" si="17"/>
        <v>35746.537844549915</v>
      </c>
      <c r="I40" s="436">
        <f t="shared" si="18"/>
        <v>36926.173593420062</v>
      </c>
      <c r="J40" s="137"/>
      <c r="K40" s="103"/>
      <c r="L40" s="103"/>
      <c r="N40" s="30"/>
      <c r="O40" s="104"/>
      <c r="P40" s="636"/>
      <c r="Q40" s="637"/>
      <c r="R40" s="638"/>
      <c r="S40" s="639"/>
      <c r="T40" s="639"/>
      <c r="U40" s="639"/>
      <c r="V40" s="640"/>
    </row>
    <row r="41" spans="2:22" x14ac:dyDescent="0.25">
      <c r="B41" s="1168"/>
      <c r="C41" s="463" t="s">
        <v>29</v>
      </c>
      <c r="D41" s="425" t="s">
        <v>1824</v>
      </c>
      <c r="E41" s="153">
        <f>'3. PRECIOS Y COSTOS'!R216</f>
        <v>29190.765666806343</v>
      </c>
      <c r="F41" s="153">
        <f t="shared" si="19"/>
        <v>30154.06093381095</v>
      </c>
      <c r="G41" s="153">
        <f t="shared" si="16"/>
        <v>31088.836822759087</v>
      </c>
      <c r="H41" s="153">
        <f t="shared" si="17"/>
        <v>32052.590764264616</v>
      </c>
      <c r="I41" s="436">
        <f t="shared" si="18"/>
        <v>33110.326259485344</v>
      </c>
      <c r="J41" s="137"/>
      <c r="K41" s="103"/>
      <c r="L41" s="103"/>
      <c r="N41" s="30"/>
      <c r="O41" s="104"/>
      <c r="P41" s="636"/>
      <c r="Q41" s="637"/>
      <c r="R41" s="638"/>
      <c r="S41" s="639"/>
      <c r="T41" s="639"/>
      <c r="U41" s="639"/>
      <c r="V41" s="640"/>
    </row>
    <row r="42" spans="2:22" x14ac:dyDescent="0.25">
      <c r="B42" s="1168"/>
      <c r="C42" s="463" t="s">
        <v>32</v>
      </c>
      <c r="D42" s="425" t="s">
        <v>1824</v>
      </c>
      <c r="E42" s="153">
        <f>'3. PRECIOS Y COSTOS'!R245</f>
        <v>29640.818428406343</v>
      </c>
      <c r="F42" s="153">
        <f t="shared" si="19"/>
        <v>30618.965436543749</v>
      </c>
      <c r="G42" s="153">
        <f t="shared" si="16"/>
        <v>31568.153365076603</v>
      </c>
      <c r="H42" s="153">
        <f t="shared" si="17"/>
        <v>32546.766119393975</v>
      </c>
      <c r="I42" s="436">
        <f t="shared" si="18"/>
        <v>33620.809401333972</v>
      </c>
      <c r="J42" s="137"/>
      <c r="N42" s="30"/>
      <c r="O42" s="104"/>
      <c r="P42" s="636"/>
      <c r="Q42" s="637"/>
      <c r="R42" s="638"/>
      <c r="S42" s="639"/>
      <c r="T42" s="639"/>
      <c r="U42" s="639"/>
      <c r="V42" s="640"/>
    </row>
    <row r="43" spans="2:22" x14ac:dyDescent="0.25">
      <c r="B43" s="1168"/>
      <c r="C43" s="463" t="s">
        <v>308</v>
      </c>
      <c r="D43" s="425" t="s">
        <v>1824</v>
      </c>
      <c r="E43" s="153">
        <f>'3. PRECIOS Y COSTOS'!R269</f>
        <v>18388.376188406342</v>
      </c>
      <c r="F43" s="153">
        <f t="shared" si="19"/>
        <v>18995.192602623749</v>
      </c>
      <c r="G43" s="153">
        <f t="shared" si="16"/>
        <v>19584.043573305084</v>
      </c>
      <c r="H43" s="153">
        <f t="shared" si="17"/>
        <v>20191.148924077541</v>
      </c>
      <c r="I43" s="436">
        <f t="shared" si="18"/>
        <v>20857.4568385721</v>
      </c>
      <c r="J43" s="137"/>
      <c r="K43" s="30"/>
      <c r="L43" s="30"/>
      <c r="M43" s="30"/>
      <c r="N43" s="30"/>
      <c r="O43" s="104"/>
      <c r="P43" s="636"/>
      <c r="Q43" s="637"/>
      <c r="R43" s="638"/>
      <c r="S43" s="639"/>
      <c r="T43" s="639"/>
      <c r="U43" s="639"/>
      <c r="V43" s="640"/>
    </row>
    <row r="44" spans="2:22" x14ac:dyDescent="0.25">
      <c r="B44" s="1168"/>
      <c r="C44" s="463" t="s">
        <v>35</v>
      </c>
      <c r="D44" s="425" t="s">
        <v>1824</v>
      </c>
      <c r="E44" s="153">
        <f>'3. PRECIOS Y COSTOS'!R291</f>
        <v>27012.374908406338</v>
      </c>
      <c r="F44" s="153">
        <f t="shared" si="19"/>
        <v>27903.783280383745</v>
      </c>
      <c r="G44" s="153">
        <f t="shared" si="16"/>
        <v>28768.800562075638</v>
      </c>
      <c r="H44" s="153">
        <f t="shared" si="17"/>
        <v>29660.633379499981</v>
      </c>
      <c r="I44" s="436">
        <f t="shared" si="18"/>
        <v>30639.434281023478</v>
      </c>
      <c r="J44" s="137"/>
      <c r="K44" s="30"/>
      <c r="L44" s="30"/>
      <c r="M44" s="30"/>
      <c r="N44" s="30"/>
      <c r="O44" s="104"/>
      <c r="P44" s="636"/>
      <c r="Q44" s="637"/>
      <c r="R44" s="638"/>
      <c r="S44" s="639"/>
      <c r="T44" s="639"/>
      <c r="U44" s="639"/>
      <c r="V44" s="640"/>
    </row>
    <row r="45" spans="2:22" x14ac:dyDescent="0.25">
      <c r="B45" s="1168"/>
      <c r="C45" s="463" t="s">
        <v>39</v>
      </c>
      <c r="D45" s="425" t="s">
        <v>1824</v>
      </c>
      <c r="E45" s="153">
        <f>'3. PRECIOS Y COSTOS'!R318</f>
        <v>29950.916668406342</v>
      </c>
      <c r="F45" s="153">
        <f t="shared" si="19"/>
        <v>30939.296918463748</v>
      </c>
      <c r="G45" s="153">
        <f t="shared" si="16"/>
        <v>31898.41512293612</v>
      </c>
      <c r="H45" s="153">
        <f t="shared" si="17"/>
        <v>32887.265991747139</v>
      </c>
      <c r="I45" s="436">
        <f t="shared" si="18"/>
        <v>33972.545769474789</v>
      </c>
      <c r="J45" s="137"/>
      <c r="K45" s="30"/>
      <c r="L45" s="288"/>
      <c r="M45" s="30"/>
      <c r="N45" s="30"/>
      <c r="O45" s="104"/>
      <c r="P45" s="636"/>
      <c r="Q45" s="637"/>
      <c r="R45" s="638"/>
      <c r="S45" s="639"/>
      <c r="T45" s="639"/>
      <c r="U45" s="639"/>
      <c r="V45" s="640"/>
    </row>
    <row r="46" spans="2:22" x14ac:dyDescent="0.25">
      <c r="B46" s="1168"/>
      <c r="C46" s="463" t="s">
        <v>42</v>
      </c>
      <c r="D46" s="425" t="s">
        <v>1824</v>
      </c>
      <c r="E46" s="153">
        <f>'3. PRECIOS Y COSTOS'!R340</f>
        <v>12924.561148406343</v>
      </c>
      <c r="F46" s="153">
        <f t="shared" si="19"/>
        <v>13351.071666303751</v>
      </c>
      <c r="G46" s="153">
        <f t="shared" si="16"/>
        <v>13764.954887959166</v>
      </c>
      <c r="H46" s="153">
        <f t="shared" si="17"/>
        <v>14191.668489485899</v>
      </c>
      <c r="I46" s="436">
        <f t="shared" si="18"/>
        <v>14659.993549638932</v>
      </c>
      <c r="J46" s="137"/>
      <c r="K46" s="30"/>
      <c r="L46" s="288"/>
      <c r="M46" s="30"/>
      <c r="P46" s="104"/>
      <c r="Q46" s="104"/>
      <c r="R46" s="475"/>
    </row>
    <row r="47" spans="2:22" x14ac:dyDescent="0.25">
      <c r="B47" s="1168"/>
      <c r="C47" s="463" t="s">
        <v>45</v>
      </c>
      <c r="D47" s="425" t="s">
        <v>1824</v>
      </c>
      <c r="E47" s="153">
        <f>'3. PRECIOS Y COSTOS'!R363</f>
        <v>44227.255228406342</v>
      </c>
      <c r="F47" s="153">
        <f t="shared" si="19"/>
        <v>45686.754650943745</v>
      </c>
      <c r="G47" s="153">
        <f t="shared" si="16"/>
        <v>47103.044045122995</v>
      </c>
      <c r="H47" s="153">
        <f t="shared" si="17"/>
        <v>48563.238410521801</v>
      </c>
      <c r="I47" s="436">
        <f t="shared" si="18"/>
        <v>50165.825278069016</v>
      </c>
      <c r="J47" s="137"/>
      <c r="K47" s="30"/>
      <c r="L47" s="288"/>
      <c r="M47" s="30"/>
      <c r="P47" s="30"/>
      <c r="Q47" s="104"/>
      <c r="R47" s="288"/>
    </row>
    <row r="48" spans="2:22" x14ac:dyDescent="0.25">
      <c r="B48" s="1168"/>
      <c r="C48" s="463" t="s">
        <v>309</v>
      </c>
      <c r="D48" s="425" t="s">
        <v>1824</v>
      </c>
      <c r="E48" s="153">
        <f>'3. PRECIOS Y COSTOS'!R388</f>
        <v>50422.876540406345</v>
      </c>
      <c r="F48" s="153">
        <f t="shared" si="19"/>
        <v>52086.831466239753</v>
      </c>
      <c r="G48" s="153">
        <f t="shared" si="16"/>
        <v>53701.523241693183</v>
      </c>
      <c r="H48" s="153">
        <f t="shared" si="17"/>
        <v>55366.270462185668</v>
      </c>
      <c r="I48" s="436">
        <f t="shared" si="18"/>
        <v>57193.357387437791</v>
      </c>
      <c r="J48" s="137"/>
      <c r="K48" s="30"/>
      <c r="L48" s="288"/>
      <c r="M48" s="30"/>
      <c r="Q48" s="105" t="s">
        <v>1835</v>
      </c>
      <c r="R48" s="782">
        <f>MIN(E35:E94)</f>
        <v>11649.936508406341</v>
      </c>
      <c r="T48" s="105" t="s">
        <v>1835</v>
      </c>
      <c r="U48" s="782">
        <f>MIN(E95:E123)</f>
        <v>9526.4145884063437</v>
      </c>
    </row>
    <row r="49" spans="2:30" x14ac:dyDescent="0.25">
      <c r="B49" s="1168"/>
      <c r="C49" s="463" t="s">
        <v>1827</v>
      </c>
      <c r="D49" s="425" t="s">
        <v>1824</v>
      </c>
      <c r="E49" s="153">
        <f>'3. PRECIOS Y COSTOS'!R411</f>
        <v>36157.417468406347</v>
      </c>
      <c r="F49" s="153">
        <f t="shared" si="19"/>
        <v>37350.612244863754</v>
      </c>
      <c r="G49" s="153">
        <f t="shared" si="16"/>
        <v>38508.481224454525</v>
      </c>
      <c r="H49" s="153">
        <f t="shared" si="17"/>
        <v>39702.244142412608</v>
      </c>
      <c r="I49" s="436">
        <f t="shared" si="18"/>
        <v>41012.418199112224</v>
      </c>
      <c r="J49" s="137"/>
      <c r="K49" s="30"/>
      <c r="L49" s="288"/>
      <c r="M49" s="30"/>
      <c r="Q49" s="105" t="s">
        <v>1836</v>
      </c>
      <c r="R49" s="782">
        <f>MIN(E124:E130)</f>
        <v>8794.8992302442621</v>
      </c>
      <c r="T49" s="105" t="s">
        <v>1836</v>
      </c>
      <c r="U49" s="782">
        <f>MIN(E131:E137)</f>
        <v>8723.5328302442631</v>
      </c>
    </row>
    <row r="50" spans="2:30" x14ac:dyDescent="0.25">
      <c r="B50" s="1168"/>
      <c r="C50" s="463" t="s">
        <v>52</v>
      </c>
      <c r="D50" s="425" t="s">
        <v>1824</v>
      </c>
      <c r="E50" s="153">
        <f>'3. PRECIOS Y COSTOS'!R435</f>
        <v>35742.075388406352</v>
      </c>
      <c r="F50" s="153">
        <f t="shared" si="19"/>
        <v>36921.563876223758</v>
      </c>
      <c r="G50" s="153">
        <f t="shared" si="16"/>
        <v>38066.13235638669</v>
      </c>
      <c r="H50" s="153">
        <f t="shared" si="17"/>
        <v>39246.182459434676</v>
      </c>
      <c r="I50" s="436">
        <f t="shared" si="18"/>
        <v>40541.306480596017</v>
      </c>
      <c r="J50" s="137"/>
      <c r="K50" s="30"/>
      <c r="L50" s="30"/>
      <c r="M50" s="30"/>
      <c r="Q50" s="105" t="s">
        <v>1837</v>
      </c>
      <c r="R50" s="782">
        <f>MIN(E138:E161)</f>
        <v>1148.546754256336</v>
      </c>
      <c r="T50" s="105" t="s">
        <v>1837</v>
      </c>
      <c r="U50" s="782">
        <f>MIN(E158:E181)</f>
        <v>2636.2178966563361</v>
      </c>
    </row>
    <row r="51" spans="2:30" x14ac:dyDescent="0.25">
      <c r="B51" s="1168"/>
      <c r="C51" s="463" t="s">
        <v>101</v>
      </c>
      <c r="D51" s="425" t="s">
        <v>1824</v>
      </c>
      <c r="E51" s="153">
        <f>'3. PRECIOS Y COSTOS'!R458</f>
        <v>24892.585468406342</v>
      </c>
      <c r="F51" s="153">
        <f t="shared" si="19"/>
        <v>25714.040788863749</v>
      </c>
      <c r="G51" s="153">
        <f t="shared" si="16"/>
        <v>26511.176053318522</v>
      </c>
      <c r="H51" s="153">
        <f t="shared" si="17"/>
        <v>27333.022510971394</v>
      </c>
      <c r="I51" s="436">
        <f t="shared" si="18"/>
        <v>28235.012253833447</v>
      </c>
      <c r="J51" s="137"/>
      <c r="K51" s="288"/>
      <c r="L51" s="30"/>
      <c r="M51" s="30"/>
      <c r="Q51" s="105" t="s">
        <v>1838</v>
      </c>
      <c r="R51" s="782">
        <f>MIN(E182:E191)</f>
        <v>6950.2159888370588</v>
      </c>
      <c r="T51" s="105" t="s">
        <v>1838</v>
      </c>
      <c r="U51" s="782">
        <f>MIN(E188:E191)</f>
        <v>6950.2159888370588</v>
      </c>
    </row>
    <row r="52" spans="2:30" x14ac:dyDescent="0.25">
      <c r="B52" s="1168"/>
      <c r="C52" s="463" t="s">
        <v>1676</v>
      </c>
      <c r="D52" s="425" t="s">
        <v>1824</v>
      </c>
      <c r="E52" s="153">
        <f>'3. PRECIOS Y COSTOS'!R481</f>
        <v>29036.813308406345</v>
      </c>
      <c r="F52" s="153">
        <f t="shared" si="19"/>
        <v>29995.028147583751</v>
      </c>
      <c r="G52" s="153">
        <f t="shared" si="16"/>
        <v>30924.874020158844</v>
      </c>
      <c r="H52" s="153">
        <f t="shared" si="17"/>
        <v>31883.545114783767</v>
      </c>
      <c r="I52" s="436">
        <f t="shared" si="18"/>
        <v>32935.702103571632</v>
      </c>
      <c r="J52" s="137"/>
      <c r="K52" s="30"/>
      <c r="L52" s="30"/>
      <c r="M52" s="30"/>
      <c r="Q52" s="105" t="s">
        <v>337</v>
      </c>
      <c r="R52" s="782">
        <f>SUM(R48:R51)</f>
        <v>28543.598481743997</v>
      </c>
      <c r="S52" s="286"/>
      <c r="T52" s="105" t="s">
        <v>337</v>
      </c>
      <c r="U52" s="782">
        <f>SUM(U48:U51)</f>
        <v>27836.381304144001</v>
      </c>
    </row>
    <row r="53" spans="2:30" x14ac:dyDescent="0.25">
      <c r="B53" s="1168"/>
      <c r="C53" s="463" t="s">
        <v>96</v>
      </c>
      <c r="D53" s="425" t="s">
        <v>1824</v>
      </c>
      <c r="E53" s="153">
        <f>'3. PRECIOS Y COSTOS'!R504</f>
        <v>27373.37138840634</v>
      </c>
      <c r="F53" s="153">
        <f t="shared" si="19"/>
        <v>28276.692644223745</v>
      </c>
      <c r="G53" s="153">
        <f t="shared" si="16"/>
        <v>29153.270116194679</v>
      </c>
      <c r="H53" s="153">
        <f t="shared" si="17"/>
        <v>30057.021489796713</v>
      </c>
      <c r="I53" s="436">
        <f t="shared" si="18"/>
        <v>31048.903198960001</v>
      </c>
      <c r="J53" s="137"/>
      <c r="R53" s="715"/>
      <c r="U53" s="715"/>
    </row>
    <row r="54" spans="2:30" x14ac:dyDescent="0.25">
      <c r="B54" s="1168"/>
      <c r="C54" s="463" t="s">
        <v>99</v>
      </c>
      <c r="D54" s="425" t="s">
        <v>1824</v>
      </c>
      <c r="E54" s="153">
        <f>'3. PRECIOS Y COSTOS'!R527</f>
        <v>52831.476988406343</v>
      </c>
      <c r="F54" s="153">
        <f t="shared" si="19"/>
        <v>54574.915729023749</v>
      </c>
      <c r="G54" s="153">
        <f t="shared" si="16"/>
        <v>56266.738116623477</v>
      </c>
      <c r="H54" s="153">
        <f t="shared" si="17"/>
        <v>58011.006998238801</v>
      </c>
      <c r="I54" s="436">
        <f t="shared" si="18"/>
        <v>59925.370229180677</v>
      </c>
      <c r="J54" s="137"/>
      <c r="Q54" s="105" t="s">
        <v>1839</v>
      </c>
      <c r="R54" s="782">
        <f>AVERAGE(E35:E94)</f>
        <v>32539.698982689904</v>
      </c>
      <c r="T54" s="105" t="s">
        <v>1839</v>
      </c>
      <c r="U54" s="782">
        <f>AVERAGE(E95:E123)</f>
        <v>16025.907763137378</v>
      </c>
    </row>
    <row r="55" spans="2:30" x14ac:dyDescent="0.25">
      <c r="B55" s="1168"/>
      <c r="C55" s="463" t="s">
        <v>103</v>
      </c>
      <c r="D55" s="425" t="s">
        <v>1824</v>
      </c>
      <c r="E55" s="153">
        <f>'3. PRECIOS Y COSTOS'!R553</f>
        <v>38929.497186806344</v>
      </c>
      <c r="F55" s="153">
        <f t="shared" si="19"/>
        <v>40214.17059397095</v>
      </c>
      <c r="G55" s="153">
        <f t="shared" si="16"/>
        <v>41460.809882384048</v>
      </c>
      <c r="H55" s="153">
        <f t="shared" si="17"/>
        <v>42746.094988737954</v>
      </c>
      <c r="I55" s="436">
        <f t="shared" si="18"/>
        <v>44156.716123366306</v>
      </c>
      <c r="J55" s="137"/>
      <c r="Q55" s="105" t="s">
        <v>1840</v>
      </c>
      <c r="R55" s="782">
        <f>AVERAGE(E124:E130)</f>
        <v>10862.416151844262</v>
      </c>
      <c r="T55" s="105" t="s">
        <v>1840</v>
      </c>
      <c r="U55" s="782">
        <f>AVERAGE(E131:E137)</f>
        <v>11734.145705672834</v>
      </c>
    </row>
    <row r="56" spans="2:30" x14ac:dyDescent="0.25">
      <c r="B56" s="1168"/>
      <c r="C56" s="463" t="s">
        <v>172</v>
      </c>
      <c r="D56" s="425" t="s">
        <v>1824</v>
      </c>
      <c r="E56" s="153">
        <f>'3. PRECIOS Y COSTOS'!R577</f>
        <v>40843.252348406342</v>
      </c>
      <c r="F56" s="153">
        <f t="shared" si="19"/>
        <v>42191.079675903748</v>
      </c>
      <c r="G56" s="153">
        <f t="shared" si="16"/>
        <v>43499.003145856761</v>
      </c>
      <c r="H56" s="153">
        <f t="shared" si="17"/>
        <v>44847.472243378317</v>
      </c>
      <c r="I56" s="436">
        <f t="shared" si="18"/>
        <v>46327.438827409795</v>
      </c>
      <c r="J56" s="137"/>
      <c r="Q56" s="105" t="s">
        <v>1841</v>
      </c>
      <c r="R56" s="782">
        <f>AVERAGE(E138:E161)</f>
        <v>4568.2456066802797</v>
      </c>
      <c r="T56" s="105" t="s">
        <v>1841</v>
      </c>
      <c r="U56" s="782">
        <f>AVERAGE(E158:E181)</f>
        <v>6047.4352066802794</v>
      </c>
    </row>
    <row r="57" spans="2:30" x14ac:dyDescent="0.25">
      <c r="B57" s="1168"/>
      <c r="C57" s="463" t="s">
        <v>60</v>
      </c>
      <c r="D57" s="425" t="s">
        <v>1824</v>
      </c>
      <c r="E57" s="153">
        <f>'3. PRECIOS Y COSTOS'!R603</f>
        <v>14869.373308406341</v>
      </c>
      <c r="F57" s="153">
        <f t="shared" si="19"/>
        <v>15360.062627583749</v>
      </c>
      <c r="G57" s="153">
        <f t="shared" si="16"/>
        <v>15836.224569038844</v>
      </c>
      <c r="H57" s="153">
        <f t="shared" si="17"/>
        <v>16327.147530679047</v>
      </c>
      <c r="I57" s="436">
        <f t="shared" si="18"/>
        <v>16865.943399191456</v>
      </c>
      <c r="J57" s="137"/>
      <c r="Q57" s="105" t="s">
        <v>1842</v>
      </c>
      <c r="R57" s="782">
        <f>AVERAGE(E182:E187)</f>
        <v>13902.573976037056</v>
      </c>
      <c r="T57" s="105" t="s">
        <v>1842</v>
      </c>
      <c r="U57" s="782">
        <f>AVERAGE(E188:E191)</f>
        <v>9158.2948672370585</v>
      </c>
      <c r="V57" s="286"/>
    </row>
    <row r="58" spans="2:30" x14ac:dyDescent="0.25">
      <c r="B58" s="1168"/>
      <c r="C58" s="463" t="s">
        <v>63</v>
      </c>
      <c r="D58" s="425" t="s">
        <v>1824</v>
      </c>
      <c r="E58" s="153">
        <f>'3. PRECIOS Y COSTOS'!R625</f>
        <v>45490.829308406341</v>
      </c>
      <c r="F58" s="153">
        <f t="shared" si="19"/>
        <v>46992.026675583744</v>
      </c>
      <c r="G58" s="153">
        <f t="shared" si="16"/>
        <v>48448.779502526835</v>
      </c>
      <c r="H58" s="153">
        <f t="shared" si="17"/>
        <v>49950.691667105166</v>
      </c>
      <c r="I58" s="436">
        <f t="shared" si="18"/>
        <v>51599.064492119629</v>
      </c>
      <c r="J58" s="137"/>
      <c r="Q58" s="105" t="s">
        <v>337</v>
      </c>
      <c r="R58" s="782">
        <f>SUM(R54:R57)</f>
        <v>61872.934717251497</v>
      </c>
      <c r="T58" s="105" t="s">
        <v>337</v>
      </c>
      <c r="U58" s="782">
        <f>SUM(U54:U57)</f>
        <v>42965.783542727557</v>
      </c>
    </row>
    <row r="59" spans="2:30" x14ac:dyDescent="0.25">
      <c r="B59" s="1168"/>
      <c r="C59" s="463" t="s">
        <v>66</v>
      </c>
      <c r="D59" s="425" t="s">
        <v>1824</v>
      </c>
      <c r="E59" s="153">
        <f>'3. PRECIOS Y COSTOS'!R651</f>
        <v>21274.248508406345</v>
      </c>
      <c r="F59" s="153">
        <f t="shared" si="19"/>
        <v>21976.298709183753</v>
      </c>
      <c r="G59" s="153">
        <f t="shared" si="16"/>
        <v>22657.563969168448</v>
      </c>
      <c r="H59" s="153">
        <f t="shared" si="17"/>
        <v>23359.94845221267</v>
      </c>
      <c r="I59" s="436">
        <f t="shared" si="18"/>
        <v>24130.826751135686</v>
      </c>
      <c r="J59" s="137"/>
      <c r="R59" s="715"/>
      <c r="U59" s="715"/>
    </row>
    <row r="60" spans="2:30" x14ac:dyDescent="0.25">
      <c r="B60" s="1168"/>
      <c r="C60" s="463" t="s">
        <v>69</v>
      </c>
      <c r="D60" s="425" t="s">
        <v>1824</v>
      </c>
      <c r="E60" s="153">
        <f>'3. PRECIOS Y COSTOS'!R674</f>
        <v>32782.840828406348</v>
      </c>
      <c r="F60" s="153">
        <f t="shared" si="19"/>
        <v>33864.674575743753</v>
      </c>
      <c r="G60" s="153">
        <f t="shared" si="16"/>
        <v>34914.479487591809</v>
      </c>
      <c r="H60" s="153">
        <f t="shared" si="17"/>
        <v>35996.828351707154</v>
      </c>
      <c r="I60" s="436">
        <f t="shared" si="18"/>
        <v>37184.72368731349</v>
      </c>
      <c r="J60" s="137"/>
      <c r="O60" s="286"/>
      <c r="Q60" s="105" t="s">
        <v>1843</v>
      </c>
      <c r="R60" s="782">
        <f>MAX(E35:E94)</f>
        <v>66948.00665240633</v>
      </c>
      <c r="T60" s="105" t="s">
        <v>1843</v>
      </c>
      <c r="U60" s="782">
        <f>MAX(E95:E123)</f>
        <v>26924.839266806342</v>
      </c>
      <c r="W60" s="286"/>
      <c r="Y60" s="286"/>
      <c r="Z60" s="286"/>
      <c r="AA60" s="286"/>
      <c r="AB60" s="286"/>
      <c r="AC60" s="286"/>
      <c r="AD60" s="286"/>
    </row>
    <row r="61" spans="2:30" x14ac:dyDescent="0.25">
      <c r="B61" s="1168"/>
      <c r="C61" s="463" t="s">
        <v>73</v>
      </c>
      <c r="D61" s="425" t="s">
        <v>1824</v>
      </c>
      <c r="E61" s="153">
        <f>'3. PRECIOS Y COSTOS'!R696</f>
        <v>31598.007906806339</v>
      </c>
      <c r="F61" s="153">
        <f t="shared" si="19"/>
        <v>32640.742167730947</v>
      </c>
      <c r="G61" s="153">
        <f t="shared" si="16"/>
        <v>33652.605174930606</v>
      </c>
      <c r="H61" s="153">
        <f t="shared" si="17"/>
        <v>34695.835935353454</v>
      </c>
      <c r="I61" s="436">
        <f t="shared" si="18"/>
        <v>35840.798521220117</v>
      </c>
      <c r="J61" s="137"/>
      <c r="Q61" s="105" t="s">
        <v>1844</v>
      </c>
      <c r="R61" s="782">
        <f>MAX(E124:E130)</f>
        <v>15878.247710244263</v>
      </c>
      <c r="T61" s="105" t="s">
        <v>1844</v>
      </c>
      <c r="U61" s="782">
        <f>MAX(E131:E137)</f>
        <v>17513.358465444264</v>
      </c>
      <c r="V61" s="286"/>
      <c r="W61" s="286"/>
      <c r="Y61" s="286"/>
      <c r="Z61" s="286"/>
      <c r="AA61" s="286"/>
      <c r="AB61" s="286"/>
      <c r="AC61" s="286"/>
      <c r="AD61" s="286"/>
    </row>
    <row r="62" spans="2:30" x14ac:dyDescent="0.25">
      <c r="B62" s="1168"/>
      <c r="C62" s="463" t="s">
        <v>75</v>
      </c>
      <c r="D62" s="425" t="s">
        <v>1824</v>
      </c>
      <c r="E62" s="153">
        <f>'3. PRECIOS Y COSTOS'!R723</f>
        <v>28222.199548406345</v>
      </c>
      <c r="F62" s="153">
        <f t="shared" si="19"/>
        <v>29153.532133503752</v>
      </c>
      <c r="G62" s="153">
        <f t="shared" si="16"/>
        <v>30057.291629642365</v>
      </c>
      <c r="H62" s="153">
        <f t="shared" si="17"/>
        <v>30989.067670161276</v>
      </c>
      <c r="I62" s="436">
        <f t="shared" si="18"/>
        <v>32011.706903276594</v>
      </c>
      <c r="J62" s="137"/>
      <c r="Q62" s="105" t="s">
        <v>1845</v>
      </c>
      <c r="R62" s="782">
        <f>MAX(E138:E161)</f>
        <v>18400</v>
      </c>
      <c r="T62" s="105" t="s">
        <v>1845</v>
      </c>
      <c r="U62" s="782">
        <f>MAX(E158:E181)</f>
        <v>18400</v>
      </c>
    </row>
    <row r="63" spans="2:30" x14ac:dyDescent="0.25">
      <c r="B63" s="1168"/>
      <c r="C63" s="463" t="s">
        <v>136</v>
      </c>
      <c r="D63" s="425" t="s">
        <v>1824</v>
      </c>
      <c r="E63" s="153">
        <f>'3. PRECIOS Y COSTOS'!R747</f>
        <v>56103.254908406336</v>
      </c>
      <c r="F63" s="153">
        <f t="shared" si="19"/>
        <v>57954.662320383737</v>
      </c>
      <c r="G63" s="153">
        <f t="shared" si="16"/>
        <v>59751.25685231563</v>
      </c>
      <c r="H63" s="153">
        <f t="shared" si="17"/>
        <v>61603.545814737408</v>
      </c>
      <c r="I63" s="436">
        <f t="shared" si="18"/>
        <v>63636.462826623741</v>
      </c>
      <c r="J63" s="137"/>
      <c r="Q63" s="105" t="s">
        <v>1846</v>
      </c>
      <c r="R63" s="782">
        <f>MAX(E182:E187)</f>
        <v>16871.882056037059</v>
      </c>
      <c r="T63" s="105" t="s">
        <v>1846</v>
      </c>
      <c r="U63" s="782">
        <f>MAX(E188:E191)</f>
        <v>11219.557595237058</v>
      </c>
      <c r="W63" s="286"/>
      <c r="Y63" s="286"/>
      <c r="Z63" s="286"/>
      <c r="AA63" s="616"/>
      <c r="AC63" s="286"/>
    </row>
    <row r="64" spans="2:30" x14ac:dyDescent="0.25">
      <c r="B64" s="1168"/>
      <c r="C64" s="463" t="s">
        <v>78</v>
      </c>
      <c r="D64" s="425" t="s">
        <v>1824</v>
      </c>
      <c r="E64" s="153">
        <f>'3. PRECIOS Y COSTOS'!R772</f>
        <v>19921.716988406344</v>
      </c>
      <c r="F64" s="153">
        <f t="shared" si="19"/>
        <v>20579.133649023752</v>
      </c>
      <c r="G64" s="153">
        <f t="shared" si="16"/>
        <v>21217.086792143487</v>
      </c>
      <c r="H64" s="153">
        <f t="shared" si="17"/>
        <v>21874.816482699935</v>
      </c>
      <c r="I64" s="436">
        <f t="shared" si="18"/>
        <v>22596.685426629032</v>
      </c>
      <c r="J64" s="137"/>
      <c r="Q64" s="105" t="s">
        <v>337</v>
      </c>
      <c r="R64" s="782">
        <f>SUM(R60:R63)</f>
        <v>118098.13641868765</v>
      </c>
      <c r="T64" s="105" t="s">
        <v>337</v>
      </c>
      <c r="U64" s="782">
        <f>SUM(U60:U63)</f>
        <v>74057.75532748767</v>
      </c>
      <c r="W64" s="286"/>
      <c r="Y64" s="286"/>
      <c r="Z64" s="286"/>
      <c r="AA64" s="616"/>
      <c r="AC64" s="286"/>
    </row>
    <row r="65" spans="2:47" x14ac:dyDescent="0.25">
      <c r="B65" s="1168"/>
      <c r="C65" s="463" t="s">
        <v>80</v>
      </c>
      <c r="D65" s="425" t="s">
        <v>1824</v>
      </c>
      <c r="E65" s="153">
        <f>'3. PRECIOS Y COSTOS'!R796</f>
        <v>11649.936508406341</v>
      </c>
      <c r="F65" s="153">
        <f t="shared" si="19"/>
        <v>12034.384413183749</v>
      </c>
      <c r="G65" s="153">
        <f t="shared" si="16"/>
        <v>12407.450329992444</v>
      </c>
      <c r="H65" s="153">
        <f t="shared" si="17"/>
        <v>12792.081290222208</v>
      </c>
      <c r="I65" s="436">
        <f t="shared" si="18"/>
        <v>13214.219972799539</v>
      </c>
      <c r="J65" s="137"/>
      <c r="P65" s="30"/>
      <c r="Q65" s="104"/>
      <c r="R65" s="288"/>
      <c r="V65" s="286"/>
      <c r="W65" s="286"/>
      <c r="X65" s="286"/>
      <c r="AA65" s="616"/>
    </row>
    <row r="66" spans="2:47" x14ac:dyDescent="0.25">
      <c r="B66" s="1168"/>
      <c r="C66" s="463" t="s">
        <v>83</v>
      </c>
      <c r="D66" s="425" t="s">
        <v>1824</v>
      </c>
      <c r="E66" s="153">
        <f>'3. PRECIOS Y COSTOS'!R822</f>
        <v>31735.085308406346</v>
      </c>
      <c r="F66" s="153">
        <f t="shared" si="19"/>
        <v>32782.343123583749</v>
      </c>
      <c r="G66" s="153">
        <f t="shared" si="16"/>
        <v>33798.595760414843</v>
      </c>
      <c r="H66" s="153">
        <f t="shared" si="17"/>
        <v>34846.3522289877</v>
      </c>
      <c r="I66" s="436">
        <f t="shared" si="18"/>
        <v>35996.281852544293</v>
      </c>
      <c r="J66" s="137"/>
      <c r="P66" s="30"/>
      <c r="Q66" s="104"/>
      <c r="R66" s="288"/>
      <c r="W66" s="286"/>
    </row>
    <row r="67" spans="2:47" x14ac:dyDescent="0.25">
      <c r="B67" s="1168"/>
      <c r="C67" s="463" t="s">
        <v>85</v>
      </c>
      <c r="D67" s="425" t="s">
        <v>1824</v>
      </c>
      <c r="E67" s="153">
        <f>'3. PRECIOS Y COSTOS'!R844</f>
        <v>27724.984828406348</v>
      </c>
      <c r="F67" s="153">
        <f t="shared" si="19"/>
        <v>28639.909327743757</v>
      </c>
      <c r="G67" s="153">
        <f t="shared" si="16"/>
        <v>29527.746516903811</v>
      </c>
      <c r="H67" s="153">
        <f t="shared" si="17"/>
        <v>30443.106658927827</v>
      </c>
      <c r="I67" s="436">
        <f t="shared" si="18"/>
        <v>31447.729178672442</v>
      </c>
      <c r="J67" s="137"/>
      <c r="P67" s="1141" t="s">
        <v>2219</v>
      </c>
      <c r="Q67" s="1141"/>
      <c r="R67" s="1141"/>
      <c r="S67" s="1141"/>
      <c r="T67" s="1141"/>
      <c r="U67" s="1141"/>
      <c r="W67" s="286"/>
    </row>
    <row r="68" spans="2:47" x14ac:dyDescent="0.25">
      <c r="B68" s="1168"/>
      <c r="C68" s="463" t="s">
        <v>88</v>
      </c>
      <c r="D68" s="425" t="s">
        <v>1824</v>
      </c>
      <c r="E68" s="153">
        <f>'3. PRECIOS Y COSTOS'!R867</f>
        <v>47493.373948406348</v>
      </c>
      <c r="F68" s="153">
        <f t="shared" si="19"/>
        <v>49060.655288703754</v>
      </c>
      <c r="G68" s="153">
        <f t="shared" si="16"/>
        <v>50581.535602653566</v>
      </c>
      <c r="H68" s="153">
        <f t="shared" si="17"/>
        <v>52149.563206335821</v>
      </c>
      <c r="I68" s="436">
        <f t="shared" si="18"/>
        <v>53870.498792144899</v>
      </c>
      <c r="J68" s="137"/>
      <c r="O68" s="30"/>
      <c r="P68" s="1141"/>
      <c r="Q68" s="1141"/>
      <c r="R68" s="1141"/>
      <c r="S68" s="1141"/>
      <c r="T68" s="1141"/>
      <c r="U68" s="1141"/>
      <c r="V68" s="30"/>
      <c r="W68" s="286"/>
    </row>
    <row r="69" spans="2:47" x14ac:dyDescent="0.25">
      <c r="B69" s="1168"/>
      <c r="C69" s="463" t="s">
        <v>90</v>
      </c>
      <c r="D69" s="425" t="s">
        <v>1824</v>
      </c>
      <c r="E69" s="153">
        <f>'3. PRECIOS Y COSTOS'!R890</f>
        <v>22632.378748406343</v>
      </c>
      <c r="F69" s="153">
        <f t="shared" si="19"/>
        <v>23379.247247103751</v>
      </c>
      <c r="G69" s="153">
        <f t="shared" si="16"/>
        <v>24104.003911763964</v>
      </c>
      <c r="H69" s="153">
        <f t="shared" si="17"/>
        <v>24851.228033028645</v>
      </c>
      <c r="I69" s="436">
        <f t="shared" si="18"/>
        <v>25671.31855811859</v>
      </c>
      <c r="J69" s="137"/>
      <c r="K69" s="745" t="s">
        <v>1848</v>
      </c>
      <c r="L69" s="127">
        <f>'4. COSTOS MO-CIF'!AD78</f>
        <v>971882923.21279562</v>
      </c>
      <c r="O69" s="34"/>
      <c r="P69" s="429" t="s">
        <v>1821</v>
      </c>
      <c r="Q69" s="429">
        <v>2021</v>
      </c>
      <c r="R69" s="429">
        <v>2022</v>
      </c>
      <c r="S69" s="429">
        <v>2023</v>
      </c>
      <c r="T69" s="429">
        <v>2024</v>
      </c>
      <c r="U69" s="429">
        <v>2025</v>
      </c>
      <c r="X69" s="995" t="s">
        <v>2181</v>
      </c>
      <c r="Y69" s="995"/>
      <c r="Z69" s="995"/>
      <c r="AA69" s="995"/>
      <c r="AB69" s="995"/>
      <c r="AC69" s="995"/>
      <c r="AD69" s="995"/>
      <c r="AE69" s="995"/>
      <c r="AF69" s="995"/>
      <c r="AG69" s="995"/>
      <c r="AH69" s="995"/>
      <c r="AI69" s="995"/>
      <c r="AJ69" s="995"/>
      <c r="AK69" s="995"/>
      <c r="AL69" s="995"/>
      <c r="AM69" s="995"/>
      <c r="AN69" s="995"/>
      <c r="AO69" s="995"/>
      <c r="AP69" s="995"/>
      <c r="AQ69" s="995"/>
      <c r="AR69" s="995"/>
      <c r="AS69" s="995"/>
      <c r="AT69" s="995"/>
      <c r="AU69" s="995"/>
    </row>
    <row r="70" spans="2:47" x14ac:dyDescent="0.25">
      <c r="B70" s="1168"/>
      <c r="C70" s="463" t="s">
        <v>92</v>
      </c>
      <c r="D70" s="425" t="s">
        <v>1824</v>
      </c>
      <c r="E70" s="153">
        <f>'3. PRECIOS Y COSTOS'!R913</f>
        <v>13578.712828406342</v>
      </c>
      <c r="F70" s="153">
        <f t="shared" si="19"/>
        <v>14026.81035174375</v>
      </c>
      <c r="G70" s="153">
        <f t="shared" si="16"/>
        <v>14461.641472647805</v>
      </c>
      <c r="H70" s="153">
        <f t="shared" si="17"/>
        <v>14909.952358299886</v>
      </c>
      <c r="I70" s="436">
        <f t="shared" si="18"/>
        <v>15401.98078612378</v>
      </c>
      <c r="J70" s="137"/>
      <c r="K70" s="745" t="s">
        <v>1830</v>
      </c>
      <c r="L70" s="745">
        <v>0.6</v>
      </c>
      <c r="O70" s="34"/>
      <c r="P70" s="479" t="s">
        <v>1825</v>
      </c>
      <c r="Q70" s="478">
        <v>3.5999999999999997E-2</v>
      </c>
      <c r="R70" s="478">
        <v>3.3000000000000002E-2</v>
      </c>
      <c r="S70" s="478">
        <v>3.1E-2</v>
      </c>
      <c r="T70" s="478">
        <v>3.1E-2</v>
      </c>
      <c r="U70" s="478">
        <v>3.3000000000000002E-2</v>
      </c>
      <c r="X70" s="837" t="s">
        <v>2173</v>
      </c>
      <c r="Y70" s="837" t="s">
        <v>2185</v>
      </c>
      <c r="Z70" s="837" t="s">
        <v>2189</v>
      </c>
      <c r="AA70" s="837" t="s">
        <v>2190</v>
      </c>
      <c r="AB70" s="837" t="s">
        <v>2187</v>
      </c>
      <c r="AC70" s="838" t="s">
        <v>2188</v>
      </c>
      <c r="AD70" s="722" t="s">
        <v>2176</v>
      </c>
      <c r="AE70" s="724" t="s">
        <v>2195</v>
      </c>
      <c r="AF70" s="722" t="s">
        <v>2191</v>
      </c>
      <c r="AG70" s="722" t="s">
        <v>2192</v>
      </c>
      <c r="AH70" s="722" t="s">
        <v>2193</v>
      </c>
      <c r="AI70" s="722" t="s">
        <v>2194</v>
      </c>
      <c r="AJ70" s="796" t="s">
        <v>2177</v>
      </c>
      <c r="AK70" s="796" t="s">
        <v>2196</v>
      </c>
      <c r="AL70" s="796" t="s">
        <v>2197</v>
      </c>
      <c r="AM70" s="796" t="s">
        <v>2198</v>
      </c>
      <c r="AN70" s="796" t="s">
        <v>2199</v>
      </c>
      <c r="AO70" s="796" t="s">
        <v>2200</v>
      </c>
      <c r="AP70" s="717" t="s">
        <v>2178</v>
      </c>
      <c r="AQ70" s="717" t="s">
        <v>2201</v>
      </c>
      <c r="AR70" s="719" t="s">
        <v>2202</v>
      </c>
      <c r="AS70" s="718" t="s">
        <v>2203</v>
      </c>
      <c r="AT70" s="717" t="s">
        <v>2204</v>
      </c>
      <c r="AU70" s="717" t="s">
        <v>2205</v>
      </c>
    </row>
    <row r="71" spans="2:47" x14ac:dyDescent="0.25">
      <c r="B71" s="1168"/>
      <c r="C71" s="463" t="s">
        <v>314</v>
      </c>
      <c r="D71" s="425" t="s">
        <v>1824</v>
      </c>
      <c r="E71" s="153">
        <f>'3. PRECIOS Y COSTOS'!R936</f>
        <v>38312.613628406347</v>
      </c>
      <c r="F71" s="153">
        <f t="shared" si="19"/>
        <v>39576.929878143754</v>
      </c>
      <c r="G71" s="153">
        <f t="shared" si="16"/>
        <v>40803.81470436621</v>
      </c>
      <c r="H71" s="153">
        <f t="shared" si="17"/>
        <v>42068.73296020156</v>
      </c>
      <c r="I71" s="436">
        <f t="shared" si="18"/>
        <v>43457.001147888208</v>
      </c>
      <c r="J71" s="137"/>
      <c r="K71" s="828" t="s">
        <v>1847</v>
      </c>
      <c r="L71" s="829">
        <f>L69/L70</f>
        <v>1619804872.0213261</v>
      </c>
      <c r="O71" s="377"/>
      <c r="P71" s="508" t="s">
        <v>1849</v>
      </c>
      <c r="Q71" s="127">
        <f>L71</f>
        <v>1619804872.0213261</v>
      </c>
      <c r="R71" s="127">
        <f>Q71*(1+R70)</f>
        <v>1673258432.7980297</v>
      </c>
      <c r="S71" s="127">
        <f>R71*(1+S70)</f>
        <v>1725129444.2147684</v>
      </c>
      <c r="T71" s="127">
        <f>S71*(1+T70)</f>
        <v>1778608456.9854262</v>
      </c>
      <c r="U71" s="127">
        <f>T71*(1+U70)</f>
        <v>1837302536.0659451</v>
      </c>
      <c r="W71" s="429" t="s">
        <v>2334</v>
      </c>
      <c r="X71" s="839">
        <f>Q71*0.7985</f>
        <v>1293414190.3090289</v>
      </c>
      <c r="Y71" s="840">
        <f>X71/$R$58</f>
        <v>20904.361433956637</v>
      </c>
      <c r="Z71" s="839">
        <f>X71*4/7</f>
        <v>739093823.03373075</v>
      </c>
      <c r="AA71" s="839">
        <f>X71*3/7</f>
        <v>554320367.27529812</v>
      </c>
      <c r="AB71" s="840">
        <f>Z71/$R$58</f>
        <v>11945.349390832363</v>
      </c>
      <c r="AC71" s="841">
        <f>AA71/$R$58</f>
        <v>8959.012043124274</v>
      </c>
      <c r="AD71" s="786">
        <f>X71/12</f>
        <v>107784515.85908574</v>
      </c>
      <c r="AE71" s="785">
        <f>AD71/$R$58</f>
        <v>1742.0301194963863</v>
      </c>
      <c r="AF71" s="786">
        <f>AD71*(4/7)</f>
        <v>61591151.91947756</v>
      </c>
      <c r="AG71" s="786">
        <f>AD71*3/7</f>
        <v>46193363.939608172</v>
      </c>
      <c r="AH71" s="784">
        <f>AF71/$R$58</f>
        <v>995.44578256936359</v>
      </c>
      <c r="AI71" s="784">
        <f>AG71/$R$58</f>
        <v>746.58433692702272</v>
      </c>
      <c r="AJ71" s="789">
        <f>AD71/4.34524</f>
        <v>24805192.776253033</v>
      </c>
      <c r="AK71" s="788">
        <f>AJ71/$R$58</f>
        <v>400.90538600776625</v>
      </c>
      <c r="AL71" s="789">
        <f>AJ71*4/7</f>
        <v>14174395.872144591</v>
      </c>
      <c r="AM71" s="789">
        <f>AJ71*3/7</f>
        <v>10630796.904108444</v>
      </c>
      <c r="AN71" s="790">
        <f>AL71/$R$58</f>
        <v>229.08879200443786</v>
      </c>
      <c r="AO71" s="790">
        <f>AM71/$R$58</f>
        <v>171.81659400332842</v>
      </c>
      <c r="AP71" s="152">
        <f>AJ71/7</f>
        <v>3543598.9680361478</v>
      </c>
      <c r="AQ71" s="13">
        <f>AP71/$R$58</f>
        <v>57.272198001109466</v>
      </c>
      <c r="AR71" s="791">
        <f>AL71/4</f>
        <v>3543598.9680361478</v>
      </c>
      <c r="AS71" s="792">
        <f>AM71/3</f>
        <v>3543598.9680361482</v>
      </c>
      <c r="AT71" s="13">
        <f>AR71/$R$58</f>
        <v>57.272198001109466</v>
      </c>
      <c r="AU71" s="13">
        <f>AS71/$R$58</f>
        <v>57.272198001109473</v>
      </c>
    </row>
    <row r="72" spans="2:47" x14ac:dyDescent="0.25">
      <c r="B72" s="1168"/>
      <c r="C72" s="463" t="s">
        <v>111</v>
      </c>
      <c r="D72" s="425" t="s">
        <v>1824</v>
      </c>
      <c r="E72" s="153">
        <f>'3. PRECIOS Y COSTOS'!R959</f>
        <v>20493.443068406345</v>
      </c>
      <c r="F72" s="153">
        <f t="shared" si="19"/>
        <v>21169.726689663752</v>
      </c>
      <c r="G72" s="153">
        <f t="shared" si="16"/>
        <v>21825.988217043327</v>
      </c>
      <c r="H72" s="153">
        <f t="shared" si="17"/>
        <v>22502.593851771668</v>
      </c>
      <c r="I72" s="436">
        <f t="shared" si="18"/>
        <v>23245.179448880132</v>
      </c>
      <c r="J72" s="137"/>
      <c r="K72" s="30"/>
      <c r="L72" s="476"/>
      <c r="O72" s="377"/>
      <c r="P72" s="508" t="s">
        <v>1890</v>
      </c>
      <c r="Q72" s="105">
        <f>(Q71*0.7985)/R58</f>
        <v>20904.361433956637</v>
      </c>
      <c r="R72" s="477">
        <f>Q72+(1+R70)</f>
        <v>20905.394433956637</v>
      </c>
      <c r="S72" s="105">
        <f>R72*(1+$G$34)</f>
        <v>21553.461661409292</v>
      </c>
      <c r="T72" s="105">
        <f>S72*(1+$H$34)</f>
        <v>22221.618972912976</v>
      </c>
      <c r="U72" s="105">
        <f>T72*(1+$I$34)</f>
        <v>22954.932399019104</v>
      </c>
      <c r="W72" s="429" t="s">
        <v>2175</v>
      </c>
      <c r="X72" s="839">
        <f>Q71*0.2015</f>
        <v>326390681.7122972</v>
      </c>
      <c r="Y72" s="840">
        <f>X72/$U$58</f>
        <v>7596.5257653852914</v>
      </c>
      <c r="Z72" s="839">
        <f>X72*4/7</f>
        <v>186508960.97845554</v>
      </c>
      <c r="AA72" s="839">
        <f>X72*3/7</f>
        <v>139881720.73384166</v>
      </c>
      <c r="AB72" s="840">
        <f>Z72/$U$58</f>
        <v>4340.8718659344522</v>
      </c>
      <c r="AC72" s="841">
        <f>AA72/$U$58</f>
        <v>3255.6538994508392</v>
      </c>
      <c r="AD72" s="786">
        <f>X72/12</f>
        <v>27199223.476024766</v>
      </c>
      <c r="AE72" s="784">
        <f>AD72/$U$58</f>
        <v>633.04381378210758</v>
      </c>
      <c r="AF72" s="787">
        <f>AD72*(4/7)</f>
        <v>15542413.414871294</v>
      </c>
      <c r="AG72" s="786">
        <f>AD72*3/7</f>
        <v>11656810.061153471</v>
      </c>
      <c r="AH72" s="784">
        <f>AF72/$U$58</f>
        <v>361.73932216120431</v>
      </c>
      <c r="AI72" s="784">
        <f>AG72/$U$58</f>
        <v>271.30449162090326</v>
      </c>
      <c r="AJ72" s="789">
        <f>AD72/4.34524</f>
        <v>6259544.5765998568</v>
      </c>
      <c r="AK72" s="788">
        <f>AJ72/$U$58</f>
        <v>145.68673163786292</v>
      </c>
      <c r="AL72" s="789">
        <f>AJ72*4/7</f>
        <v>3576882.6151999184</v>
      </c>
      <c r="AM72" s="789">
        <f>AJ72*3/7</f>
        <v>2682661.9613999384</v>
      </c>
      <c r="AN72" s="790">
        <f>AL72/$U$58</f>
        <v>83.249560935921679</v>
      </c>
      <c r="AO72" s="790">
        <f>AM72/$U$58</f>
        <v>62.437170701941248</v>
      </c>
      <c r="AP72" s="152">
        <f>AJ72/7</f>
        <v>894220.6537999796</v>
      </c>
      <c r="AQ72" s="13">
        <f>AP72/$U$58</f>
        <v>20.81239023398042</v>
      </c>
      <c r="AR72" s="791">
        <f>AL72/4</f>
        <v>894220.6537999796</v>
      </c>
      <c r="AS72" s="792">
        <f>AM72/3</f>
        <v>894220.65379997948</v>
      </c>
      <c r="AT72" s="13">
        <f>AR72/$U$58</f>
        <v>20.81239023398042</v>
      </c>
      <c r="AU72" s="13">
        <f>AS72/$U$58</f>
        <v>20.812390233980416</v>
      </c>
    </row>
    <row r="73" spans="2:47" x14ac:dyDescent="0.25">
      <c r="B73" s="1168"/>
      <c r="C73" s="463" t="s">
        <v>316</v>
      </c>
      <c r="D73" s="425" t="s">
        <v>1824</v>
      </c>
      <c r="E73" s="153">
        <f>'3. PRECIOS Y COSTOS'!R982</f>
        <v>34571.148028406344</v>
      </c>
      <c r="F73" s="153">
        <f t="shared" si="19"/>
        <v>35711.995913343751</v>
      </c>
      <c r="G73" s="153">
        <f t="shared" si="16"/>
        <v>36819.067786657404</v>
      </c>
      <c r="H73" s="153">
        <f t="shared" si="17"/>
        <v>37960.45888804378</v>
      </c>
      <c r="I73" s="436">
        <f t="shared" si="18"/>
        <v>39213.154031349222</v>
      </c>
      <c r="J73" s="137"/>
      <c r="K73" s="30"/>
      <c r="L73" s="30"/>
      <c r="O73" s="104"/>
      <c r="P73" s="617" t="s">
        <v>1890</v>
      </c>
      <c r="Q73" s="105">
        <f>(Q71*0.2015)/U58</f>
        <v>7596.5257653852914</v>
      </c>
      <c r="R73" s="105">
        <f>Q73*(1+R70)</f>
        <v>7847.2111156430055</v>
      </c>
      <c r="S73" s="105">
        <f>R73*(1+S70)</f>
        <v>8090.4746602279383</v>
      </c>
      <c r="T73" s="105">
        <f>S73*(1+T70)</f>
        <v>8341.2793746950028</v>
      </c>
      <c r="U73" s="105">
        <f>T73*(1+U70)</f>
        <v>8616.5415940599378</v>
      </c>
      <c r="X73" s="842" t="s">
        <v>337</v>
      </c>
      <c r="Y73" s="842">
        <f>Y71+Y72</f>
        <v>28500.887199341931</v>
      </c>
      <c r="Z73" s="1158" t="s">
        <v>337</v>
      </c>
      <c r="AA73" s="1158"/>
      <c r="AB73" s="842">
        <f>AB71+AB72</f>
        <v>16286.221256766816</v>
      </c>
      <c r="AC73" s="842">
        <f>AC71+AC72</f>
        <v>12214.665942575113</v>
      </c>
      <c r="AD73" s="793" t="s">
        <v>337</v>
      </c>
      <c r="AE73" s="793">
        <f>AE71+AE72</f>
        <v>2375.0739332784938</v>
      </c>
      <c r="AF73" s="1159" t="s">
        <v>337</v>
      </c>
      <c r="AG73" s="1159"/>
      <c r="AH73" s="793">
        <f>AH71+AH72</f>
        <v>1357.1851047305679</v>
      </c>
      <c r="AI73" s="793">
        <f>AI71+AI72</f>
        <v>1017.888828547926</v>
      </c>
      <c r="AJ73" s="798" t="s">
        <v>337</v>
      </c>
      <c r="AK73" s="798">
        <f>AK71+AK72</f>
        <v>546.59211764562917</v>
      </c>
      <c r="AL73" s="1160" t="s">
        <v>337</v>
      </c>
      <c r="AM73" s="1160"/>
      <c r="AN73" s="800">
        <f>AN71+AN72</f>
        <v>312.33835294035953</v>
      </c>
      <c r="AO73" s="800">
        <f>AO71+AO72</f>
        <v>234.25376470526967</v>
      </c>
      <c r="AP73" s="795" t="s">
        <v>337</v>
      </c>
      <c r="AQ73" s="795">
        <f>AQ71+AQ72</f>
        <v>78.084588235089882</v>
      </c>
      <c r="AR73" s="1153" t="s">
        <v>337</v>
      </c>
      <c r="AS73" s="1153"/>
      <c r="AT73" s="795">
        <f>AT71+AT72</f>
        <v>78.084588235089882</v>
      </c>
      <c r="AU73" s="795">
        <f>AU71+AU72</f>
        <v>78.084588235089882</v>
      </c>
    </row>
    <row r="74" spans="2:47" x14ac:dyDescent="0.25">
      <c r="B74" s="1168"/>
      <c r="C74" s="463" t="s">
        <v>112</v>
      </c>
      <c r="D74" s="425" t="s">
        <v>1824</v>
      </c>
      <c r="E74" s="153">
        <f>'3. PRECIOS Y COSTOS'!R1005</f>
        <v>26489.010364406338</v>
      </c>
      <c r="F74" s="153">
        <f t="shared" si="19"/>
        <v>27363.147706431744</v>
      </c>
      <c r="G74" s="153">
        <f t="shared" si="16"/>
        <v>28211.405285331126</v>
      </c>
      <c r="H74" s="153">
        <f t="shared" si="17"/>
        <v>29085.95884917639</v>
      </c>
      <c r="I74" s="436">
        <f t="shared" si="18"/>
        <v>30045.795491199209</v>
      </c>
      <c r="J74" s="137"/>
      <c r="K74" s="30"/>
      <c r="L74" s="30"/>
      <c r="O74" s="104"/>
      <c r="P74" s="721" t="s">
        <v>2333</v>
      </c>
      <c r="Q74" s="127">
        <f>Q98-Q71</f>
        <v>109462260.87393951</v>
      </c>
      <c r="R74" s="476"/>
      <c r="S74" s="476"/>
      <c r="T74" s="476"/>
      <c r="U74" s="476"/>
      <c r="X74" s="842" t="s">
        <v>2186</v>
      </c>
      <c r="Y74" s="842">
        <f>Y73/76067.2602352941</f>
        <v>0.37468008064418146</v>
      </c>
      <c r="Z74" s="1158" t="s">
        <v>2186</v>
      </c>
      <c r="AA74" s="1158"/>
      <c r="AB74" s="842">
        <f>AB73/76067.26024</f>
        <v>0.21410290321200104</v>
      </c>
      <c r="AC74" s="842">
        <f>AC73/76067.26024</f>
        <v>0.16057717740900079</v>
      </c>
      <c r="AD74" s="793" t="s">
        <v>2186</v>
      </c>
      <c r="AE74" s="793">
        <f>AE73/6338.93835294118</f>
        <v>0.37468008064418112</v>
      </c>
      <c r="AF74" s="1159" t="s">
        <v>2186</v>
      </c>
      <c r="AG74" s="1159"/>
      <c r="AH74" s="793">
        <f>AH73/6338.93835294118</f>
        <v>0.21410290322524636</v>
      </c>
      <c r="AI74" s="793">
        <f>AI73/6338.93835294118</f>
        <v>0.16057717741893476</v>
      </c>
      <c r="AJ74" s="802" t="s">
        <v>2182</v>
      </c>
      <c r="AK74" s="794">
        <f>AK73/1458.82352941176</f>
        <v>0.37468008064418246</v>
      </c>
      <c r="AL74" s="1160" t="s">
        <v>2186</v>
      </c>
      <c r="AM74" s="1160"/>
      <c r="AN74" s="800">
        <f>AN73/1458.82352941176</f>
        <v>0.21410290322524714</v>
      </c>
      <c r="AO74" s="800">
        <f>AO73/1458.82352941176</f>
        <v>0.16057717741893537</v>
      </c>
      <c r="AP74" s="803" t="s">
        <v>2182</v>
      </c>
      <c r="AQ74" s="795"/>
      <c r="AR74" s="1153" t="s">
        <v>2186</v>
      </c>
      <c r="AS74" s="1153"/>
      <c r="AT74" s="795">
        <f>AT73/188.235294117647</f>
        <v>0.41482437499891517</v>
      </c>
      <c r="AU74" s="795">
        <f>AU73/235.294117647059</f>
        <v>0.33185949999913172</v>
      </c>
    </row>
    <row r="75" spans="2:47" x14ac:dyDescent="0.25">
      <c r="B75" s="1168"/>
      <c r="C75" s="463" t="s">
        <v>113</v>
      </c>
      <c r="D75" s="425" t="s">
        <v>1824</v>
      </c>
      <c r="E75" s="153">
        <f>'3. PRECIOS Y COSTOS'!R1028</f>
        <v>24079.552828406337</v>
      </c>
      <c r="F75" s="153">
        <f t="shared" si="19"/>
        <v>24874.178071743743</v>
      </c>
      <c r="G75" s="153">
        <f t="shared" si="16"/>
        <v>25645.277591967799</v>
      </c>
      <c r="H75" s="153">
        <f t="shared" si="17"/>
        <v>26440.2811973188</v>
      </c>
      <c r="I75" s="436">
        <f t="shared" si="18"/>
        <v>27312.810476830316</v>
      </c>
      <c r="J75" s="137"/>
      <c r="L75" s="286"/>
      <c r="O75" s="104"/>
      <c r="P75" s="104"/>
      <c r="Q75" s="476"/>
      <c r="R75" s="476"/>
      <c r="S75" s="476"/>
      <c r="T75" s="476"/>
      <c r="U75" s="476"/>
    </row>
    <row r="76" spans="2:47" x14ac:dyDescent="0.25">
      <c r="B76" s="1168"/>
      <c r="C76" s="463" t="s">
        <v>114</v>
      </c>
      <c r="D76" s="425" t="s">
        <v>1824</v>
      </c>
      <c r="E76" s="153">
        <f>'3. PRECIOS Y COSTOS'!R1053</f>
        <v>25901.753020406344</v>
      </c>
      <c r="F76" s="153">
        <f t="shared" si="19"/>
        <v>26756.51087007975</v>
      </c>
      <c r="G76" s="153">
        <f t="shared" si="16"/>
        <v>27585.962707052218</v>
      </c>
      <c r="H76" s="153">
        <f t="shared" si="17"/>
        <v>28441.127550970836</v>
      </c>
      <c r="I76" s="436">
        <f t="shared" si="18"/>
        <v>29379.684760152872</v>
      </c>
      <c r="J76" s="137"/>
      <c r="O76" s="104"/>
      <c r="P76" s="1142" t="s">
        <v>2225</v>
      </c>
      <c r="Q76" s="1143"/>
      <c r="R76" s="1143"/>
      <c r="S76" s="1143"/>
      <c r="T76" s="1143"/>
      <c r="U76" s="1144"/>
      <c r="X76" s="1141" t="s">
        <v>2317</v>
      </c>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row>
    <row r="77" spans="2:47" x14ac:dyDescent="0.25">
      <c r="B77" s="1168"/>
      <c r="C77" s="463" t="s">
        <v>1828</v>
      </c>
      <c r="D77" s="425" t="s">
        <v>1824</v>
      </c>
      <c r="E77" s="153">
        <f>'3. PRECIOS Y COSTOS'!R1079</f>
        <v>29160.589948406341</v>
      </c>
      <c r="F77" s="153">
        <f t="shared" si="19"/>
        <v>30122.889416703747</v>
      </c>
      <c r="G77" s="153">
        <f t="shared" si="16"/>
        <v>31056.69898862156</v>
      </c>
      <c r="H77" s="153">
        <f t="shared" si="17"/>
        <v>32019.456657268827</v>
      </c>
      <c r="I77" s="436">
        <f t="shared" si="18"/>
        <v>33076.098726958699</v>
      </c>
      <c r="J77" s="137"/>
      <c r="O77" s="104"/>
      <c r="P77" s="1145"/>
      <c r="Q77" s="1146"/>
      <c r="R77" s="1146"/>
      <c r="S77" s="1146"/>
      <c r="T77" s="1146"/>
      <c r="U77" s="1147"/>
      <c r="X77" s="831" t="s">
        <v>2173</v>
      </c>
      <c r="Y77" s="831" t="s">
        <v>2185</v>
      </c>
      <c r="Z77" s="831" t="s">
        <v>2189</v>
      </c>
      <c r="AA77" s="831" t="s">
        <v>2190</v>
      </c>
      <c r="AB77" s="831" t="s">
        <v>2187</v>
      </c>
      <c r="AC77" s="832" t="s">
        <v>2188</v>
      </c>
      <c r="AD77" s="723" t="s">
        <v>2176</v>
      </c>
      <c r="AE77" s="725" t="s">
        <v>2195</v>
      </c>
      <c r="AF77" s="723" t="s">
        <v>2191</v>
      </c>
      <c r="AG77" s="723" t="s">
        <v>2192</v>
      </c>
      <c r="AH77" s="723" t="s">
        <v>2193</v>
      </c>
      <c r="AI77" s="723" t="s">
        <v>2194</v>
      </c>
      <c r="AJ77" s="810" t="s">
        <v>2177</v>
      </c>
      <c r="AK77" s="810" t="s">
        <v>2196</v>
      </c>
      <c r="AL77" s="810" t="s">
        <v>2197</v>
      </c>
      <c r="AM77" s="810" t="s">
        <v>2198</v>
      </c>
      <c r="AN77" s="810" t="s">
        <v>2199</v>
      </c>
      <c r="AO77" s="810" t="s">
        <v>2200</v>
      </c>
      <c r="AP77" s="716" t="s">
        <v>2178</v>
      </c>
      <c r="AQ77" s="716" t="s">
        <v>2201</v>
      </c>
      <c r="AR77" s="818" t="s">
        <v>2202</v>
      </c>
      <c r="AS77" s="819" t="s">
        <v>2203</v>
      </c>
      <c r="AT77" s="716" t="s">
        <v>2204</v>
      </c>
      <c r="AU77" s="716" t="s">
        <v>2205</v>
      </c>
    </row>
    <row r="78" spans="2:47" x14ac:dyDescent="0.25">
      <c r="B78" s="1168"/>
      <c r="C78" s="463" t="s">
        <v>124</v>
      </c>
      <c r="D78" s="425" t="s">
        <v>1824</v>
      </c>
      <c r="E78" s="153">
        <f>'3. PRECIOS Y COSTOS'!R1101</f>
        <v>23283.670588406345</v>
      </c>
      <c r="F78" s="153">
        <f t="shared" si="19"/>
        <v>24052.031717823753</v>
      </c>
      <c r="G78" s="153">
        <f t="shared" si="16"/>
        <v>24797.644701076286</v>
      </c>
      <c r="H78" s="153">
        <f t="shared" si="17"/>
        <v>25566.371686809649</v>
      </c>
      <c r="I78" s="436">
        <f t="shared" si="18"/>
        <v>26410.061952474367</v>
      </c>
      <c r="J78" s="137"/>
      <c r="O78" s="30"/>
      <c r="P78" s="429" t="s">
        <v>1821</v>
      </c>
      <c r="Q78" s="429">
        <v>2021</v>
      </c>
      <c r="R78" s="429">
        <v>2022</v>
      </c>
      <c r="S78" s="429">
        <v>2023</v>
      </c>
      <c r="T78" s="429">
        <v>2024</v>
      </c>
      <c r="U78" s="429">
        <v>2025</v>
      </c>
      <c r="V78" s="30"/>
      <c r="W78" s="727" t="s">
        <v>2174</v>
      </c>
      <c r="X78" s="833">
        <f>Q71*0.7985</f>
        <v>1293414190.3090289</v>
      </c>
      <c r="Y78" s="834">
        <f>X78/($R$54+$R$56)</f>
        <v>34855.452238643687</v>
      </c>
      <c r="Z78" s="833">
        <f>X78*4/7</f>
        <v>739093823.03373075</v>
      </c>
      <c r="AA78" s="833">
        <f>X78*3/7</f>
        <v>554320367.27529812</v>
      </c>
      <c r="AB78" s="834">
        <f>Z78/($R$54+$R$56)</f>
        <v>19917.401279224963</v>
      </c>
      <c r="AC78" s="835">
        <f>AA78/($R$54+$R$56)</f>
        <v>14938.050959418724</v>
      </c>
      <c r="AD78" s="804">
        <f>X78/12</f>
        <v>107784515.85908574</v>
      </c>
      <c r="AE78" s="805">
        <f>AD78/($R$54+$R$56)</f>
        <v>2904.621019886974</v>
      </c>
      <c r="AF78" s="804">
        <f>AD78*(4/7)</f>
        <v>61591151.91947756</v>
      </c>
      <c r="AG78" s="804">
        <f>AD78*3/7</f>
        <v>46193363.939608172</v>
      </c>
      <c r="AH78" s="806">
        <f>AF78/($R$54+$R$56)</f>
        <v>1659.7834399354135</v>
      </c>
      <c r="AI78" s="806">
        <f>AG78/($R$54+$R$56)</f>
        <v>1244.8375799515602</v>
      </c>
      <c r="AJ78" s="811">
        <f>AD78/4.345</f>
        <v>24806562.913483486</v>
      </c>
      <c r="AK78" s="812">
        <f>AJ78/($R$54+$R$56)</f>
        <v>668.49735785661085</v>
      </c>
      <c r="AL78" s="811">
        <f>AJ78*4/7</f>
        <v>14175178.807704849</v>
      </c>
      <c r="AM78" s="811">
        <f>AJ78*3/7</f>
        <v>10631384.105778636</v>
      </c>
      <c r="AN78" s="813">
        <f>AL78/($R$54+$R$56)</f>
        <v>381.99849020377764</v>
      </c>
      <c r="AO78" s="813">
        <f>AM78/($R$54+$R$56)</f>
        <v>286.49886765283321</v>
      </c>
      <c r="AP78" s="154">
        <f>AJ78/7</f>
        <v>3543794.7019262123</v>
      </c>
      <c r="AQ78" s="120">
        <f>AP78/($R$54+$R$56)</f>
        <v>95.499622550944409</v>
      </c>
      <c r="AR78" s="430">
        <f>AL78/4</f>
        <v>3543794.7019262123</v>
      </c>
      <c r="AS78" s="820">
        <f>AM78/3</f>
        <v>3543794.7019262123</v>
      </c>
      <c r="AT78" s="120">
        <f>AR78/($R$54+$R$56)</f>
        <v>95.499622550944409</v>
      </c>
      <c r="AU78" s="120">
        <f>AS78/($R$54+$R$56)</f>
        <v>95.499622550944409</v>
      </c>
    </row>
    <row r="79" spans="2:47" x14ac:dyDescent="0.25">
      <c r="B79" s="1168"/>
      <c r="C79" s="463" t="s">
        <v>127</v>
      </c>
      <c r="D79" s="425" t="s">
        <v>1824</v>
      </c>
      <c r="E79" s="153">
        <f>'3. PRECIOS Y COSTOS'!R1126</f>
        <v>31973.838923819854</v>
      </c>
      <c r="F79" s="153">
        <f t="shared" si="19"/>
        <v>33028.975608305904</v>
      </c>
      <c r="G79" s="153">
        <f t="shared" si="16"/>
        <v>34052.873852163386</v>
      </c>
      <c r="H79" s="153">
        <f t="shared" si="17"/>
        <v>35108.512941580448</v>
      </c>
      <c r="I79" s="436">
        <f t="shared" si="18"/>
        <v>36267.093868652599</v>
      </c>
      <c r="J79" s="137"/>
      <c r="P79" s="479" t="s">
        <v>1825</v>
      </c>
      <c r="Q79" s="478">
        <v>3.5999999999999997E-2</v>
      </c>
      <c r="R79" s="478">
        <v>3.3000000000000002E-2</v>
      </c>
      <c r="S79" s="478">
        <v>3.1E-2</v>
      </c>
      <c r="T79" s="478">
        <v>3.1E-2</v>
      </c>
      <c r="U79" s="478">
        <v>3.3000000000000002E-2</v>
      </c>
      <c r="W79" s="727" t="s">
        <v>2175</v>
      </c>
      <c r="X79" s="833">
        <f>Q71*0.2015</f>
        <v>326390681.7122972</v>
      </c>
      <c r="Y79" s="834">
        <f>X79/($U$54+$U$56)</f>
        <v>14786.64478500573</v>
      </c>
      <c r="Z79" s="833">
        <f>X79*4/7</f>
        <v>186508960.97845554</v>
      </c>
      <c r="AA79" s="833">
        <f>X79*3/7</f>
        <v>139881720.73384166</v>
      </c>
      <c r="AB79" s="834">
        <f>Z79/($U$54+$U$56)</f>
        <v>8449.5113057175604</v>
      </c>
      <c r="AC79" s="835">
        <f>AA79/($U$54+$U$56)</f>
        <v>6337.1334792881707</v>
      </c>
      <c r="AD79" s="804">
        <f>X79/12</f>
        <v>27199223.476024766</v>
      </c>
      <c r="AE79" s="806">
        <f>AD79/($U$54+$U$56)</f>
        <v>1232.2203987504774</v>
      </c>
      <c r="AF79" s="807">
        <f>AD79*(4/7)</f>
        <v>15542413.414871294</v>
      </c>
      <c r="AG79" s="804">
        <f>AD79*3/7</f>
        <v>11656810.061153471</v>
      </c>
      <c r="AH79" s="806">
        <f>AF79/($U$54+$U$56)</f>
        <v>704.12594214313003</v>
      </c>
      <c r="AI79" s="806">
        <f>AG79/($U$54+$U$56)</f>
        <v>528.09445660734752</v>
      </c>
      <c r="AJ79" s="811">
        <f>AD79/4.345</f>
        <v>6259890.3281990262</v>
      </c>
      <c r="AK79" s="812">
        <f>AJ79/($U$54+$U$56)</f>
        <v>283.5950284811226</v>
      </c>
      <c r="AL79" s="811">
        <f>AJ79*4/7</f>
        <v>3577080.1875423007</v>
      </c>
      <c r="AM79" s="811">
        <f>AJ79*3/7</f>
        <v>2682810.1406567255</v>
      </c>
      <c r="AN79" s="813">
        <f>AL79/($U$54+$U$56)</f>
        <v>162.05430198921292</v>
      </c>
      <c r="AO79" s="813">
        <f>AM79/($U$54+$U$56)</f>
        <v>121.54072649190968</v>
      </c>
      <c r="AP79" s="154">
        <f>AJ79/7</f>
        <v>894270.04688557517</v>
      </c>
      <c r="AQ79" s="120">
        <f>AP79/($U$54+$U$56)</f>
        <v>40.513575497303229</v>
      </c>
      <c r="AR79" s="430">
        <f>AL79/4</f>
        <v>894270.04688557517</v>
      </c>
      <c r="AS79" s="820">
        <f>AM79/3</f>
        <v>894270.04688557517</v>
      </c>
      <c r="AT79" s="120">
        <f>AR79/($U$54+$U$56)</f>
        <v>40.513575497303229</v>
      </c>
      <c r="AU79" s="120">
        <f>AS79/($U$54+$U$56)</f>
        <v>40.513575497303229</v>
      </c>
    </row>
    <row r="80" spans="2:47" x14ac:dyDescent="0.25">
      <c r="B80" s="1168"/>
      <c r="C80" s="463" t="s">
        <v>318</v>
      </c>
      <c r="D80" s="425" t="s">
        <v>1824</v>
      </c>
      <c r="E80" s="153">
        <f>'3. PRECIOS Y COSTOS'!R1153</f>
        <v>27125.049148406346</v>
      </c>
      <c r="F80" s="153">
        <f t="shared" si="19"/>
        <v>28020.175770303755</v>
      </c>
      <c r="G80" s="153">
        <f t="shared" si="16"/>
        <v>28888.801219183169</v>
      </c>
      <c r="H80" s="153">
        <f t="shared" si="17"/>
        <v>29784.354056977845</v>
      </c>
      <c r="I80" s="436">
        <f t="shared" si="18"/>
        <v>30767.237740858112</v>
      </c>
      <c r="J80" s="137"/>
      <c r="P80" s="617" t="s">
        <v>1858</v>
      </c>
      <c r="Q80" s="127">
        <f>'4. COSTOS MO-CIF'!AD75</f>
        <v>189766218.82576999</v>
      </c>
      <c r="R80" s="127">
        <f>Q80*(1+$F$34)</f>
        <v>196028504.04702038</v>
      </c>
      <c r="S80" s="127">
        <f>R80*(1+$G$34)</f>
        <v>202105387.67247799</v>
      </c>
      <c r="T80" s="127">
        <f>S80*(1+$H$34)</f>
        <v>208370654.69032478</v>
      </c>
      <c r="U80" s="127">
        <f>T80*(1+$I$34)</f>
        <v>215246886.29510549</v>
      </c>
      <c r="X80" s="836" t="s">
        <v>337</v>
      </c>
      <c r="Y80" s="836">
        <f>Y78+Y79</f>
        <v>49642.097023649418</v>
      </c>
      <c r="Z80" s="1154" t="s">
        <v>337</v>
      </c>
      <c r="AA80" s="1154"/>
      <c r="AB80" s="836">
        <f>AB78+AB79</f>
        <v>28366.912584942525</v>
      </c>
      <c r="AC80" s="836">
        <f>AC78+AC79</f>
        <v>21275.184438706896</v>
      </c>
      <c r="AD80" s="808" t="s">
        <v>337</v>
      </c>
      <c r="AE80" s="808">
        <f>AE78+AE79</f>
        <v>4136.8414186374512</v>
      </c>
      <c r="AF80" s="1155" t="s">
        <v>337</v>
      </c>
      <c r="AG80" s="1155"/>
      <c r="AH80" s="808">
        <f>AH78+AH79</f>
        <v>2363.9093820785438</v>
      </c>
      <c r="AI80" s="808">
        <f>AI78+AI79</f>
        <v>1772.9320365589078</v>
      </c>
      <c r="AJ80" s="814" t="s">
        <v>337</v>
      </c>
      <c r="AK80" s="814">
        <f>AK78+AK79</f>
        <v>952.09238633773339</v>
      </c>
      <c r="AL80" s="1156" t="s">
        <v>337</v>
      </c>
      <c r="AM80" s="1156"/>
      <c r="AN80" s="815">
        <f>AN78+AN79</f>
        <v>544.05279219299052</v>
      </c>
      <c r="AO80" s="815">
        <f>AO78+AO79</f>
        <v>408.03959414474286</v>
      </c>
      <c r="AP80" s="821" t="s">
        <v>337</v>
      </c>
      <c r="AQ80" s="821">
        <f>AQ78+AQ79</f>
        <v>136.01319804824763</v>
      </c>
      <c r="AR80" s="1157" t="s">
        <v>337</v>
      </c>
      <c r="AS80" s="1157"/>
      <c r="AT80" s="821">
        <f>AT78+AT79</f>
        <v>136.01319804824763</v>
      </c>
      <c r="AU80" s="821">
        <f>AU78+AU79</f>
        <v>136.01319804824763</v>
      </c>
    </row>
    <row r="81" spans="2:47" x14ac:dyDescent="0.25">
      <c r="B81" s="1168"/>
      <c r="C81" s="463" t="s">
        <v>319</v>
      </c>
      <c r="D81" s="425" t="s">
        <v>1824</v>
      </c>
      <c r="E81" s="153">
        <f>'3. PRECIOS Y COSTOS'!R1177</f>
        <v>23214.939388406343</v>
      </c>
      <c r="F81" s="153">
        <f t="shared" si="19"/>
        <v>23981.03238822375</v>
      </c>
      <c r="G81" s="153">
        <f t="shared" si="16"/>
        <v>24724.444392258683</v>
      </c>
      <c r="H81" s="153">
        <f t="shared" si="17"/>
        <v>25490.902168418699</v>
      </c>
      <c r="I81" s="436">
        <f t="shared" si="18"/>
        <v>26332.101939976514</v>
      </c>
      <c r="J81" s="137"/>
      <c r="P81" s="618" t="s">
        <v>2220</v>
      </c>
      <c r="Q81" s="629">
        <v>7541520</v>
      </c>
      <c r="R81" s="127">
        <f>Q81*(1+$F$34)</f>
        <v>7790390.1599999992</v>
      </c>
      <c r="S81" s="127">
        <f>R81*(1+$G$34)</f>
        <v>8031892.2549599987</v>
      </c>
      <c r="T81" s="127">
        <f>S81*(1+$H$34)</f>
        <v>8280880.9148637578</v>
      </c>
      <c r="U81" s="127">
        <f>T81*(1+$I$34)</f>
        <v>8554149.985054262</v>
      </c>
      <c r="X81" s="836" t="s">
        <v>2186</v>
      </c>
      <c r="Y81" s="836">
        <f>Y80/92367.3874285714</f>
        <v>0.53744182233191484</v>
      </c>
      <c r="Z81" s="1154" t="s">
        <v>2186</v>
      </c>
      <c r="AA81" s="1154"/>
      <c r="AB81" s="836">
        <f>AB80/92367.3874285714</f>
        <v>0.30710961276109422</v>
      </c>
      <c r="AC81" s="836">
        <f>AC80/92367.3874285714</f>
        <v>0.23033220957082071</v>
      </c>
      <c r="AD81" s="808" t="s">
        <v>2186</v>
      </c>
      <c r="AE81" s="808">
        <f>AE80/7697.2822857143</f>
        <v>0.53744182233191362</v>
      </c>
      <c r="AF81" s="1155" t="s">
        <v>2186</v>
      </c>
      <c r="AG81" s="1155"/>
      <c r="AH81" s="808">
        <f>AH80/7697.2822857143</f>
        <v>0.30710961276109355</v>
      </c>
      <c r="AI81" s="808">
        <f>AI80/7697.2822857143</f>
        <v>0.23033220957082018</v>
      </c>
      <c r="AJ81" s="816" t="s">
        <v>2182</v>
      </c>
      <c r="AK81" s="817">
        <f>AK80/1771.42857142857</f>
        <v>0.53747150841646285</v>
      </c>
      <c r="AL81" s="1156" t="s">
        <v>2186</v>
      </c>
      <c r="AM81" s="1156"/>
      <c r="AN81" s="815">
        <f>AN80/1771.42857142857</f>
        <v>0.30712657623797879</v>
      </c>
      <c r="AO81" s="815">
        <f>AO80/1771.42857142857</f>
        <v>0.23034493217848406</v>
      </c>
      <c r="AP81" s="823" t="s">
        <v>2182</v>
      </c>
      <c r="AQ81" s="821"/>
      <c r="AR81" s="1157" t="s">
        <v>2186</v>
      </c>
      <c r="AS81" s="1157"/>
      <c r="AT81" s="821">
        <f>AT80/228.571428571429</f>
        <v>0.59505774146108226</v>
      </c>
      <c r="AU81" s="821">
        <f>AU80/285.714285714286</f>
        <v>0.47604619316886621</v>
      </c>
    </row>
    <row r="82" spans="2:47" x14ac:dyDescent="0.25">
      <c r="B82" s="1168"/>
      <c r="C82" s="463" t="s">
        <v>147</v>
      </c>
      <c r="D82" s="425" t="s">
        <v>1824</v>
      </c>
      <c r="E82" s="153">
        <f>'3. PRECIOS Y COSTOS'!R1201</f>
        <v>48622.328188406354</v>
      </c>
      <c r="F82" s="153">
        <f t="shared" si="19"/>
        <v>50226.865018623757</v>
      </c>
      <c r="G82" s="153">
        <f t="shared" si="16"/>
        <v>51783.897834201089</v>
      </c>
      <c r="H82" s="153">
        <f t="shared" si="17"/>
        <v>53389.198667061319</v>
      </c>
      <c r="I82" s="436">
        <f t="shared" si="18"/>
        <v>55151.042223074335</v>
      </c>
      <c r="J82" s="137"/>
      <c r="P82" s="627" t="s">
        <v>2234</v>
      </c>
      <c r="Q82" s="127">
        <f>1318800*0.2</f>
        <v>263760</v>
      </c>
      <c r="R82" s="127">
        <f>Q82*(1+$F$34)</f>
        <v>272464.07999999996</v>
      </c>
      <c r="S82" s="127">
        <f>R82*(1+$G$34)</f>
        <v>280910.46647999994</v>
      </c>
      <c r="T82" s="127">
        <f>S82*(1+$H$34)</f>
        <v>289618.69094087993</v>
      </c>
      <c r="U82" s="127">
        <f>T82*(1+$I$34)</f>
        <v>299176.10774192895</v>
      </c>
    </row>
    <row r="83" spans="2:47" x14ac:dyDescent="0.25">
      <c r="B83" s="1168"/>
      <c r="C83" s="463" t="s">
        <v>148</v>
      </c>
      <c r="D83" s="425" t="s">
        <v>1824</v>
      </c>
      <c r="E83" s="153">
        <f>'3. PRECIOS Y COSTOS'!R1224</f>
        <v>42224.84018840635</v>
      </c>
      <c r="F83" s="153">
        <f t="shared" si="19"/>
        <v>43618.259914623755</v>
      </c>
      <c r="G83" s="153">
        <f t="shared" si="16"/>
        <v>44970.425971977085</v>
      </c>
      <c r="H83" s="153">
        <f t="shared" si="17"/>
        <v>46364.509177108368</v>
      </c>
      <c r="I83" s="436">
        <f t="shared" si="18"/>
        <v>47894.53797995294</v>
      </c>
      <c r="J83" s="137"/>
    </row>
    <row r="84" spans="2:47" x14ac:dyDescent="0.25">
      <c r="B84" s="1168"/>
      <c r="C84" s="463" t="s">
        <v>149</v>
      </c>
      <c r="D84" s="425" t="s">
        <v>1824</v>
      </c>
      <c r="E84" s="153">
        <f>'3. PRECIOS Y COSTOS'!R1246</f>
        <v>38927.783702006345</v>
      </c>
      <c r="F84" s="153">
        <f t="shared" si="19"/>
        <v>40212.400564172553</v>
      </c>
      <c r="G84" s="153">
        <f t="shared" si="16"/>
        <v>41458.984981661895</v>
      </c>
      <c r="H84" s="153">
        <f t="shared" si="17"/>
        <v>42744.213516093412</v>
      </c>
      <c r="I84" s="436">
        <f t="shared" si="18"/>
        <v>44154.77256212449</v>
      </c>
      <c r="J84" s="137"/>
      <c r="W84" s="621" t="s">
        <v>2227</v>
      </c>
      <c r="X84" s="621">
        <v>76067.260235294103</v>
      </c>
    </row>
    <row r="85" spans="2:47" x14ac:dyDescent="0.25">
      <c r="B85" s="1168"/>
      <c r="C85" s="463" t="s">
        <v>150</v>
      </c>
      <c r="D85" s="425" t="s">
        <v>1824</v>
      </c>
      <c r="E85" s="153">
        <f>'3. PRECIOS Y COSTOS'!R1269</f>
        <v>66948.00665240633</v>
      </c>
      <c r="F85" s="153">
        <f t="shared" si="19"/>
        <v>69157.290871935737</v>
      </c>
      <c r="G85" s="153">
        <f t="shared" si="16"/>
        <v>71301.166888965745</v>
      </c>
      <c r="H85" s="153">
        <f t="shared" si="17"/>
        <v>73511.503062523683</v>
      </c>
      <c r="I85" s="436">
        <f t="shared" si="18"/>
        <v>75937.382663586963</v>
      </c>
      <c r="J85" s="137"/>
      <c r="P85" s="1142" t="s">
        <v>2224</v>
      </c>
      <c r="Q85" s="1143"/>
      <c r="R85" s="1143"/>
      <c r="S85" s="1143"/>
      <c r="T85" s="1143"/>
      <c r="U85" s="1144"/>
      <c r="W85" s="621" t="s">
        <v>2228</v>
      </c>
      <c r="X85" s="127">
        <f>X84/((0.7985/R58)+(0.2015/U58))</f>
        <v>4323167832.2381639</v>
      </c>
    </row>
    <row r="86" spans="2:47" x14ac:dyDescent="0.25">
      <c r="B86" s="1168"/>
      <c r="C86" s="463" t="s">
        <v>151</v>
      </c>
      <c r="D86" s="425" t="s">
        <v>1824</v>
      </c>
      <c r="E86" s="153">
        <f>'3. PRECIOS Y COSTOS'!R1292</f>
        <v>40767.315388406343</v>
      </c>
      <c r="F86" s="153">
        <f t="shared" si="19"/>
        <v>42112.636796223749</v>
      </c>
      <c r="G86" s="153">
        <f t="shared" si="16"/>
        <v>43418.128536906683</v>
      </c>
      <c r="H86" s="153">
        <f t="shared" si="17"/>
        <v>44764.090521550788</v>
      </c>
      <c r="I86" s="436">
        <f t="shared" si="18"/>
        <v>46241.305508761958</v>
      </c>
      <c r="J86" s="137"/>
      <c r="P86" s="1145"/>
      <c r="Q86" s="1146"/>
      <c r="R86" s="1146"/>
      <c r="S86" s="1146"/>
      <c r="T86" s="1146"/>
      <c r="U86" s="1147"/>
      <c r="AE86" s="615"/>
      <c r="AF86" s="615"/>
    </row>
    <row r="87" spans="2:47" x14ac:dyDescent="0.25">
      <c r="B87" s="1168"/>
      <c r="C87" s="463" t="s">
        <v>152</v>
      </c>
      <c r="D87" s="425" t="s">
        <v>1824</v>
      </c>
      <c r="E87" s="153">
        <f>'3. PRECIOS Y COSTOS'!R1315</f>
        <v>44023.601788406348</v>
      </c>
      <c r="F87" s="153">
        <f t="shared" si="19"/>
        <v>45476.38064742375</v>
      </c>
      <c r="G87" s="153">
        <f t="shared" si="16"/>
        <v>46886.148447493884</v>
      </c>
      <c r="H87" s="153">
        <f t="shared" si="17"/>
        <v>48339.619049366192</v>
      </c>
      <c r="I87" s="436">
        <f t="shared" si="18"/>
        <v>49934.826477995273</v>
      </c>
      <c r="J87" s="137"/>
      <c r="P87" s="429" t="s">
        <v>1821</v>
      </c>
      <c r="Q87" s="429">
        <v>2021</v>
      </c>
      <c r="R87" s="429">
        <v>2022</v>
      </c>
      <c r="S87" s="429">
        <v>2023</v>
      </c>
      <c r="T87" s="429">
        <v>2024</v>
      </c>
      <c r="U87" s="429">
        <v>2025</v>
      </c>
      <c r="W87" s="29" t="s">
        <v>2208</v>
      </c>
      <c r="AE87" s="615"/>
      <c r="AF87" s="615"/>
      <c r="AH87" s="615"/>
      <c r="AI87" s="615"/>
    </row>
    <row r="88" spans="2:47" x14ac:dyDescent="0.25">
      <c r="B88" s="1168"/>
      <c r="C88" s="463" t="s">
        <v>153</v>
      </c>
      <c r="D88" s="425" t="s">
        <v>1824</v>
      </c>
      <c r="E88" s="153">
        <f>'3. PRECIOS Y COSTOS'!R1344</f>
        <v>58989.775228406339</v>
      </c>
      <c r="F88" s="153">
        <f t="shared" si="19"/>
        <v>60936.437810943746</v>
      </c>
      <c r="G88" s="153">
        <f t="shared" si="16"/>
        <v>62825.467383083</v>
      </c>
      <c r="H88" s="153">
        <f t="shared" si="17"/>
        <v>64773.056871958564</v>
      </c>
      <c r="I88" s="436">
        <f t="shared" si="18"/>
        <v>66910.567748733185</v>
      </c>
      <c r="J88" s="137"/>
      <c r="P88" s="479" t="s">
        <v>1825</v>
      </c>
      <c r="Q88" s="628">
        <v>3.5999999999999997E-2</v>
      </c>
      <c r="R88" s="628">
        <v>3.3000000000000002E-2</v>
      </c>
      <c r="S88" s="628">
        <v>3.1E-2</v>
      </c>
      <c r="T88" s="628">
        <v>3.1E-2</v>
      </c>
      <c r="U88" s="628">
        <v>3.3000000000000002E-2</v>
      </c>
      <c r="AH88" s="615"/>
      <c r="AI88" s="615"/>
    </row>
    <row r="89" spans="2:47" x14ac:dyDescent="0.25">
      <c r="B89" s="1168"/>
      <c r="C89" s="463" t="s">
        <v>154</v>
      </c>
      <c r="D89" s="425" t="s">
        <v>1824</v>
      </c>
      <c r="E89" s="153">
        <f>'3. PRECIOS Y COSTOS'!R1364</f>
        <v>18078.303868406347</v>
      </c>
      <c r="F89" s="153">
        <f t="shared" si="19"/>
        <v>18674.887896063756</v>
      </c>
      <c r="G89" s="153">
        <f t="shared" si="16"/>
        <v>19253.809420841731</v>
      </c>
      <c r="H89" s="153">
        <f t="shared" si="17"/>
        <v>19850.677512887825</v>
      </c>
      <c r="I89" s="436">
        <f t="shared" si="18"/>
        <v>20505.749870813121</v>
      </c>
      <c r="J89" s="137"/>
      <c r="P89" s="626" t="s">
        <v>1943</v>
      </c>
      <c r="Q89" s="629">
        <f>'10. EQUIPO DE TRABAJO'!Q88*12</f>
        <v>457028015.973984</v>
      </c>
      <c r="R89" s="127">
        <f>Q89*(1+$F$34)</f>
        <v>472109940.50112545</v>
      </c>
      <c r="S89" s="127">
        <f>R89*(1+$G$34)</f>
        <v>486745348.65666032</v>
      </c>
      <c r="T89" s="127">
        <f>S89*(1+$H$34)</f>
        <v>501834454.46501672</v>
      </c>
      <c r="U89" s="127">
        <f>T89*(1+$I$34)</f>
        <v>518394991.46236223</v>
      </c>
      <c r="X89" s="1149" t="s">
        <v>2181</v>
      </c>
      <c r="Y89" s="1149"/>
      <c r="Z89" s="1149"/>
      <c r="AA89" s="1149"/>
      <c r="AB89" s="1149"/>
      <c r="AC89" s="1149"/>
      <c r="AD89" s="1149"/>
      <c r="AE89" s="1149"/>
      <c r="AF89" s="1149"/>
      <c r="AG89" s="1149"/>
      <c r="AH89" s="1149"/>
      <c r="AI89" s="1149"/>
      <c r="AJ89" s="1149"/>
      <c r="AK89" s="1149"/>
      <c r="AL89" s="1149"/>
      <c r="AM89" s="1149"/>
      <c r="AN89" s="1149"/>
      <c r="AO89" s="1149"/>
      <c r="AP89" s="1149"/>
      <c r="AQ89" s="1149"/>
      <c r="AR89" s="1149"/>
      <c r="AS89" s="1149"/>
      <c r="AT89" s="1149"/>
      <c r="AU89" s="1149"/>
    </row>
    <row r="90" spans="2:47" x14ac:dyDescent="0.25">
      <c r="B90" s="1168"/>
      <c r="C90" s="463" t="s">
        <v>133</v>
      </c>
      <c r="D90" s="425" t="s">
        <v>1824</v>
      </c>
      <c r="E90" s="153">
        <f>'3. PRECIOS Y COSTOS'!R1389</f>
        <v>31276.888828406343</v>
      </c>
      <c r="F90" s="153">
        <f t="shared" si="19"/>
        <v>32309.026159743749</v>
      </c>
      <c r="G90" s="153">
        <f t="shared" si="16"/>
        <v>33310.605970695804</v>
      </c>
      <c r="H90" s="153">
        <f t="shared" si="17"/>
        <v>34343.234755787373</v>
      </c>
      <c r="I90" s="436">
        <f t="shared" si="18"/>
        <v>35476.561502728357</v>
      </c>
      <c r="J90" s="137"/>
      <c r="P90" s="626" t="s">
        <v>1944</v>
      </c>
      <c r="Q90" s="598">
        <f>'10. EQUIPO DE TRABAJO'!Q90*12</f>
        <v>334509431.92867196</v>
      </c>
      <c r="R90" s="127">
        <f t="shared" ref="R90:R91" si="20">Q90*(1+$F$34)</f>
        <v>345548243.18231809</v>
      </c>
      <c r="S90" s="127">
        <f t="shared" ref="S90:S91" si="21">R90*(1+$G$34)</f>
        <v>356260238.72096992</v>
      </c>
      <c r="T90" s="127">
        <f t="shared" ref="T90:T91" si="22">S90*(1+$H$34)</f>
        <v>367304306.12131995</v>
      </c>
      <c r="U90" s="127">
        <f t="shared" ref="U90:U91" si="23">T90*(1+$I$34)</f>
        <v>379425348.22332346</v>
      </c>
      <c r="X90" s="843" t="s">
        <v>2173</v>
      </c>
      <c r="Y90" s="843" t="s">
        <v>2185</v>
      </c>
      <c r="Z90" s="843" t="s">
        <v>2189</v>
      </c>
      <c r="AA90" s="843" t="s">
        <v>2190</v>
      </c>
      <c r="AB90" s="843" t="s">
        <v>2187</v>
      </c>
      <c r="AC90" s="844" t="s">
        <v>2188</v>
      </c>
      <c r="AD90" s="741" t="s">
        <v>2176</v>
      </c>
      <c r="AE90" s="743" t="s">
        <v>2195</v>
      </c>
      <c r="AF90" s="741" t="s">
        <v>2191</v>
      </c>
      <c r="AG90" s="741" t="s">
        <v>2192</v>
      </c>
      <c r="AH90" s="741" t="s">
        <v>2193</v>
      </c>
      <c r="AI90" s="741" t="s">
        <v>2194</v>
      </c>
      <c r="AJ90" s="741" t="s">
        <v>2177</v>
      </c>
      <c r="AK90" s="744" t="s">
        <v>2196</v>
      </c>
      <c r="AL90" s="744" t="s">
        <v>2197</v>
      </c>
      <c r="AM90" s="744" t="s">
        <v>2198</v>
      </c>
      <c r="AN90" s="744" t="s">
        <v>2199</v>
      </c>
      <c r="AO90" s="744" t="s">
        <v>2200</v>
      </c>
      <c r="AP90" s="738" t="s">
        <v>2178</v>
      </c>
      <c r="AQ90" s="738" t="s">
        <v>2201</v>
      </c>
      <c r="AR90" s="737" t="s">
        <v>2202</v>
      </c>
      <c r="AS90" s="736" t="s">
        <v>2203</v>
      </c>
      <c r="AT90" s="738" t="s">
        <v>2204</v>
      </c>
      <c r="AU90" s="738" t="s">
        <v>2205</v>
      </c>
    </row>
    <row r="91" spans="2:47" x14ac:dyDescent="0.25">
      <c r="B91" s="1168"/>
      <c r="C91" s="463" t="s">
        <v>164</v>
      </c>
      <c r="D91" s="425" t="s">
        <v>1824</v>
      </c>
      <c r="E91" s="153">
        <f>'3. PRECIOS Y COSTOS'!R1412</f>
        <v>43689.752188406346</v>
      </c>
      <c r="F91" s="153">
        <f t="shared" si="19"/>
        <v>45131.514010623752</v>
      </c>
      <c r="G91" s="153">
        <f t="shared" si="16"/>
        <v>46530.590944953088</v>
      </c>
      <c r="H91" s="153">
        <f t="shared" si="17"/>
        <v>47973.039264246632</v>
      </c>
      <c r="I91" s="436">
        <f t="shared" si="18"/>
        <v>49556.149559966769</v>
      </c>
      <c r="J91" s="137"/>
      <c r="P91" s="626" t="s">
        <v>1761</v>
      </c>
      <c r="Q91" s="629">
        <f>'10. EQUIPO DE TRABAJO'!Q89*12</f>
        <v>122518584.04531202</v>
      </c>
      <c r="R91" s="127">
        <f t="shared" si="20"/>
        <v>126561697.3188073</v>
      </c>
      <c r="S91" s="127">
        <f t="shared" si="21"/>
        <v>130485109.93569031</v>
      </c>
      <c r="T91" s="127">
        <f t="shared" si="22"/>
        <v>134530148.34369671</v>
      </c>
      <c r="U91" s="127">
        <f t="shared" si="23"/>
        <v>138969643.23903871</v>
      </c>
      <c r="W91" s="740" t="s">
        <v>2174</v>
      </c>
      <c r="X91" s="839">
        <f>X85*0.7985</f>
        <v>3452049514.0421739</v>
      </c>
      <c r="Y91" s="840">
        <f>X91/$R$58</f>
        <v>55792.561478091142</v>
      </c>
      <c r="Z91" s="839">
        <f>X91*4/7</f>
        <v>1972599722.3098137</v>
      </c>
      <c r="AA91" s="839">
        <f>X91*3/7</f>
        <v>1479449791.7323604</v>
      </c>
      <c r="AB91" s="840">
        <f>Z91/$R$58</f>
        <v>31881.463701766366</v>
      </c>
      <c r="AC91" s="841">
        <f>AA91/$R$58</f>
        <v>23911.097776324776</v>
      </c>
      <c r="AD91" s="786">
        <f>X91/12</f>
        <v>287670792.83684784</v>
      </c>
      <c r="AE91" s="785">
        <f>AD91/$R$58</f>
        <v>4649.3801231742618</v>
      </c>
      <c r="AF91" s="786">
        <f>AD91*(4/7)</f>
        <v>164383310.19248447</v>
      </c>
      <c r="AG91" s="786">
        <f>AD91*3/7</f>
        <v>123287482.64436337</v>
      </c>
      <c r="AH91" s="784">
        <f>AF91/$R$58</f>
        <v>2656.7886418138637</v>
      </c>
      <c r="AI91" s="784">
        <f>AG91/$R$58</f>
        <v>1992.5914813603983</v>
      </c>
      <c r="AJ91" s="786">
        <f>AD91/4.34524</f>
        <v>66203660.289615259</v>
      </c>
      <c r="AK91" s="788">
        <f>AJ91/$R$58</f>
        <v>1069.9938606784117</v>
      </c>
      <c r="AL91" s="789">
        <f>AJ91*4/7</f>
        <v>37830663.022637293</v>
      </c>
      <c r="AM91" s="789">
        <f>AJ91*3/7</f>
        <v>28372997.266977966</v>
      </c>
      <c r="AN91" s="790">
        <f>AL91/$R$58</f>
        <v>611.42506324480667</v>
      </c>
      <c r="AO91" s="790">
        <f>AM91/$R$58</f>
        <v>458.56879743360497</v>
      </c>
      <c r="AP91" s="152">
        <f>AJ91/7</f>
        <v>9457665.7556593232</v>
      </c>
      <c r="AQ91" s="13">
        <f>AP91/$R$58</f>
        <v>152.85626581120167</v>
      </c>
      <c r="AR91" s="791">
        <f>AL91/4</f>
        <v>9457665.7556593232</v>
      </c>
      <c r="AS91" s="792">
        <f>AM91/3</f>
        <v>9457665.7556593213</v>
      </c>
      <c r="AT91" s="13">
        <f>AR91/$R$58</f>
        <v>152.85626581120167</v>
      </c>
      <c r="AU91" s="13">
        <f>AS91/$R$58</f>
        <v>152.85626581120164</v>
      </c>
    </row>
    <row r="92" spans="2:47" x14ac:dyDescent="0.25">
      <c r="B92" s="1168"/>
      <c r="C92" s="463" t="s">
        <v>224</v>
      </c>
      <c r="D92" s="425" t="s">
        <v>1824</v>
      </c>
      <c r="E92" s="153">
        <f>'3. PRECIOS Y COSTOS'!R1438</f>
        <v>34542.255868406341</v>
      </c>
      <c r="F92" s="153">
        <f t="shared" si="19"/>
        <v>35682.15031206375</v>
      </c>
      <c r="G92" s="153">
        <f t="shared" si="16"/>
        <v>36788.29697173772</v>
      </c>
      <c r="H92" s="153">
        <f t="shared" si="17"/>
        <v>37928.734177861588</v>
      </c>
      <c r="I92" s="436">
        <f t="shared" si="18"/>
        <v>39180.382405731019</v>
      </c>
      <c r="J92" s="137"/>
      <c r="P92" s="30"/>
      <c r="Q92" s="104"/>
      <c r="R92" s="288"/>
      <c r="W92" s="740" t="s">
        <v>2175</v>
      </c>
      <c r="X92" s="839">
        <f>X85*0.2015</f>
        <v>871118318.19599009</v>
      </c>
      <c r="Y92" s="840">
        <f>X92/$U$58</f>
        <v>20274.698757202968</v>
      </c>
      <c r="Z92" s="839">
        <f>X92*4/7</f>
        <v>497781896.11199433</v>
      </c>
      <c r="AA92" s="839">
        <f>X92*3/7</f>
        <v>373336422.08399576</v>
      </c>
      <c r="AB92" s="840">
        <f>Z92/$U$58</f>
        <v>11585.542146973125</v>
      </c>
      <c r="AC92" s="841">
        <f>AA92/$U$58</f>
        <v>8689.1566102298439</v>
      </c>
      <c r="AD92" s="786">
        <f>X92/12</f>
        <v>72593193.182999179</v>
      </c>
      <c r="AE92" s="784">
        <f>AD92/$U$58</f>
        <v>1689.5582297669141</v>
      </c>
      <c r="AF92" s="787">
        <f>AD92*(4/7)</f>
        <v>41481824.67599953</v>
      </c>
      <c r="AG92" s="786">
        <f>AD92*3/7</f>
        <v>31111368.506999645</v>
      </c>
      <c r="AH92" s="784">
        <f>AF92/$U$58</f>
        <v>965.46184558109371</v>
      </c>
      <c r="AI92" s="784">
        <f>AG92/$U$58</f>
        <v>724.09638418582028</v>
      </c>
      <c r="AJ92" s="786">
        <f>AD92/4.34524</f>
        <v>16706371.381787697</v>
      </c>
      <c r="AK92" s="788">
        <f>AJ92/$U$58</f>
        <v>388.82966873335278</v>
      </c>
      <c r="AL92" s="789">
        <f>AJ92*4/7</f>
        <v>9546497.932450112</v>
      </c>
      <c r="AM92" s="789">
        <f>AJ92*3/7</f>
        <v>7159873.4493375849</v>
      </c>
      <c r="AN92" s="790">
        <f>AL92/$U$58</f>
        <v>222.18838213334445</v>
      </c>
      <c r="AO92" s="790">
        <f>AM92/$U$58</f>
        <v>166.64128660000836</v>
      </c>
      <c r="AP92" s="152">
        <f>AJ92/7</f>
        <v>2386624.483112528</v>
      </c>
      <c r="AQ92" s="13">
        <f>AP92/$U$58</f>
        <v>55.547095533336112</v>
      </c>
      <c r="AR92" s="791">
        <f>AL92/4</f>
        <v>2386624.483112528</v>
      </c>
      <c r="AS92" s="792">
        <f>AM92/3</f>
        <v>2386624.4831125285</v>
      </c>
      <c r="AT92" s="13">
        <f>AR92/$U$58</f>
        <v>55.547095533336112</v>
      </c>
      <c r="AU92" s="13">
        <f>AS92/$U$58</f>
        <v>55.547095533336119</v>
      </c>
    </row>
    <row r="93" spans="2:47" x14ac:dyDescent="0.25">
      <c r="B93" s="1168"/>
      <c r="C93" s="463" t="s">
        <v>939</v>
      </c>
      <c r="D93" s="425" t="s">
        <v>1824</v>
      </c>
      <c r="E93" s="153">
        <f>'3. PRECIOS Y COSTOS'!R1461</f>
        <v>25167.812668406346</v>
      </c>
      <c r="F93" s="153">
        <f t="shared" si="19"/>
        <v>25998.350486463754</v>
      </c>
      <c r="G93" s="153">
        <f t="shared" si="16"/>
        <v>26804.29935154413</v>
      </c>
      <c r="H93" s="153">
        <f t="shared" si="17"/>
        <v>27635.232631441995</v>
      </c>
      <c r="I93" s="436">
        <f t="shared" si="18"/>
        <v>28547.195308279577</v>
      </c>
      <c r="J93" s="137"/>
      <c r="P93" s="30"/>
      <c r="Q93" s="104"/>
      <c r="R93" s="288"/>
      <c r="W93" s="830"/>
      <c r="X93" s="842" t="s">
        <v>337</v>
      </c>
      <c r="Y93" s="842">
        <f>Y91+Y92</f>
        <v>76067.260235294118</v>
      </c>
      <c r="Z93" s="1158" t="s">
        <v>337</v>
      </c>
      <c r="AA93" s="1158"/>
      <c r="AB93" s="842">
        <f>AB91+AB92</f>
        <v>43467.005848739493</v>
      </c>
      <c r="AC93" s="842">
        <f>AC91+AC92</f>
        <v>32600.254386554618</v>
      </c>
      <c r="AD93" s="797" t="s">
        <v>337</v>
      </c>
      <c r="AE93" s="797">
        <f>AE91+AE92</f>
        <v>6338.9383529411762</v>
      </c>
      <c r="AF93" s="1159" t="s">
        <v>337</v>
      </c>
      <c r="AG93" s="1159"/>
      <c r="AH93" s="797">
        <f>AH91+AH92</f>
        <v>3622.2504873949574</v>
      </c>
      <c r="AI93" s="797">
        <f>AI91+AI92</f>
        <v>2716.6878655462187</v>
      </c>
      <c r="AJ93" s="845" t="s">
        <v>337</v>
      </c>
      <c r="AK93" s="798">
        <f>AK91+AK92</f>
        <v>1458.8235294117644</v>
      </c>
      <c r="AL93" s="1160" t="s">
        <v>337</v>
      </c>
      <c r="AM93" s="1160"/>
      <c r="AN93" s="800">
        <f>AN91+AN92</f>
        <v>833.61344537815114</v>
      </c>
      <c r="AO93" s="800">
        <f>AO91+AO92</f>
        <v>625.21008403361338</v>
      </c>
      <c r="AP93" s="801" t="s">
        <v>337</v>
      </c>
      <c r="AQ93" s="801">
        <f>AQ91+AQ92</f>
        <v>208.40336134453779</v>
      </c>
      <c r="AR93" s="1153" t="s">
        <v>337</v>
      </c>
      <c r="AS93" s="1153"/>
      <c r="AT93" s="801">
        <f>AT91+AT92</f>
        <v>208.40336134453779</v>
      </c>
      <c r="AU93" s="801">
        <f>AU91+AU92</f>
        <v>208.40336134453776</v>
      </c>
    </row>
    <row r="94" spans="2:47" x14ac:dyDescent="0.25">
      <c r="B94" s="1168"/>
      <c r="C94" s="463" t="s">
        <v>166</v>
      </c>
      <c r="D94" s="425" t="s">
        <v>1824</v>
      </c>
      <c r="E94" s="153">
        <f>'3. PRECIOS Y COSTOS'!R1488</f>
        <v>43317.558268406341</v>
      </c>
      <c r="F94" s="153">
        <f t="shared" si="19"/>
        <v>44747.037691263744</v>
      </c>
      <c r="G94" s="153">
        <f t="shared" si="16"/>
        <v>46134.195859692918</v>
      </c>
      <c r="H94" s="153">
        <f t="shared" si="17"/>
        <v>47564.355931343394</v>
      </c>
      <c r="I94" s="436">
        <f t="shared" si="18"/>
        <v>49133.979677077725</v>
      </c>
      <c r="J94" s="137"/>
      <c r="P94" s="1142" t="s">
        <v>2221</v>
      </c>
      <c r="Q94" s="1143"/>
      <c r="R94" s="1143"/>
      <c r="S94" s="1143"/>
      <c r="T94" s="1143"/>
      <c r="U94" s="1144"/>
      <c r="W94" s="830"/>
      <c r="X94" s="842" t="s">
        <v>2186</v>
      </c>
      <c r="Y94" s="842">
        <f>Y93/76067.2602352941</f>
        <v>1.0000000000000002</v>
      </c>
      <c r="Z94" s="1158" t="s">
        <v>2186</v>
      </c>
      <c r="AA94" s="1158"/>
      <c r="AB94" s="842">
        <f>AB93/76067.2602352941</f>
        <v>0.57142857142857151</v>
      </c>
      <c r="AC94" s="842">
        <f>AC93/76067.2602352941</f>
        <v>0.4285714285714286</v>
      </c>
      <c r="AD94" s="797" t="s">
        <v>2186</v>
      </c>
      <c r="AE94" s="797">
        <f>AE93/6338.93835294118</f>
        <v>0.99999999999999944</v>
      </c>
      <c r="AF94" s="1159" t="s">
        <v>2186</v>
      </c>
      <c r="AG94" s="1159"/>
      <c r="AH94" s="797">
        <f>AH93/AE93</f>
        <v>0.5714285714285714</v>
      </c>
      <c r="AI94" s="797">
        <f>AI93/AE93</f>
        <v>0.42857142857142866</v>
      </c>
      <c r="AJ94" s="402" t="s">
        <v>2182</v>
      </c>
      <c r="AK94" s="799">
        <f>AK93/1458.82352941176</f>
        <v>1.0000000000000029</v>
      </c>
      <c r="AL94" s="1160" t="s">
        <v>2186</v>
      </c>
      <c r="AM94" s="1160"/>
      <c r="AN94" s="800">
        <f>AN93/AK93</f>
        <v>0.57142857142857151</v>
      </c>
      <c r="AO94" s="800">
        <f>AO93/AK93</f>
        <v>0.4285714285714286</v>
      </c>
      <c r="AP94" s="803" t="s">
        <v>2182</v>
      </c>
      <c r="AQ94" s="801"/>
      <c r="AR94" s="1153" t="s">
        <v>2186</v>
      </c>
      <c r="AS94" s="1153"/>
      <c r="AT94" s="801">
        <f>AT93/AQ93</f>
        <v>1</v>
      </c>
      <c r="AU94" s="801">
        <f>AU93/235.294117647059</f>
        <v>0.88571428571428479</v>
      </c>
    </row>
    <row r="95" spans="2:47" x14ac:dyDescent="0.25">
      <c r="B95" s="1168"/>
      <c r="C95" s="464" t="s">
        <v>326</v>
      </c>
      <c r="D95" s="426" t="s">
        <v>1824</v>
      </c>
      <c r="E95" s="152">
        <f>'3. PRECIOS Y COSTOS'!R1511</f>
        <v>17642.502268406341</v>
      </c>
      <c r="F95" s="152">
        <f t="shared" si="19"/>
        <v>18224.704843263749</v>
      </c>
      <c r="G95" s="152">
        <f t="shared" si="16"/>
        <v>18789.670693404925</v>
      </c>
      <c r="H95" s="152">
        <f t="shared" si="17"/>
        <v>19372.150484900478</v>
      </c>
      <c r="I95" s="437">
        <f t="shared" si="18"/>
        <v>20011.431450902193</v>
      </c>
      <c r="J95" s="137"/>
      <c r="P95" s="1145"/>
      <c r="Q95" s="1146"/>
      <c r="R95" s="1146"/>
      <c r="S95" s="1146"/>
      <c r="T95" s="1146"/>
      <c r="U95" s="1147"/>
      <c r="W95" s="830"/>
      <c r="Z95" s="286"/>
      <c r="AD95" s="615"/>
      <c r="AH95" s="615"/>
      <c r="AI95" s="286"/>
      <c r="AJ95" s="615"/>
    </row>
    <row r="96" spans="2:47" x14ac:dyDescent="0.25">
      <c r="B96" s="1168"/>
      <c r="C96" s="464" t="s">
        <v>327</v>
      </c>
      <c r="D96" s="426" t="s">
        <v>1824</v>
      </c>
      <c r="E96" s="152">
        <f>'3. PRECIOS Y COSTOS'!R1537</f>
        <v>26517.028156406348</v>
      </c>
      <c r="F96" s="152">
        <f t="shared" si="19"/>
        <v>27392.090085567754</v>
      </c>
      <c r="G96" s="152">
        <f t="shared" si="16"/>
        <v>28241.24487822035</v>
      </c>
      <c r="H96" s="152">
        <f t="shared" si="17"/>
        <v>29116.72346944518</v>
      </c>
      <c r="I96" s="437">
        <f t="shared" si="18"/>
        <v>30077.575343936867</v>
      </c>
      <c r="J96" s="137"/>
      <c r="P96" s="429" t="s">
        <v>1821</v>
      </c>
      <c r="Q96" s="429">
        <v>2021</v>
      </c>
      <c r="R96" s="429">
        <v>2022</v>
      </c>
      <c r="S96" s="429">
        <v>2023</v>
      </c>
      <c r="T96" s="429">
        <v>2024</v>
      </c>
      <c r="U96" s="429">
        <v>2025</v>
      </c>
      <c r="W96" s="830"/>
      <c r="X96" s="1149" t="s">
        <v>2181</v>
      </c>
      <c r="Y96" s="1149"/>
      <c r="Z96" s="1149"/>
      <c r="AA96" s="1149"/>
      <c r="AB96" s="1149"/>
      <c r="AC96" s="1149"/>
      <c r="AD96" s="1149"/>
      <c r="AE96" s="1149"/>
      <c r="AF96" s="1149"/>
      <c r="AG96" s="1149"/>
      <c r="AH96" s="1149"/>
      <c r="AI96" s="1149"/>
      <c r="AJ96" s="1149"/>
      <c r="AK96" s="1149"/>
      <c r="AL96" s="1149"/>
      <c r="AM96" s="1149"/>
      <c r="AN96" s="1149"/>
      <c r="AO96" s="1149"/>
      <c r="AP96" s="1149"/>
      <c r="AQ96" s="1149"/>
      <c r="AR96" s="1149"/>
      <c r="AS96" s="1149"/>
      <c r="AT96" s="1149"/>
      <c r="AU96" s="1149"/>
    </row>
    <row r="97" spans="2:47" x14ac:dyDescent="0.25">
      <c r="B97" s="1168"/>
      <c r="C97" s="464" t="s">
        <v>626</v>
      </c>
      <c r="D97" s="426" t="s">
        <v>1824</v>
      </c>
      <c r="E97" s="152">
        <f>'3. PRECIOS Y COSTOS'!R1560</f>
        <v>12001.511586806344</v>
      </c>
      <c r="F97" s="152">
        <f t="shared" si="19"/>
        <v>12397.561469170952</v>
      </c>
      <c r="G97" s="152">
        <f t="shared" si="16"/>
        <v>12781.885874715252</v>
      </c>
      <c r="H97" s="152">
        <f t="shared" si="17"/>
        <v>13178.124336831423</v>
      </c>
      <c r="I97" s="437">
        <f t="shared" si="18"/>
        <v>13613.002439946858</v>
      </c>
      <c r="J97" s="137"/>
      <c r="P97" s="479" t="s">
        <v>1825</v>
      </c>
      <c r="Q97" s="628">
        <v>3.5999999999999997E-2</v>
      </c>
      <c r="R97" s="628">
        <v>3.3000000000000002E-2</v>
      </c>
      <c r="S97" s="628">
        <v>3.1E-2</v>
      </c>
      <c r="T97" s="628">
        <v>3.1E-2</v>
      </c>
      <c r="U97" s="628">
        <v>3.3000000000000002E-2</v>
      </c>
      <c r="W97" s="830"/>
      <c r="X97" s="843" t="s">
        <v>2173</v>
      </c>
      <c r="Y97" s="843" t="s">
        <v>2185</v>
      </c>
      <c r="Z97" s="843" t="s">
        <v>2189</v>
      </c>
      <c r="AA97" s="843" t="s">
        <v>2190</v>
      </c>
      <c r="AB97" s="843" t="s">
        <v>2187</v>
      </c>
      <c r="AC97" s="844" t="s">
        <v>2188</v>
      </c>
      <c r="AD97" s="741" t="s">
        <v>2176</v>
      </c>
      <c r="AE97" s="743" t="s">
        <v>2195</v>
      </c>
      <c r="AF97" s="741" t="s">
        <v>2191</v>
      </c>
      <c r="AG97" s="741" t="s">
        <v>2192</v>
      </c>
      <c r="AH97" s="741" t="s">
        <v>2193</v>
      </c>
      <c r="AI97" s="741" t="s">
        <v>2194</v>
      </c>
      <c r="AJ97" s="741" t="s">
        <v>2177</v>
      </c>
      <c r="AK97" s="744" t="s">
        <v>2196</v>
      </c>
      <c r="AL97" s="744" t="s">
        <v>2197</v>
      </c>
      <c r="AM97" s="744" t="s">
        <v>2198</v>
      </c>
      <c r="AN97" s="744" t="s">
        <v>2199</v>
      </c>
      <c r="AO97" s="744" t="s">
        <v>2200</v>
      </c>
      <c r="AP97" s="738" t="s">
        <v>2178</v>
      </c>
      <c r="AQ97" s="738" t="s">
        <v>2201</v>
      </c>
      <c r="AR97" s="737" t="s">
        <v>2202</v>
      </c>
      <c r="AS97" s="736" t="s">
        <v>2203</v>
      </c>
      <c r="AT97" s="738" t="s">
        <v>2204</v>
      </c>
      <c r="AU97" s="738" t="s">
        <v>2205</v>
      </c>
    </row>
    <row r="98" spans="2:47" x14ac:dyDescent="0.25">
      <c r="B98" s="1168"/>
      <c r="C98" s="464" t="s">
        <v>762</v>
      </c>
      <c r="D98" s="426" t="s">
        <v>1824</v>
      </c>
      <c r="E98" s="152">
        <f>'3. PRECIOS Y COSTOS'!R1585</f>
        <v>14615.435068406345</v>
      </c>
      <c r="F98" s="152">
        <f t="shared" si="19"/>
        <v>15097.744425663754</v>
      </c>
      <c r="G98" s="152">
        <f t="shared" si="16"/>
        <v>15565.774502859329</v>
      </c>
      <c r="H98" s="152">
        <f t="shared" si="17"/>
        <v>16048.313512447967</v>
      </c>
      <c r="I98" s="437">
        <f t="shared" si="18"/>
        <v>16577.907858358747</v>
      </c>
      <c r="J98" s="137"/>
      <c r="P98" s="626" t="s">
        <v>1849</v>
      </c>
      <c r="Q98" s="127">
        <f>X85*0.4</f>
        <v>1729267132.8952656</v>
      </c>
      <c r="R98" s="127">
        <f>Q98*(1+R97)</f>
        <v>1786332948.2808092</v>
      </c>
      <c r="S98" s="127">
        <f>R98*(1+S97)</f>
        <v>1841709269.6775141</v>
      </c>
      <c r="T98" s="127">
        <f>S98*(1+T97)</f>
        <v>1898802257.0375168</v>
      </c>
      <c r="U98" s="127">
        <f>T98*(1+U97)</f>
        <v>1961462731.5197546</v>
      </c>
      <c r="W98" s="740" t="s">
        <v>2174</v>
      </c>
      <c r="X98" s="839">
        <f>Q98*0.7985</f>
        <v>1380819805.6168694</v>
      </c>
      <c r="Y98" s="840">
        <f>X98/$R$58</f>
        <v>22317.024591236455</v>
      </c>
      <c r="Z98" s="839">
        <f>X98*4/7</f>
        <v>789039888.9239254</v>
      </c>
      <c r="AA98" s="839">
        <f>X98*3/7</f>
        <v>591779916.69294405</v>
      </c>
      <c r="AB98" s="840">
        <f>Z98/$R$58</f>
        <v>12752.585480706546</v>
      </c>
      <c r="AC98" s="841">
        <f>AA98/$R$58</f>
        <v>9564.4391105299092</v>
      </c>
      <c r="AD98" s="786">
        <f>X98/12</f>
        <v>115068317.13473912</v>
      </c>
      <c r="AE98" s="785">
        <f>AD98/$R$58</f>
        <v>1859.7520492697045</v>
      </c>
      <c r="AF98" s="786">
        <f>AD98*(4/7)</f>
        <v>65753324.076993778</v>
      </c>
      <c r="AG98" s="786">
        <f>AD98*3/7</f>
        <v>49314993.057745337</v>
      </c>
      <c r="AH98" s="784">
        <f>AF98/$R$58</f>
        <v>1062.7154567255454</v>
      </c>
      <c r="AI98" s="784">
        <f>AG98/$R$58</f>
        <v>797.03659254415913</v>
      </c>
      <c r="AJ98" s="786">
        <f>AD98/4.34524</f>
        <v>26481464.115846097</v>
      </c>
      <c r="AK98" s="788">
        <f>AJ98/$R$58</f>
        <v>427.99754427136457</v>
      </c>
      <c r="AL98" s="789">
        <f>AJ98*4/7</f>
        <v>15132265.209054913</v>
      </c>
      <c r="AM98" s="789">
        <f>AJ98*3/7</f>
        <v>11349198.906791184</v>
      </c>
      <c r="AN98" s="790">
        <f>AL98/$R$58</f>
        <v>244.57002529792263</v>
      </c>
      <c r="AO98" s="790">
        <f>AM98/$R$58</f>
        <v>183.42751897344195</v>
      </c>
      <c r="AP98" s="152">
        <f>AJ98/7</f>
        <v>3783066.3022637283</v>
      </c>
      <c r="AQ98" s="13">
        <f>AP98/$R$58</f>
        <v>61.142506324480657</v>
      </c>
      <c r="AR98" s="791">
        <f>AL98/4</f>
        <v>3783066.3022637283</v>
      </c>
      <c r="AS98" s="792">
        <f>AM98/3</f>
        <v>3783066.3022637279</v>
      </c>
      <c r="AT98" s="13">
        <f>AR98/$R$58</f>
        <v>61.142506324480657</v>
      </c>
      <c r="AU98" s="13">
        <f>AS98/$R$58</f>
        <v>61.142506324480649</v>
      </c>
    </row>
    <row r="99" spans="2:47" x14ac:dyDescent="0.25">
      <c r="B99" s="1168"/>
      <c r="C99" s="464" t="s">
        <v>328</v>
      </c>
      <c r="D99" s="426" t="s">
        <v>1824</v>
      </c>
      <c r="E99" s="152">
        <f>'3. PRECIOS Y COSTOS'!R1607</f>
        <v>26924.839266806342</v>
      </c>
      <c r="F99" s="152">
        <f t="shared" si="19"/>
        <v>27813.35896261095</v>
      </c>
      <c r="G99" s="152">
        <f t="shared" si="16"/>
        <v>28675.573090451886</v>
      </c>
      <c r="H99" s="152">
        <f t="shared" si="17"/>
        <v>29564.515856255894</v>
      </c>
      <c r="I99" s="437">
        <f t="shared" si="18"/>
        <v>30540.144879512336</v>
      </c>
      <c r="J99" s="137"/>
      <c r="P99" s="626" t="s">
        <v>1890</v>
      </c>
      <c r="Q99" s="627">
        <f>(Q98*0.7985)/R58</f>
        <v>22317.024591236455</v>
      </c>
      <c r="R99" s="477">
        <f>Q99+(1+R97)</f>
        <v>22318.057591236455</v>
      </c>
      <c r="S99" s="627">
        <f>R99*(1+$G$34)</f>
        <v>23009.917376564783</v>
      </c>
      <c r="T99" s="627">
        <f>S99*(1+$H$34)</f>
        <v>23723.224815238289</v>
      </c>
      <c r="U99" s="627">
        <f>T99*(1+$I$34)</f>
        <v>24506.091234141149</v>
      </c>
      <c r="W99" s="740" t="s">
        <v>2175</v>
      </c>
      <c r="X99" s="839">
        <f>Q98*0.2015</f>
        <v>348447327.27839601</v>
      </c>
      <c r="Y99" s="840">
        <f>X99/$U$58</f>
        <v>8109.8795028811865</v>
      </c>
      <c r="Z99" s="839">
        <f>X99*4/7</f>
        <v>199112758.44479772</v>
      </c>
      <c r="AA99" s="839">
        <f>X99*3/7</f>
        <v>149334568.83359829</v>
      </c>
      <c r="AB99" s="840">
        <f>Z99/$U$58</f>
        <v>4634.2168587892493</v>
      </c>
      <c r="AC99" s="841">
        <f>AA99/$U$58</f>
        <v>3475.6626440919367</v>
      </c>
      <c r="AD99" s="786">
        <f>X99/12</f>
        <v>29037277.273199666</v>
      </c>
      <c r="AE99" s="784">
        <f>AD99/$U$58</f>
        <v>675.82329190676546</v>
      </c>
      <c r="AF99" s="787">
        <f>AD99*(4/7)</f>
        <v>16592729.870399809</v>
      </c>
      <c r="AG99" s="786">
        <f>AD99*3/7</f>
        <v>12444547.402799858</v>
      </c>
      <c r="AH99" s="784">
        <f>AF99/$U$58</f>
        <v>386.18473823243738</v>
      </c>
      <c r="AI99" s="784">
        <f>AG99/$U$58</f>
        <v>289.63855367432808</v>
      </c>
      <c r="AJ99" s="786">
        <f>AD99/4.34524</f>
        <v>6682548.5527150771</v>
      </c>
      <c r="AK99" s="788">
        <f>AJ99/$U$58</f>
        <v>155.53186749334108</v>
      </c>
      <c r="AL99" s="789">
        <f>AJ99*4/7</f>
        <v>3818599.172980044</v>
      </c>
      <c r="AM99" s="789">
        <f>AJ99*3/7</f>
        <v>2863949.379735033</v>
      </c>
      <c r="AN99" s="790">
        <f>AL99/$U$58</f>
        <v>88.875352853337759</v>
      </c>
      <c r="AO99" s="790">
        <f>AM99/$U$58</f>
        <v>66.656514640003323</v>
      </c>
      <c r="AP99" s="152">
        <f>AJ99/7</f>
        <v>954649.79324501101</v>
      </c>
      <c r="AQ99" s="13">
        <f>AP99/$U$58</f>
        <v>22.21883821333444</v>
      </c>
      <c r="AR99" s="791">
        <f>AL99/4</f>
        <v>954649.79324501101</v>
      </c>
      <c r="AS99" s="792">
        <f>AM99/3</f>
        <v>954649.79324501101</v>
      </c>
      <c r="AT99" s="13">
        <f>AR99/$U$58</f>
        <v>22.21883821333444</v>
      </c>
      <c r="AU99" s="13">
        <f>AS99/$U$58</f>
        <v>22.21883821333444</v>
      </c>
    </row>
    <row r="100" spans="2:47" x14ac:dyDescent="0.25">
      <c r="B100" s="1168"/>
      <c r="C100" s="464" t="s">
        <v>632</v>
      </c>
      <c r="D100" s="426" t="s">
        <v>1824</v>
      </c>
      <c r="E100" s="152">
        <f>'3. PRECIOS Y COSTOS'!R1630</f>
        <v>19236.910588406347</v>
      </c>
      <c r="F100" s="152">
        <f t="shared" si="19"/>
        <v>19871.728637823755</v>
      </c>
      <c r="G100" s="152">
        <f t="shared" si="16"/>
        <v>20487.75222559629</v>
      </c>
      <c r="H100" s="152">
        <f t="shared" si="17"/>
        <v>21122.872544589773</v>
      </c>
      <c r="I100" s="437">
        <f t="shared" si="18"/>
        <v>21819.927338561232</v>
      </c>
      <c r="J100" s="137"/>
      <c r="P100" s="626" t="s">
        <v>1890</v>
      </c>
      <c r="Q100" s="627">
        <f>(Q98*0.2015)/U58</f>
        <v>8109.8795028811865</v>
      </c>
      <c r="R100" s="627">
        <f>Q100*(1+R97)</f>
        <v>8377.505526476265</v>
      </c>
      <c r="S100" s="627">
        <f>R100*(1+S97)</f>
        <v>8637.2081977970283</v>
      </c>
      <c r="T100" s="627">
        <f>S100*(1+T97)</f>
        <v>8904.9616519287356</v>
      </c>
      <c r="U100" s="627">
        <f>T100*(1+U97)</f>
        <v>9198.8253864423823</v>
      </c>
      <c r="W100" s="830"/>
      <c r="X100" s="842" t="s">
        <v>337</v>
      </c>
      <c r="Y100" s="842">
        <f>Y98+Y99</f>
        <v>30426.904094117643</v>
      </c>
      <c r="Z100" s="1158" t="s">
        <v>337</v>
      </c>
      <c r="AA100" s="1158"/>
      <c r="AB100" s="842">
        <f>AB98+AB99</f>
        <v>17386.802339495796</v>
      </c>
      <c r="AC100" s="842">
        <f>AC98+AC99</f>
        <v>13040.101754621846</v>
      </c>
      <c r="AD100" s="797" t="s">
        <v>337</v>
      </c>
      <c r="AE100" s="797">
        <f>AE98+AE99</f>
        <v>2535.5753411764699</v>
      </c>
      <c r="AF100" s="1159" t="s">
        <v>337</v>
      </c>
      <c r="AG100" s="1159"/>
      <c r="AH100" s="797">
        <f>AH98+AH99</f>
        <v>1448.9001949579829</v>
      </c>
      <c r="AI100" s="797">
        <f>AI98+AI99</f>
        <v>1086.6751462184873</v>
      </c>
      <c r="AJ100" s="845" t="s">
        <v>337</v>
      </c>
      <c r="AK100" s="798">
        <f>AK98+AK99</f>
        <v>583.52941176470563</v>
      </c>
      <c r="AL100" s="1160" t="s">
        <v>337</v>
      </c>
      <c r="AM100" s="1160"/>
      <c r="AN100" s="800">
        <f>AN98+AN99</f>
        <v>333.4453781512604</v>
      </c>
      <c r="AO100" s="800">
        <f>AO98+AO99</f>
        <v>250.08403361344529</v>
      </c>
      <c r="AP100" s="801" t="s">
        <v>337</v>
      </c>
      <c r="AQ100" s="801">
        <f>AQ98+AQ99</f>
        <v>83.3613445378151</v>
      </c>
      <c r="AR100" s="1153" t="s">
        <v>337</v>
      </c>
      <c r="AS100" s="1153"/>
      <c r="AT100" s="801">
        <f>AT98+AT99</f>
        <v>83.3613445378151</v>
      </c>
      <c r="AU100" s="801">
        <f>AU98+AU99</f>
        <v>83.361344537815086</v>
      </c>
    </row>
    <row r="101" spans="2:47" x14ac:dyDescent="0.25">
      <c r="B101" s="1168"/>
      <c r="C101" s="464" t="s">
        <v>535</v>
      </c>
      <c r="D101" s="426" t="s">
        <v>1824</v>
      </c>
      <c r="E101" s="152">
        <f>'3. PRECIOS Y COSTOS'!R1658</f>
        <v>25744.54614680634</v>
      </c>
      <c r="F101" s="152">
        <f t="shared" ref="F101:F130" si="24">E101*(1+$F$34)</f>
        <v>26594.116169650948</v>
      </c>
      <c r="G101" s="152">
        <f t="shared" ref="G101:G130" si="25">F101*(1+$G$34)</f>
        <v>27418.533770910126</v>
      </c>
      <c r="H101" s="152">
        <f t="shared" ref="H101:H130" si="26">G101*(1+$H$34)</f>
        <v>28268.508317808337</v>
      </c>
      <c r="I101" s="437">
        <f t="shared" ref="I101:I130" si="27">H101*(1+$I$34)</f>
        <v>29201.369092296009</v>
      </c>
      <c r="J101" s="137"/>
      <c r="P101" s="30"/>
      <c r="Q101" s="104"/>
      <c r="R101" s="288"/>
      <c r="S101" s="30"/>
      <c r="W101" s="830"/>
      <c r="X101" s="842" t="s">
        <v>2186</v>
      </c>
      <c r="Y101" s="842">
        <f>Y100/76067.2602352941</f>
        <v>0.4</v>
      </c>
      <c r="Z101" s="1158" t="s">
        <v>2186</v>
      </c>
      <c r="AA101" s="1158"/>
      <c r="AB101" s="842">
        <f>AB100/76067.26024</f>
        <v>0.22857142855728801</v>
      </c>
      <c r="AC101" s="842">
        <f>AC100/76067.26024</f>
        <v>0.171428571417966</v>
      </c>
      <c r="AD101" s="797" t="s">
        <v>2186</v>
      </c>
      <c r="AE101" s="797">
        <f>AE100/6338.93835294118</f>
        <v>0.39999999999999969</v>
      </c>
      <c r="AF101" s="1159" t="s">
        <v>2186</v>
      </c>
      <c r="AG101" s="1159"/>
      <c r="AH101" s="797">
        <f>AH100/6338.93835294118</f>
        <v>0.2285714285714284</v>
      </c>
      <c r="AI101" s="797">
        <f>AI100/6338.93835294118</f>
        <v>0.17142857142857132</v>
      </c>
      <c r="AJ101" s="402" t="s">
        <v>2182</v>
      </c>
      <c r="AK101" s="799">
        <f>AK100/1458.82352941176</f>
        <v>0.40000000000000108</v>
      </c>
      <c r="AL101" s="1160" t="s">
        <v>2186</v>
      </c>
      <c r="AM101" s="1160"/>
      <c r="AN101" s="800">
        <f>AN100/1458.82352941176</f>
        <v>0.22857142857142923</v>
      </c>
      <c r="AO101" s="800">
        <f>AO100/1458.82352941176</f>
        <v>0.1714285714285719</v>
      </c>
      <c r="AP101" s="803" t="s">
        <v>2182</v>
      </c>
      <c r="AQ101" s="801"/>
      <c r="AR101" s="1153" t="s">
        <v>2186</v>
      </c>
      <c r="AS101" s="1153"/>
      <c r="AT101" s="801">
        <f>AT100/188.235294117647</f>
        <v>0.44285714285714289</v>
      </c>
      <c r="AU101" s="801">
        <f>AU100/235.294117647059</f>
        <v>0.35428571428571382</v>
      </c>
    </row>
    <row r="102" spans="2:47" x14ac:dyDescent="0.25">
      <c r="B102" s="1168"/>
      <c r="C102" s="464" t="s">
        <v>200</v>
      </c>
      <c r="D102" s="426" t="s">
        <v>1824</v>
      </c>
      <c r="E102" s="152">
        <f>'3. PRECIOS Y COSTOS'!R1682</f>
        <v>24062.454268406345</v>
      </c>
      <c r="F102" s="152">
        <f t="shared" si="24"/>
        <v>24856.515259263753</v>
      </c>
      <c r="G102" s="152">
        <f t="shared" si="25"/>
        <v>25627.067232300928</v>
      </c>
      <c r="H102" s="152">
        <f t="shared" si="26"/>
        <v>26421.506316502255</v>
      </c>
      <c r="I102" s="437">
        <f t="shared" si="27"/>
        <v>27293.416024946826</v>
      </c>
      <c r="J102" s="137"/>
      <c r="P102" s="30"/>
      <c r="Q102" s="104"/>
      <c r="R102" s="476"/>
      <c r="S102" s="30"/>
      <c r="T102" s="30"/>
      <c r="U102" s="30"/>
      <c r="W102" s="830"/>
    </row>
    <row r="103" spans="2:47" x14ac:dyDescent="0.25">
      <c r="B103" s="1168"/>
      <c r="C103" s="464" t="s">
        <v>193</v>
      </c>
      <c r="D103" s="426" t="s">
        <v>1824</v>
      </c>
      <c r="E103" s="152">
        <f>'3. PRECIOS Y COSTOS'!R1704</f>
        <v>10585.073788406344</v>
      </c>
      <c r="F103" s="152">
        <f t="shared" si="24"/>
        <v>10934.381223423752</v>
      </c>
      <c r="G103" s="152">
        <f t="shared" si="25"/>
        <v>11273.347041349887</v>
      </c>
      <c r="H103" s="152">
        <f t="shared" si="26"/>
        <v>11622.820799631732</v>
      </c>
      <c r="I103" s="437">
        <f t="shared" si="27"/>
        <v>12006.373886019579</v>
      </c>
      <c r="J103" s="137"/>
      <c r="P103" s="1142" t="s">
        <v>1850</v>
      </c>
      <c r="Q103" s="1143"/>
      <c r="R103" s="1143"/>
      <c r="S103" s="1143"/>
      <c r="T103" s="1143"/>
      <c r="U103" s="1144"/>
      <c r="W103" s="830"/>
      <c r="X103" s="1149" t="s">
        <v>2317</v>
      </c>
      <c r="Y103" s="1149"/>
      <c r="Z103" s="1149"/>
      <c r="AA103" s="1149"/>
      <c r="AB103" s="1149"/>
      <c r="AC103" s="1149"/>
      <c r="AD103" s="1149"/>
      <c r="AE103" s="1149"/>
      <c r="AF103" s="1149"/>
      <c r="AG103" s="1149"/>
      <c r="AH103" s="1149"/>
      <c r="AI103" s="1149"/>
      <c r="AJ103" s="1149"/>
      <c r="AK103" s="1149"/>
      <c r="AL103" s="1149"/>
      <c r="AM103" s="1149"/>
      <c r="AN103" s="1149"/>
      <c r="AO103" s="1149"/>
      <c r="AP103" s="1149"/>
      <c r="AQ103" s="1149"/>
      <c r="AR103" s="1149"/>
      <c r="AS103" s="1149"/>
      <c r="AT103" s="1149"/>
      <c r="AU103" s="1149"/>
    </row>
    <row r="104" spans="2:47" x14ac:dyDescent="0.25">
      <c r="B104" s="1168"/>
      <c r="C104" s="464" t="s">
        <v>197</v>
      </c>
      <c r="D104" s="426" t="s">
        <v>1824</v>
      </c>
      <c r="E104" s="152">
        <f>'3. PRECIOS Y COSTOS'!R1729</f>
        <v>16521.258364406342</v>
      </c>
      <c r="F104" s="152">
        <f t="shared" si="24"/>
        <v>17066.45989043175</v>
      </c>
      <c r="G104" s="152">
        <f t="shared" si="25"/>
        <v>17595.520147035131</v>
      </c>
      <c r="H104" s="152">
        <f t="shared" si="26"/>
        <v>18140.98127159322</v>
      </c>
      <c r="I104" s="437">
        <f t="shared" si="27"/>
        <v>18739.633653555797</v>
      </c>
      <c r="J104" s="137"/>
      <c r="P104" s="1145"/>
      <c r="Q104" s="1146"/>
      <c r="R104" s="1146"/>
      <c r="S104" s="1146"/>
      <c r="T104" s="1146"/>
      <c r="U104" s="1147"/>
      <c r="W104" s="830"/>
      <c r="X104" s="850" t="s">
        <v>2173</v>
      </c>
      <c r="Y104" s="850" t="s">
        <v>2185</v>
      </c>
      <c r="Z104" s="850" t="s">
        <v>2189</v>
      </c>
      <c r="AA104" s="850" t="s">
        <v>2190</v>
      </c>
      <c r="AB104" s="850" t="s">
        <v>2187</v>
      </c>
      <c r="AC104" s="851" t="s">
        <v>2188</v>
      </c>
      <c r="AD104" s="742" t="s">
        <v>2176</v>
      </c>
      <c r="AE104" s="846" t="s">
        <v>2195</v>
      </c>
      <c r="AF104" s="742" t="s">
        <v>2191</v>
      </c>
      <c r="AG104" s="742" t="s">
        <v>2192</v>
      </c>
      <c r="AH104" s="742" t="s">
        <v>2193</v>
      </c>
      <c r="AI104" s="742" t="s">
        <v>2194</v>
      </c>
      <c r="AJ104" s="847" t="s">
        <v>2177</v>
      </c>
      <c r="AK104" s="847" t="s">
        <v>2196</v>
      </c>
      <c r="AL104" s="847" t="s">
        <v>2197</v>
      </c>
      <c r="AM104" s="847" t="s">
        <v>2198</v>
      </c>
      <c r="AN104" s="847" t="s">
        <v>2199</v>
      </c>
      <c r="AO104" s="847" t="s">
        <v>2200</v>
      </c>
      <c r="AP104" s="735" t="s">
        <v>2178</v>
      </c>
      <c r="AQ104" s="735" t="s">
        <v>2201</v>
      </c>
      <c r="AR104" s="848" t="s">
        <v>2202</v>
      </c>
      <c r="AS104" s="849" t="s">
        <v>2203</v>
      </c>
      <c r="AT104" s="735" t="s">
        <v>2204</v>
      </c>
      <c r="AU104" s="735" t="s">
        <v>2205</v>
      </c>
    </row>
    <row r="105" spans="2:47" x14ac:dyDescent="0.25">
      <c r="B105" s="1168"/>
      <c r="C105" s="464" t="s">
        <v>650</v>
      </c>
      <c r="D105" s="426" t="s">
        <v>1824</v>
      </c>
      <c r="E105" s="152">
        <f>'3. PRECIOS Y COSTOS'!R1754</f>
        <v>11138.966908406343</v>
      </c>
      <c r="F105" s="152">
        <f t="shared" si="24"/>
        <v>11506.552816383752</v>
      </c>
      <c r="G105" s="152">
        <f t="shared" si="25"/>
        <v>11863.255953691647</v>
      </c>
      <c r="H105" s="152">
        <f t="shared" si="26"/>
        <v>12231.016888256087</v>
      </c>
      <c r="I105" s="437">
        <f t="shared" si="27"/>
        <v>12634.640445568537</v>
      </c>
      <c r="J105" s="137"/>
      <c r="P105" s="429" t="s">
        <v>1821</v>
      </c>
      <c r="Q105" s="429">
        <v>2021</v>
      </c>
      <c r="R105" s="429">
        <v>2022</v>
      </c>
      <c r="S105" s="429">
        <v>2023</v>
      </c>
      <c r="T105" s="429">
        <v>2024</v>
      </c>
      <c r="U105" s="429">
        <v>2025</v>
      </c>
      <c r="W105" s="740" t="s">
        <v>2174</v>
      </c>
      <c r="X105" s="833">
        <f>Q98*0.7985</f>
        <v>1380819805.6168694</v>
      </c>
      <c r="Y105" s="834">
        <f>X105/($R$54+$R$56)</f>
        <v>37210.89434881862</v>
      </c>
      <c r="Z105" s="833">
        <f>X105*4/7</f>
        <v>789039888.9239254</v>
      </c>
      <c r="AA105" s="833">
        <f>X105*3/7</f>
        <v>591779916.69294405</v>
      </c>
      <c r="AB105" s="834">
        <f>Z105/($R$54+$R$56)</f>
        <v>21263.368199324927</v>
      </c>
      <c r="AC105" s="835">
        <f>AA105/($R$54+$R$56)</f>
        <v>15947.526149493693</v>
      </c>
      <c r="AD105" s="804">
        <f>X105/12</f>
        <v>115068317.13473912</v>
      </c>
      <c r="AE105" s="805">
        <f>AD105/($R$54+$R$56)</f>
        <v>3100.9078624015515</v>
      </c>
      <c r="AF105" s="804">
        <f>AD105*(4/7)</f>
        <v>65753324.076993778</v>
      </c>
      <c r="AG105" s="804">
        <f>AD105*3/7</f>
        <v>49314993.057745337</v>
      </c>
      <c r="AH105" s="806">
        <f>AF105/($R$54+$R$56)</f>
        <v>1771.9473499437436</v>
      </c>
      <c r="AI105" s="806">
        <f>AG105/($R$54+$R$56)</f>
        <v>1328.9605124578079</v>
      </c>
      <c r="AJ105" s="811">
        <f>AD105/4.345</f>
        <v>26482926.843438234</v>
      </c>
      <c r="AK105" s="812">
        <f>AJ105/($R$54+$R$56)</f>
        <v>713.67269560449984</v>
      </c>
      <c r="AL105" s="811">
        <f>AJ105*4/7</f>
        <v>15133101.053393276</v>
      </c>
      <c r="AM105" s="811">
        <f>AJ105*3/7</f>
        <v>11349825.790044958</v>
      </c>
      <c r="AN105" s="813">
        <f>AL105/($R$54+$R$56)</f>
        <v>407.81296891685702</v>
      </c>
      <c r="AO105" s="813">
        <f>AM105/($R$54+$R$56)</f>
        <v>305.85972668764276</v>
      </c>
      <c r="AP105" s="154">
        <f>AJ105/7</f>
        <v>3783275.2633483191</v>
      </c>
      <c r="AQ105" s="120">
        <f>AP105/($R$54+$R$56)</f>
        <v>101.95324222921425</v>
      </c>
      <c r="AR105" s="430">
        <f>AL105/4</f>
        <v>3783275.2633483191</v>
      </c>
      <c r="AS105" s="820">
        <f>AM105/3</f>
        <v>3783275.2633483191</v>
      </c>
      <c r="AT105" s="120">
        <f>AR105/($R$54+$R$56)</f>
        <v>101.95324222921425</v>
      </c>
      <c r="AU105" s="120">
        <f>AS105/($R$54+$R$56)</f>
        <v>101.95324222921425</v>
      </c>
    </row>
    <row r="106" spans="2:47" x14ac:dyDescent="0.25">
      <c r="B106" s="1168"/>
      <c r="C106" s="464" t="s">
        <v>655</v>
      </c>
      <c r="D106" s="426" t="s">
        <v>1824</v>
      </c>
      <c r="E106" s="152">
        <f>'3. PRECIOS Y COSTOS'!R1778</f>
        <v>10927.235068406342</v>
      </c>
      <c r="F106" s="152">
        <f t="shared" si="24"/>
        <v>11287.833825663751</v>
      </c>
      <c r="G106" s="152">
        <f t="shared" si="25"/>
        <v>11637.756674259326</v>
      </c>
      <c r="H106" s="152">
        <f t="shared" si="26"/>
        <v>11998.527131161365</v>
      </c>
      <c r="I106" s="437">
        <f t="shared" si="27"/>
        <v>12394.478526489689</v>
      </c>
      <c r="J106" s="137"/>
      <c r="P106" s="479" t="s">
        <v>1825</v>
      </c>
      <c r="Q106" s="628">
        <v>3.5999999999999997E-2</v>
      </c>
      <c r="R106" s="628">
        <v>3.3000000000000002E-2</v>
      </c>
      <c r="S106" s="628">
        <v>3.1E-2</v>
      </c>
      <c r="T106" s="628">
        <v>3.1E-2</v>
      </c>
      <c r="U106" s="628">
        <v>3.3000000000000002E-2</v>
      </c>
      <c r="W106" s="740" t="s">
        <v>2175</v>
      </c>
      <c r="X106" s="833">
        <f>Q98*0.2015</f>
        <v>348447327.27839601</v>
      </c>
      <c r="Y106" s="834">
        <f>X106/($U$54+$U$56)</f>
        <v>15785.8883339443</v>
      </c>
      <c r="Z106" s="833">
        <f>X106*4/7</f>
        <v>199112758.44479772</v>
      </c>
      <c r="AA106" s="833">
        <f>X106*3/7</f>
        <v>149334568.83359829</v>
      </c>
      <c r="AB106" s="834">
        <f>Z106/($U$54+$U$56)</f>
        <v>9020.5076193967434</v>
      </c>
      <c r="AC106" s="835">
        <f>AA106/($U$54+$U$56)</f>
        <v>6765.3807145475566</v>
      </c>
      <c r="AD106" s="804">
        <f>X106/12</f>
        <v>29037277.273199666</v>
      </c>
      <c r="AE106" s="806">
        <f>AD106/($U$54+$U$56)</f>
        <v>1315.4906944953582</v>
      </c>
      <c r="AF106" s="807">
        <f>AD106*(4/7)</f>
        <v>16592729.870399809</v>
      </c>
      <c r="AG106" s="804">
        <f>AD106*3/7</f>
        <v>12444547.402799858</v>
      </c>
      <c r="AH106" s="806">
        <f>AF106/($U$54+$U$56)</f>
        <v>751.70896828306184</v>
      </c>
      <c r="AI106" s="806">
        <f>AG106/($U$54+$U$56)</f>
        <v>563.78172621229646</v>
      </c>
      <c r="AJ106" s="811">
        <f>AD106/4.345</f>
        <v>6682917.6693209819</v>
      </c>
      <c r="AK106" s="812">
        <f>AJ106/($U$54+$U$56)</f>
        <v>302.75965350871309</v>
      </c>
      <c r="AL106" s="811">
        <f>AJ106*4/7</f>
        <v>3818810.0967548466</v>
      </c>
      <c r="AM106" s="811">
        <f>AJ106*3/7</f>
        <v>2864107.5725661353</v>
      </c>
      <c r="AN106" s="813">
        <f>AL106/($U$54+$U$56)</f>
        <v>173.00551629069318</v>
      </c>
      <c r="AO106" s="813">
        <f>AM106/($U$54+$U$56)</f>
        <v>129.75413721801991</v>
      </c>
      <c r="AP106" s="154">
        <f>AJ106/7</f>
        <v>954702.52418871166</v>
      </c>
      <c r="AQ106" s="120">
        <f>AP106/($U$54+$U$56)</f>
        <v>43.251379072673295</v>
      </c>
      <c r="AR106" s="430">
        <f>AL106/4</f>
        <v>954702.52418871166</v>
      </c>
      <c r="AS106" s="820">
        <f>AM106/3</f>
        <v>954702.52418871177</v>
      </c>
      <c r="AT106" s="120">
        <f>AR106/($U$54+$U$56)</f>
        <v>43.251379072673295</v>
      </c>
      <c r="AU106" s="120">
        <f>AS106/($U$54+$U$56)</f>
        <v>43.251379072673302</v>
      </c>
    </row>
    <row r="107" spans="2:47" x14ac:dyDescent="0.25">
      <c r="B107" s="1168"/>
      <c r="C107" s="464" t="s">
        <v>203</v>
      </c>
      <c r="D107" s="426" t="s">
        <v>1824</v>
      </c>
      <c r="E107" s="152">
        <f>'3. PRECIOS Y COSTOS'!R1800</f>
        <v>16785.293308406344</v>
      </c>
      <c r="F107" s="152">
        <f t="shared" si="24"/>
        <v>17339.207987583752</v>
      </c>
      <c r="G107" s="152">
        <f t="shared" si="25"/>
        <v>17876.723435198848</v>
      </c>
      <c r="H107" s="152">
        <f t="shared" si="26"/>
        <v>18430.90186169001</v>
      </c>
      <c r="I107" s="437">
        <f t="shared" si="27"/>
        <v>19039.121623125779</v>
      </c>
      <c r="J107" s="137"/>
      <c r="P107" s="683" t="s">
        <v>1959</v>
      </c>
      <c r="Q107" s="730">
        <f>Q98*0.578703704</f>
        <v>1000733295.0119505</v>
      </c>
      <c r="R107" s="625">
        <f>Q107*(1+R106)</f>
        <v>1033757493.7473447</v>
      </c>
      <c r="S107" s="625">
        <f>R107*(1+S106)</f>
        <v>1065803976.0535123</v>
      </c>
      <c r="T107" s="625">
        <f>S107*(1+T106)</f>
        <v>1098843899.3111711</v>
      </c>
      <c r="U107" s="625">
        <f>T107*(1+U106)</f>
        <v>1135105747.9884396</v>
      </c>
      <c r="W107" s="830"/>
      <c r="X107" s="836" t="s">
        <v>337</v>
      </c>
      <c r="Y107" s="836">
        <f>Y105+Y106</f>
        <v>52996.782682762918</v>
      </c>
      <c r="Z107" s="1154" t="s">
        <v>337</v>
      </c>
      <c r="AA107" s="1154"/>
      <c r="AB107" s="836">
        <f>AB105+AB106</f>
        <v>30283.87581872167</v>
      </c>
      <c r="AC107" s="836">
        <f>AC105+AC106</f>
        <v>22712.906864041252</v>
      </c>
      <c r="AD107" s="809" t="s">
        <v>337</v>
      </c>
      <c r="AE107" s="809">
        <f>AE105+AE106</f>
        <v>4416.3985568969092</v>
      </c>
      <c r="AF107" s="1155" t="s">
        <v>337</v>
      </c>
      <c r="AG107" s="1155"/>
      <c r="AH107" s="809">
        <f>AH105+AH106</f>
        <v>2523.6563182268055</v>
      </c>
      <c r="AI107" s="809">
        <f>AI105+AI106</f>
        <v>1892.7422386701044</v>
      </c>
      <c r="AJ107" s="814" t="s">
        <v>337</v>
      </c>
      <c r="AK107" s="814">
        <f>AK105+AK106</f>
        <v>1016.4323491132129</v>
      </c>
      <c r="AL107" s="1156" t="s">
        <v>337</v>
      </c>
      <c r="AM107" s="1156"/>
      <c r="AN107" s="815">
        <f>AN105+AN106</f>
        <v>580.81848520755022</v>
      </c>
      <c r="AO107" s="815">
        <f>AO105+AO106</f>
        <v>435.6138639056627</v>
      </c>
      <c r="AP107" s="822" t="s">
        <v>337</v>
      </c>
      <c r="AQ107" s="822">
        <f>AQ105+AQ106</f>
        <v>145.20462130188756</v>
      </c>
      <c r="AR107" s="1157" t="s">
        <v>337</v>
      </c>
      <c r="AS107" s="1157"/>
      <c r="AT107" s="822">
        <f>AT105+AT106</f>
        <v>145.20462130188756</v>
      </c>
      <c r="AU107" s="822">
        <f>AU105+AU106</f>
        <v>145.20462130188756</v>
      </c>
    </row>
    <row r="108" spans="2:47" x14ac:dyDescent="0.25">
      <c r="B108" s="1168"/>
      <c r="C108" s="464" t="s">
        <v>206</v>
      </c>
      <c r="D108" s="426" t="s">
        <v>1824</v>
      </c>
      <c r="E108" s="152">
        <f>'3. PRECIOS Y COSTOS'!R1823</f>
        <v>10976.137468406341</v>
      </c>
      <c r="F108" s="152">
        <f t="shared" si="24"/>
        <v>11338.350004863749</v>
      </c>
      <c r="G108" s="152">
        <f t="shared" si="25"/>
        <v>11689.838855014525</v>
      </c>
      <c r="H108" s="152">
        <f t="shared" si="26"/>
        <v>12052.223859519974</v>
      </c>
      <c r="I108" s="437">
        <f t="shared" si="27"/>
        <v>12449.947246884132</v>
      </c>
      <c r="J108" s="137"/>
      <c r="P108" s="685" t="s">
        <v>2222</v>
      </c>
      <c r="Q108" s="730">
        <f>Q98*Q109</f>
        <v>796425707.4796356</v>
      </c>
      <c r="R108" s="625">
        <f>Q108*(1+R106)</f>
        <v>822707755.82646346</v>
      </c>
      <c r="S108" s="625">
        <f>R108*(1+S106)</f>
        <v>848211696.25708377</v>
      </c>
      <c r="T108" s="625">
        <f>S108*(1+T106)</f>
        <v>874506258.84105325</v>
      </c>
      <c r="U108" s="625">
        <f>T108*(1+U106)</f>
        <v>903364965.38280797</v>
      </c>
      <c r="W108" s="830"/>
      <c r="X108" s="836" t="s">
        <v>2186</v>
      </c>
      <c r="Y108" s="836">
        <f>Y107/92367.3874285714</f>
        <v>0.57376076295051481</v>
      </c>
      <c r="Z108" s="1154" t="s">
        <v>2186</v>
      </c>
      <c r="AA108" s="1154"/>
      <c r="AB108" s="836">
        <f>AB107/92367.3874285714</f>
        <v>0.32786329311457996</v>
      </c>
      <c r="AC108" s="836">
        <f>AC107/92367.3874285714</f>
        <v>0.24589746983593494</v>
      </c>
      <c r="AD108" s="809" t="s">
        <v>2186</v>
      </c>
      <c r="AE108" s="809">
        <f>AE107/7697.2822857143</f>
        <v>0.57376076295051348</v>
      </c>
      <c r="AF108" s="1155" t="s">
        <v>2186</v>
      </c>
      <c r="AG108" s="1155"/>
      <c r="AH108" s="809">
        <f>AH107/7697.2822857143</f>
        <v>0.32786329311457918</v>
      </c>
      <c r="AI108" s="809">
        <f>AI107/7697.2822857143</f>
        <v>0.24589746983593441</v>
      </c>
      <c r="AJ108" s="816" t="s">
        <v>2182</v>
      </c>
      <c r="AK108" s="817">
        <f>AK107/1771.42857142857</f>
        <v>0.57379245514455612</v>
      </c>
      <c r="AL108" s="1156" t="s">
        <v>2186</v>
      </c>
      <c r="AM108" s="1156"/>
      <c r="AN108" s="815">
        <f>AN107/1771.42857142857</f>
        <v>0.32788140293974638</v>
      </c>
      <c r="AO108" s="815">
        <f>AO107/1771.42857142857</f>
        <v>0.2459110522048098</v>
      </c>
      <c r="AP108" s="823" t="s">
        <v>2182</v>
      </c>
      <c r="AQ108" s="822"/>
      <c r="AR108" s="1157" t="s">
        <v>2186</v>
      </c>
      <c r="AS108" s="1157"/>
      <c r="AT108" s="822">
        <f>AT107/228.571428571429</f>
        <v>0.6352702181957568</v>
      </c>
      <c r="AU108" s="822">
        <f>AU107/285.714285714286</f>
        <v>0.50821617455660595</v>
      </c>
    </row>
    <row r="109" spans="2:47" x14ac:dyDescent="0.25">
      <c r="B109" s="1168"/>
      <c r="C109" s="464" t="s">
        <v>659</v>
      </c>
      <c r="D109" s="426" t="s">
        <v>1824</v>
      </c>
      <c r="E109" s="152">
        <f>'3. PRECIOS Y COSTOS'!R1846</f>
        <v>13456.059388406338</v>
      </c>
      <c r="F109" s="152">
        <f t="shared" si="24"/>
        <v>13900.109348223747</v>
      </c>
      <c r="G109" s="152">
        <f t="shared" si="25"/>
        <v>14331.012738018682</v>
      </c>
      <c r="H109" s="152">
        <f t="shared" si="26"/>
        <v>14775.274132897261</v>
      </c>
      <c r="I109" s="437">
        <f t="shared" si="27"/>
        <v>15262.858179282868</v>
      </c>
      <c r="J109" s="137"/>
      <c r="P109" s="692" t="s">
        <v>2223</v>
      </c>
      <c r="Q109" s="609">
        <f>'4. COSTOS MO-CIF'!AD77</f>
        <v>0.46055678288767415</v>
      </c>
      <c r="R109" s="625"/>
      <c r="S109" s="127"/>
      <c r="T109" s="127"/>
      <c r="U109" s="127"/>
    </row>
    <row r="110" spans="2:47" x14ac:dyDescent="0.25">
      <c r="B110" s="1168"/>
      <c r="C110" s="464" t="s">
        <v>990</v>
      </c>
      <c r="D110" s="426" t="s">
        <v>1824</v>
      </c>
      <c r="E110" s="152">
        <f>'3. PRECIOS Y COSTOS'!R1869</f>
        <v>13878.659068406341</v>
      </c>
      <c r="F110" s="152">
        <f t="shared" si="24"/>
        <v>14336.65481766375</v>
      </c>
      <c r="G110" s="152">
        <f t="shared" si="25"/>
        <v>14781.091117011325</v>
      </c>
      <c r="H110" s="152">
        <f t="shared" si="26"/>
        <v>15239.304941638675</v>
      </c>
      <c r="I110" s="437">
        <f t="shared" si="27"/>
        <v>15742.20200471275</v>
      </c>
      <c r="J110" s="137"/>
      <c r="P110" s="692" t="s">
        <v>2323</v>
      </c>
      <c r="Q110" s="783">
        <f>Q71*0.578703704</f>
        <v>937387079.19598746</v>
      </c>
      <c r="R110" s="625">
        <f>Q110*(1+R106)</f>
        <v>968320852.80945492</v>
      </c>
      <c r="S110" s="625">
        <f t="shared" ref="S110:U110" si="28">R110*(1+S106)</f>
        <v>998338799.24654794</v>
      </c>
      <c r="T110" s="625">
        <f t="shared" si="28"/>
        <v>1029287302.0231909</v>
      </c>
      <c r="U110" s="625">
        <f t="shared" si="28"/>
        <v>1063253782.989956</v>
      </c>
    </row>
    <row r="111" spans="2:47" x14ac:dyDescent="0.25">
      <c r="B111" s="1168"/>
      <c r="C111" s="464" t="s">
        <v>994</v>
      </c>
      <c r="D111" s="426" t="s">
        <v>1824</v>
      </c>
      <c r="E111" s="152">
        <f>'3. PRECIOS Y COSTOS'!R1892</f>
        <v>12697.018108406341</v>
      </c>
      <c r="F111" s="152">
        <f t="shared" si="24"/>
        <v>13116.019705983748</v>
      </c>
      <c r="G111" s="152">
        <f t="shared" si="25"/>
        <v>13522.616316869244</v>
      </c>
      <c r="H111" s="152">
        <f t="shared" si="26"/>
        <v>13941.817422692189</v>
      </c>
      <c r="I111" s="437">
        <f t="shared" si="27"/>
        <v>14401.897397641031</v>
      </c>
      <c r="J111" s="137"/>
      <c r="P111" s="692" t="s">
        <v>2320</v>
      </c>
      <c r="Q111" s="730">
        <f>Q109*Q71</f>
        <v>746012120.76392269</v>
      </c>
      <c r="R111" s="625">
        <f>Q111*(1+R106)</f>
        <v>770630520.74913204</v>
      </c>
      <c r="S111" s="625">
        <f>R111*(1+S106)</f>
        <v>794520066.89235508</v>
      </c>
      <c r="T111" s="625">
        <f>S111*(1+T106)</f>
        <v>819150188.96601808</v>
      </c>
      <c r="U111" s="625">
        <f>T111*(1+U106)</f>
        <v>846182145.20189667</v>
      </c>
    </row>
    <row r="112" spans="2:47" x14ac:dyDescent="0.25">
      <c r="B112" s="1168"/>
      <c r="C112" s="464" t="s">
        <v>998</v>
      </c>
      <c r="D112" s="426" t="s">
        <v>1824</v>
      </c>
      <c r="E112" s="152">
        <f>'3. PRECIOS Y COSTOS'!R1915</f>
        <v>14218.729468406342</v>
      </c>
      <c r="F112" s="152">
        <f t="shared" si="24"/>
        <v>14687.94754086375</v>
      </c>
      <c r="G112" s="152">
        <f t="shared" si="25"/>
        <v>15143.273914630525</v>
      </c>
      <c r="H112" s="152">
        <f t="shared" si="26"/>
        <v>15612.71540598407</v>
      </c>
      <c r="I112" s="437">
        <f t="shared" si="27"/>
        <v>16127.935014381543</v>
      </c>
      <c r="J112" s="137"/>
      <c r="P112" s="30"/>
      <c r="Q112" s="104"/>
      <c r="R112" s="288"/>
      <c r="AD112" s="286"/>
    </row>
    <row r="113" spans="2:18" x14ac:dyDescent="0.25">
      <c r="B113" s="1168"/>
      <c r="C113" s="464" t="s">
        <v>1002</v>
      </c>
      <c r="D113" s="426" t="s">
        <v>1824</v>
      </c>
      <c r="E113" s="152">
        <f>'3. PRECIOS Y COSTOS'!R1938</f>
        <v>14317.53650840634</v>
      </c>
      <c r="F113" s="152">
        <f t="shared" si="24"/>
        <v>14790.015213183748</v>
      </c>
      <c r="G113" s="152">
        <f t="shared" si="25"/>
        <v>15248.505684792442</v>
      </c>
      <c r="H113" s="152">
        <f t="shared" si="26"/>
        <v>15721.209361021007</v>
      </c>
      <c r="I113" s="437">
        <f t="shared" si="27"/>
        <v>16240.009269934699</v>
      </c>
      <c r="J113" s="137"/>
    </row>
    <row r="114" spans="2:18" x14ac:dyDescent="0.25">
      <c r="B114" s="1168"/>
      <c r="C114" s="464" t="s">
        <v>190</v>
      </c>
      <c r="D114" s="426" t="s">
        <v>1824</v>
      </c>
      <c r="E114" s="152">
        <f>'3. PRECIOS Y COSTOS'!R1963</f>
        <v>19293.174268406339</v>
      </c>
      <c r="F114" s="152">
        <f t="shared" si="24"/>
        <v>19929.849019263747</v>
      </c>
      <c r="G114" s="152">
        <f t="shared" si="25"/>
        <v>20547.674338860921</v>
      </c>
      <c r="H114" s="152">
        <f t="shared" si="26"/>
        <v>21184.652243365606</v>
      </c>
      <c r="I114" s="437">
        <f t="shared" si="27"/>
        <v>21883.745767396671</v>
      </c>
      <c r="J114" s="137"/>
    </row>
    <row r="115" spans="2:18" x14ac:dyDescent="0.25">
      <c r="B115" s="1168"/>
      <c r="C115" s="464" t="s">
        <v>210</v>
      </c>
      <c r="D115" s="426" t="s">
        <v>1824</v>
      </c>
      <c r="E115" s="152">
        <f>'3. PRECIOS Y COSTOS'!R1986</f>
        <v>17642.554108406341</v>
      </c>
      <c r="F115" s="152">
        <f t="shared" si="24"/>
        <v>18224.75839398375</v>
      </c>
      <c r="G115" s="152">
        <f t="shared" si="25"/>
        <v>18789.725904197243</v>
      </c>
      <c r="H115" s="152">
        <f t="shared" si="26"/>
        <v>19372.207407227357</v>
      </c>
      <c r="I115" s="437">
        <f t="shared" si="27"/>
        <v>20011.490251665859</v>
      </c>
      <c r="J115" s="137"/>
    </row>
    <row r="116" spans="2:18" x14ac:dyDescent="0.25">
      <c r="B116" s="1168"/>
      <c r="C116" s="464" t="s">
        <v>333</v>
      </c>
      <c r="D116" s="426" t="s">
        <v>1824</v>
      </c>
      <c r="E116" s="152">
        <f>'3. PRECIOS Y COSTOS'!R2010</f>
        <v>9684.6475484063412</v>
      </c>
      <c r="F116" s="152">
        <f t="shared" si="24"/>
        <v>10004.24091750375</v>
      </c>
      <c r="G116" s="152">
        <f t="shared" si="25"/>
        <v>10314.372385946366</v>
      </c>
      <c r="H116" s="152">
        <f t="shared" si="26"/>
        <v>10634.117929910703</v>
      </c>
      <c r="I116" s="437">
        <f t="shared" si="27"/>
        <v>10985.043821597756</v>
      </c>
      <c r="J116" s="137"/>
    </row>
    <row r="117" spans="2:18" x14ac:dyDescent="0.25">
      <c r="B117" s="1168"/>
      <c r="C117" s="464" t="s">
        <v>663</v>
      </c>
      <c r="D117" s="426" t="s">
        <v>1824</v>
      </c>
      <c r="E117" s="152">
        <f>'3. PRECIOS Y COSTOS'!R2033</f>
        <v>9526.4145884063437</v>
      </c>
      <c r="F117" s="152">
        <f t="shared" si="24"/>
        <v>9840.7862698237514</v>
      </c>
      <c r="G117" s="152">
        <f t="shared" si="25"/>
        <v>10145.850644188287</v>
      </c>
      <c r="H117" s="152">
        <f t="shared" si="26"/>
        <v>10460.372014158123</v>
      </c>
      <c r="I117" s="437">
        <f t="shared" si="27"/>
        <v>10805.564290625342</v>
      </c>
      <c r="J117" s="137"/>
    </row>
    <row r="118" spans="2:18" x14ac:dyDescent="0.25">
      <c r="B118" s="1168"/>
      <c r="C118" s="464" t="s">
        <v>213</v>
      </c>
      <c r="D118" s="426" t="s">
        <v>1824</v>
      </c>
      <c r="E118" s="152">
        <f>'3. PRECIOS Y COSTOS'!R2056</f>
        <v>11006.550268406343</v>
      </c>
      <c r="F118" s="152">
        <f t="shared" si="24"/>
        <v>11369.766427263752</v>
      </c>
      <c r="G118" s="152">
        <f t="shared" si="25"/>
        <v>11722.229186508928</v>
      </c>
      <c r="H118" s="152">
        <f t="shared" si="26"/>
        <v>12085.618291290704</v>
      </c>
      <c r="I118" s="437">
        <f t="shared" si="27"/>
        <v>12484.443694903297</v>
      </c>
      <c r="J118" s="137"/>
    </row>
    <row r="119" spans="2:18" x14ac:dyDescent="0.25">
      <c r="B119" s="1168"/>
      <c r="C119" s="464" t="s">
        <v>216</v>
      </c>
      <c r="D119" s="426" t="s">
        <v>1824</v>
      </c>
      <c r="E119" s="152">
        <f>'3. PRECIOS Y COSTOS'!R2080</f>
        <v>22119.138556406342</v>
      </c>
      <c r="F119" s="152">
        <f t="shared" si="24"/>
        <v>22849.070128767751</v>
      </c>
      <c r="G119" s="152">
        <f t="shared" si="25"/>
        <v>23557.391302759548</v>
      </c>
      <c r="H119" s="152">
        <f t="shared" si="26"/>
        <v>24287.670433145093</v>
      </c>
      <c r="I119" s="437">
        <f t="shared" si="27"/>
        <v>25089.163557438878</v>
      </c>
      <c r="J119" s="137"/>
    </row>
    <row r="120" spans="2:18" x14ac:dyDescent="0.25">
      <c r="B120" s="1168"/>
      <c r="C120" s="464" t="s">
        <v>218</v>
      </c>
      <c r="D120" s="426" t="s">
        <v>1824</v>
      </c>
      <c r="E120" s="152">
        <f>'3. PRECIOS Y COSTOS'!R2103</f>
        <v>12716.04338840634</v>
      </c>
      <c r="F120" s="152">
        <f t="shared" si="24"/>
        <v>13135.672820223748</v>
      </c>
      <c r="G120" s="152">
        <f t="shared" si="25"/>
        <v>13542.878677650684</v>
      </c>
      <c r="H120" s="152">
        <f t="shared" si="26"/>
        <v>13962.707916657853</v>
      </c>
      <c r="I120" s="437">
        <f t="shared" si="27"/>
        <v>14423.477277907561</v>
      </c>
      <c r="J120" s="137"/>
    </row>
    <row r="121" spans="2:18" x14ac:dyDescent="0.25">
      <c r="B121" s="1168"/>
      <c r="C121" s="464" t="s">
        <v>221</v>
      </c>
      <c r="D121" s="426" t="s">
        <v>1824</v>
      </c>
      <c r="E121" s="152">
        <f>'3. PRECIOS Y COSTOS'!R2127</f>
        <v>21848.592508406346</v>
      </c>
      <c r="F121" s="152">
        <f t="shared" si="24"/>
        <v>22569.596061183755</v>
      </c>
      <c r="G121" s="152">
        <f t="shared" si="25"/>
        <v>23269.253539080448</v>
      </c>
      <c r="H121" s="152">
        <f t="shared" si="26"/>
        <v>23990.600398791939</v>
      </c>
      <c r="I121" s="437">
        <f t="shared" si="27"/>
        <v>24782.290211952073</v>
      </c>
      <c r="J121" s="137"/>
      <c r="P121" s="30"/>
      <c r="Q121" s="104"/>
      <c r="R121" s="288"/>
    </row>
    <row r="122" spans="2:18" x14ac:dyDescent="0.25">
      <c r="B122" s="1168"/>
      <c r="C122" s="464" t="s">
        <v>645</v>
      </c>
      <c r="D122" s="426" t="s">
        <v>1824</v>
      </c>
      <c r="E122" s="152">
        <f>'3. PRECIOS Y COSTOS'!R2150</f>
        <v>17619.416188406347</v>
      </c>
      <c r="F122" s="152">
        <f t="shared" si="24"/>
        <v>18200.856922623756</v>
      </c>
      <c r="G122" s="152">
        <f t="shared" si="25"/>
        <v>18765.083487225093</v>
      </c>
      <c r="H122" s="152">
        <f t="shared" si="26"/>
        <v>19346.801075329069</v>
      </c>
      <c r="I122" s="437">
        <f t="shared" si="27"/>
        <v>19985.245510814926</v>
      </c>
      <c r="J122" s="137"/>
      <c r="P122" s="30"/>
      <c r="Q122" s="104"/>
      <c r="R122" s="288"/>
    </row>
    <row r="123" spans="2:18" ht="16.5" thickBot="1" x14ac:dyDescent="0.3">
      <c r="B123" s="1169"/>
      <c r="C123" s="465" t="s">
        <v>667</v>
      </c>
      <c r="D123" s="428" t="s">
        <v>1824</v>
      </c>
      <c r="E123" s="438">
        <f>'3. PRECIOS Y COSTOS'!R2173</f>
        <v>11047.598908406342</v>
      </c>
      <c r="F123" s="438">
        <f t="shared" si="24"/>
        <v>11412.16967238375</v>
      </c>
      <c r="G123" s="438">
        <f t="shared" si="25"/>
        <v>11765.946932227645</v>
      </c>
      <c r="H123" s="438">
        <f t="shared" si="26"/>
        <v>12130.691287126701</v>
      </c>
      <c r="I123" s="439">
        <f t="shared" si="27"/>
        <v>12531.004099601882</v>
      </c>
      <c r="J123" s="137"/>
      <c r="P123" s="30"/>
      <c r="Q123" s="104"/>
      <c r="R123" s="288"/>
    </row>
    <row r="124" spans="2:18" ht="15.75" customHeight="1" x14ac:dyDescent="0.25">
      <c r="B124" s="1164" t="s">
        <v>335</v>
      </c>
      <c r="C124" s="497" t="s">
        <v>227</v>
      </c>
      <c r="D124" s="284" t="s">
        <v>1824</v>
      </c>
      <c r="E124" s="440">
        <f>'3. PRECIOS Y COSTOS'!R2507</f>
        <v>15878.247710244263</v>
      </c>
      <c r="F124" s="440">
        <f t="shared" si="24"/>
        <v>16402.229884682321</v>
      </c>
      <c r="G124" s="440">
        <f t="shared" si="25"/>
        <v>16910.699011107474</v>
      </c>
      <c r="H124" s="441">
        <f t="shared" si="26"/>
        <v>17434.930680451806</v>
      </c>
      <c r="I124" s="442">
        <f t="shared" si="27"/>
        <v>18010.283392906713</v>
      </c>
      <c r="J124" s="137"/>
      <c r="P124" s="30"/>
      <c r="Q124" s="104"/>
      <c r="R124" s="288"/>
    </row>
    <row r="125" spans="2:18" x14ac:dyDescent="0.25">
      <c r="B125" s="1165"/>
      <c r="C125" s="498" t="s">
        <v>230</v>
      </c>
      <c r="D125" s="393" t="s">
        <v>1824</v>
      </c>
      <c r="E125" s="154">
        <f>'3. PRECIOS Y COSTOS'!R2530</f>
        <v>9120.3161902442625</v>
      </c>
      <c r="F125" s="154">
        <f t="shared" si="24"/>
        <v>9421.2866245223231</v>
      </c>
      <c r="G125" s="154">
        <f t="shared" si="25"/>
        <v>9713.3465098825145</v>
      </c>
      <c r="H125" s="430">
        <f t="shared" si="26"/>
        <v>10014.460251688872</v>
      </c>
      <c r="I125" s="443">
        <f t="shared" si="27"/>
        <v>10344.937439994605</v>
      </c>
      <c r="J125" s="137"/>
      <c r="P125" s="30"/>
      <c r="Q125" s="104"/>
      <c r="R125" s="288"/>
    </row>
    <row r="126" spans="2:18" x14ac:dyDescent="0.25">
      <c r="B126" s="1165"/>
      <c r="C126" s="498" t="s">
        <v>233</v>
      </c>
      <c r="D126" s="393" t="s">
        <v>1824</v>
      </c>
      <c r="E126" s="154">
        <f>'3. PRECIOS Y COSTOS'!R2553</f>
        <v>8794.8992302442621</v>
      </c>
      <c r="F126" s="154">
        <f t="shared" si="24"/>
        <v>9085.1309048423227</v>
      </c>
      <c r="G126" s="154">
        <f t="shared" si="25"/>
        <v>9366.7699628924347</v>
      </c>
      <c r="H126" s="430">
        <f t="shared" si="26"/>
        <v>9657.139831742099</v>
      </c>
      <c r="I126" s="443">
        <f t="shared" si="27"/>
        <v>9975.8254461895867</v>
      </c>
      <c r="J126" s="137"/>
      <c r="P126" s="30"/>
      <c r="Q126" s="104"/>
      <c r="R126" s="288"/>
    </row>
    <row r="127" spans="2:18" x14ac:dyDescent="0.25">
      <c r="B127" s="1165"/>
      <c r="C127" s="498" t="s">
        <v>237</v>
      </c>
      <c r="D127" s="484" t="s">
        <v>1824</v>
      </c>
      <c r="E127" s="154">
        <f>'3. PRECIOS Y COSTOS'!R2575</f>
        <v>10128.154910244264</v>
      </c>
      <c r="F127" s="154">
        <f t="shared" si="24"/>
        <v>10462.384022282324</v>
      </c>
      <c r="G127" s="154">
        <f t="shared" si="25"/>
        <v>10786.717926973075</v>
      </c>
      <c r="H127" s="154">
        <f t="shared" si="26"/>
        <v>11121.10618270924</v>
      </c>
      <c r="I127" s="443">
        <f t="shared" si="27"/>
        <v>11488.102686738644</v>
      </c>
      <c r="J127" s="137"/>
      <c r="P127" s="30"/>
      <c r="Q127" s="104"/>
      <c r="R127" s="288"/>
    </row>
    <row r="128" spans="2:18" x14ac:dyDescent="0.25">
      <c r="B128" s="1165"/>
      <c r="C128" s="498" t="s">
        <v>1294</v>
      </c>
      <c r="D128" s="484" t="s">
        <v>1824</v>
      </c>
      <c r="E128" s="154">
        <f>'3. PRECIOS Y COSTOS'!R2599</f>
        <v>12015.490161444261</v>
      </c>
      <c r="F128" s="154">
        <f t="shared" si="24"/>
        <v>12412.00133677192</v>
      </c>
      <c r="G128" s="154">
        <f t="shared" si="25"/>
        <v>12796.773378211848</v>
      </c>
      <c r="H128" s="154">
        <f t="shared" si="26"/>
        <v>13193.473352936415</v>
      </c>
      <c r="I128" s="443">
        <f t="shared" si="27"/>
        <v>13628.857973583315</v>
      </c>
      <c r="J128" s="137"/>
      <c r="P128" s="30"/>
      <c r="Q128" s="104"/>
      <c r="R128" s="288"/>
    </row>
    <row r="129" spans="2:18" x14ac:dyDescent="0.25">
      <c r="B129" s="1165"/>
      <c r="C129" s="498" t="s">
        <v>1333</v>
      </c>
      <c r="D129" s="484" t="s">
        <v>1824</v>
      </c>
      <c r="E129" s="154">
        <f>'3. PRECIOS Y COSTOS'!R2626</f>
        <v>9695.7920302442635</v>
      </c>
      <c r="F129" s="154">
        <f t="shared" si="24"/>
        <v>10015.753167242323</v>
      </c>
      <c r="G129" s="154">
        <f t="shared" si="25"/>
        <v>10326.241515426835</v>
      </c>
      <c r="H129" s="154">
        <f t="shared" si="26"/>
        <v>10646.355002405066</v>
      </c>
      <c r="I129" s="443">
        <f t="shared" si="27"/>
        <v>10997.684717484432</v>
      </c>
      <c r="J129" s="137"/>
      <c r="P129" s="30"/>
      <c r="Q129" s="104"/>
      <c r="R129" s="288"/>
    </row>
    <row r="130" spans="2:18" ht="16.5" thickBot="1" x14ac:dyDescent="0.3">
      <c r="B130" s="1165"/>
      <c r="C130" s="500" t="s">
        <v>1333</v>
      </c>
      <c r="D130" s="253" t="s">
        <v>1824</v>
      </c>
      <c r="E130" s="444">
        <f>'3. PRECIOS Y COSTOS'!U2626</f>
        <v>10404.012830244263</v>
      </c>
      <c r="F130" s="444">
        <f t="shared" si="24"/>
        <v>10747.345253642323</v>
      </c>
      <c r="G130" s="444">
        <f t="shared" si="25"/>
        <v>11080.512956505234</v>
      </c>
      <c r="H130" s="444">
        <f t="shared" si="26"/>
        <v>11424.008858156894</v>
      </c>
      <c r="I130" s="445">
        <f t="shared" si="27"/>
        <v>11801.001150476071</v>
      </c>
      <c r="J130" s="137"/>
      <c r="P130" s="30"/>
      <c r="Q130" s="104"/>
      <c r="R130" s="288"/>
    </row>
    <row r="131" spans="2:18" ht="15.75" customHeight="1" x14ac:dyDescent="0.25">
      <c r="B131" s="1165"/>
      <c r="C131" s="497" t="s">
        <v>227</v>
      </c>
      <c r="D131" s="284" t="s">
        <v>1824</v>
      </c>
      <c r="E131" s="440">
        <f>'3. PRECIOS Y COSTOS'!AB2507</f>
        <v>17513.358465444264</v>
      </c>
      <c r="F131" s="440">
        <f t="shared" ref="F131:F137" si="29">E131*(1+$F$34)</f>
        <v>18091.299294803925</v>
      </c>
      <c r="G131" s="440">
        <f t="shared" ref="G131:G137" si="30">F131*(1+$G$34)</f>
        <v>18652.129572942846</v>
      </c>
      <c r="H131" s="441">
        <f t="shared" ref="H131:H137" si="31">G131*(1+$H$34)</f>
        <v>19230.345589704073</v>
      </c>
      <c r="I131" s="442">
        <f t="shared" ref="I131:I137" si="32">H131*(1+$I$34)</f>
        <v>19864.946994164307</v>
      </c>
      <c r="J131" s="137"/>
      <c r="P131" s="30"/>
      <c r="Q131" s="104"/>
      <c r="R131" s="288"/>
    </row>
    <row r="132" spans="2:18" x14ac:dyDescent="0.25">
      <c r="B132" s="1165"/>
      <c r="C132" s="498" t="s">
        <v>230</v>
      </c>
      <c r="D132" s="393" t="s">
        <v>1824</v>
      </c>
      <c r="E132" s="154">
        <f>'3. PRECIOS Y COSTOS'!AB2530</f>
        <v>10086.055991844261</v>
      </c>
      <c r="F132" s="154">
        <f t="shared" si="29"/>
        <v>10418.895839575121</v>
      </c>
      <c r="G132" s="154">
        <f t="shared" si="30"/>
        <v>10741.881610601949</v>
      </c>
      <c r="H132" s="430">
        <f t="shared" si="31"/>
        <v>11074.879940530609</v>
      </c>
      <c r="I132" s="443">
        <f t="shared" si="32"/>
        <v>11440.350978568118</v>
      </c>
      <c r="J132" s="137"/>
      <c r="P132" s="30"/>
      <c r="Q132" s="104"/>
      <c r="R132" s="288"/>
    </row>
    <row r="133" spans="2:18" x14ac:dyDescent="0.25">
      <c r="B133" s="1165"/>
      <c r="C133" s="498" t="s">
        <v>233</v>
      </c>
      <c r="D133" s="484" t="s">
        <v>1824</v>
      </c>
      <c r="E133" s="154">
        <f>'3. PRECIOS Y COSTOS'!AB2553</f>
        <v>8723.5328302442631</v>
      </c>
      <c r="F133" s="154">
        <f t="shared" si="29"/>
        <v>9011.4094136423228</v>
      </c>
      <c r="G133" s="154">
        <f t="shared" si="30"/>
        <v>9290.7631054652338</v>
      </c>
      <c r="H133" s="154">
        <f t="shared" si="31"/>
        <v>9578.7767617346544</v>
      </c>
      <c r="I133" s="443">
        <f t="shared" si="32"/>
        <v>9894.876394871897</v>
      </c>
      <c r="J133" s="137"/>
      <c r="P133" s="30"/>
      <c r="Q133" s="104"/>
      <c r="R133" s="288"/>
    </row>
    <row r="134" spans="2:18" x14ac:dyDescent="0.25">
      <c r="B134" s="1165"/>
      <c r="C134" s="498" t="s">
        <v>237</v>
      </c>
      <c r="D134" s="484" t="s">
        <v>1824</v>
      </c>
      <c r="E134" s="154">
        <f>'3. PRECIOS Y COSTOS'!AB2575</f>
        <v>16780.643870244261</v>
      </c>
      <c r="F134" s="154">
        <f t="shared" si="29"/>
        <v>17334.40511796232</v>
      </c>
      <c r="G134" s="154">
        <f t="shared" si="30"/>
        <v>17871.771676619152</v>
      </c>
      <c r="H134" s="154">
        <f t="shared" si="31"/>
        <v>18425.796598594345</v>
      </c>
      <c r="I134" s="443">
        <f t="shared" si="32"/>
        <v>19033.847886347958</v>
      </c>
      <c r="J134" s="137"/>
      <c r="P134" s="30"/>
      <c r="Q134" s="104"/>
      <c r="R134" s="288"/>
    </row>
    <row r="135" spans="2:18" x14ac:dyDescent="0.25">
      <c r="B135" s="1165"/>
      <c r="C135" s="498" t="s">
        <v>1294</v>
      </c>
      <c r="D135" s="484" t="s">
        <v>1824</v>
      </c>
      <c r="E135" s="154">
        <f>'3. PRECIOS Y COSTOS'!AB2599</f>
        <v>9096.8981614442637</v>
      </c>
      <c r="F135" s="154">
        <f t="shared" si="29"/>
        <v>9397.0958007719237</v>
      </c>
      <c r="G135" s="154">
        <f t="shared" si="30"/>
        <v>9688.405770595853</v>
      </c>
      <c r="H135" s="154">
        <f t="shared" si="31"/>
        <v>9988.7463494843232</v>
      </c>
      <c r="I135" s="443">
        <f t="shared" si="32"/>
        <v>10318.374979017304</v>
      </c>
      <c r="J135" s="137"/>
      <c r="P135" s="30"/>
      <c r="Q135" s="104"/>
      <c r="R135" s="288"/>
    </row>
    <row r="136" spans="2:18" x14ac:dyDescent="0.25">
      <c r="B136" s="1165"/>
      <c r="C136" s="498" t="s">
        <v>1333</v>
      </c>
      <c r="D136" s="484" t="s">
        <v>1824</v>
      </c>
      <c r="E136" s="154">
        <f>'3. PRECIOS Y COSTOS'!AB2626</f>
        <v>10138.842590244261</v>
      </c>
      <c r="F136" s="154">
        <f t="shared" si="29"/>
        <v>10473.424395722321</v>
      </c>
      <c r="G136" s="154">
        <f t="shared" si="30"/>
        <v>10798.100551989712</v>
      </c>
      <c r="H136" s="154">
        <f t="shared" si="31"/>
        <v>11132.841669101392</v>
      </c>
      <c r="I136" s="443">
        <f t="shared" si="32"/>
        <v>11500.225444181737</v>
      </c>
      <c r="J136" s="137"/>
      <c r="P136" s="30"/>
      <c r="Q136" s="104"/>
      <c r="R136" s="288"/>
    </row>
    <row r="137" spans="2:18" ht="16.5" thickBot="1" x14ac:dyDescent="0.3">
      <c r="B137" s="1166"/>
      <c r="C137" s="499" t="s">
        <v>1333</v>
      </c>
      <c r="D137" s="285" t="s">
        <v>1824</v>
      </c>
      <c r="E137" s="494">
        <f>'3. PRECIOS Y COSTOS'!AE2626</f>
        <v>9799.6880302442623</v>
      </c>
      <c r="F137" s="494">
        <f t="shared" si="29"/>
        <v>10123.077735242323</v>
      </c>
      <c r="G137" s="494">
        <f t="shared" si="30"/>
        <v>10436.893145034834</v>
      </c>
      <c r="H137" s="495">
        <f t="shared" si="31"/>
        <v>10760.436832530913</v>
      </c>
      <c r="I137" s="496">
        <f t="shared" si="32"/>
        <v>11115.531248004432</v>
      </c>
      <c r="J137" s="137"/>
      <c r="P137" s="30"/>
      <c r="Q137" s="104"/>
      <c r="R137" s="288"/>
    </row>
    <row r="138" spans="2:18" x14ac:dyDescent="0.25">
      <c r="B138" s="1170" t="s">
        <v>937</v>
      </c>
      <c r="C138" s="604" t="s">
        <v>823</v>
      </c>
      <c r="D138" s="470" t="s">
        <v>1824</v>
      </c>
      <c r="E138" s="446">
        <f>'3. PRECIOS Y COSTOS'!R2652</f>
        <v>2339.6775446563361</v>
      </c>
      <c r="F138" s="446">
        <f t="shared" ref="F138:F156" si="33">E138*(1+$F$34)</f>
        <v>2416.8869036299948</v>
      </c>
      <c r="G138" s="446">
        <f t="shared" ref="G138:G156" si="34">F138*(1+$G$34)</f>
        <v>2491.8103976425245</v>
      </c>
      <c r="H138" s="447">
        <f t="shared" ref="H138:H156" si="35">G138*(1+$H$34)</f>
        <v>2569.0565199694424</v>
      </c>
      <c r="I138" s="448">
        <f t="shared" ref="I138:I156" si="36">H138*(1+$I$34)</f>
        <v>2653.8353851284337</v>
      </c>
      <c r="J138" s="137"/>
      <c r="P138" s="30"/>
      <c r="Q138" s="104"/>
      <c r="R138" s="288"/>
    </row>
    <row r="139" spans="2:18" x14ac:dyDescent="0.25">
      <c r="B139" s="1171"/>
      <c r="C139" s="605" t="s">
        <v>828</v>
      </c>
      <c r="D139" s="471" t="s">
        <v>1824</v>
      </c>
      <c r="E139" s="307">
        <f>'3. PRECIOS Y COSTOS'!R2676</f>
        <v>2094.2521238563359</v>
      </c>
      <c r="F139" s="307">
        <f t="shared" si="33"/>
        <v>2163.3624439435948</v>
      </c>
      <c r="G139" s="307">
        <f t="shared" si="34"/>
        <v>2230.4266797058463</v>
      </c>
      <c r="H139" s="431">
        <f t="shared" si="35"/>
        <v>2299.5699067767273</v>
      </c>
      <c r="I139" s="449">
        <f t="shared" si="36"/>
        <v>2375.455713700359</v>
      </c>
      <c r="J139" s="137"/>
      <c r="P139" s="30"/>
      <c r="Q139" s="104"/>
      <c r="R139" s="288"/>
    </row>
    <row r="140" spans="2:18" x14ac:dyDescent="0.25">
      <c r="B140" s="1171"/>
      <c r="C140" s="605" t="s">
        <v>831</v>
      </c>
      <c r="D140" s="471" t="s">
        <v>1824</v>
      </c>
      <c r="E140" s="307">
        <f>'3. PRECIOS Y COSTOS'!R2698</f>
        <v>2304.3321686563354</v>
      </c>
      <c r="F140" s="307">
        <f t="shared" si="33"/>
        <v>2380.3751302219944</v>
      </c>
      <c r="G140" s="307">
        <f t="shared" si="34"/>
        <v>2454.166759258876</v>
      </c>
      <c r="H140" s="431">
        <f t="shared" si="35"/>
        <v>2530.2459287959009</v>
      </c>
      <c r="I140" s="449">
        <f t="shared" si="36"/>
        <v>2613.7440444461654</v>
      </c>
      <c r="J140" s="137"/>
      <c r="P140" s="30"/>
      <c r="Q140" s="104"/>
      <c r="R140" s="288"/>
    </row>
    <row r="141" spans="2:18" x14ac:dyDescent="0.25">
      <c r="B141" s="1171"/>
      <c r="C141" s="605" t="s">
        <v>835</v>
      </c>
      <c r="D141" s="471" t="s">
        <v>1824</v>
      </c>
      <c r="E141" s="307">
        <f>'3. PRECIOS Y COSTOS'!R2722</f>
        <v>4790.7746966563345</v>
      </c>
      <c r="F141" s="307">
        <f t="shared" si="33"/>
        <v>4948.8702616459932</v>
      </c>
      <c r="G141" s="307">
        <f t="shared" si="34"/>
        <v>5102.2852397570186</v>
      </c>
      <c r="H141" s="431">
        <f t="shared" si="35"/>
        <v>5260.4560821894856</v>
      </c>
      <c r="I141" s="449">
        <f t="shared" si="36"/>
        <v>5434.0511329017381</v>
      </c>
      <c r="J141" s="137"/>
      <c r="P141" s="30"/>
      <c r="Q141" s="104"/>
      <c r="R141" s="288"/>
    </row>
    <row r="142" spans="2:18" x14ac:dyDescent="0.25">
      <c r="B142" s="1171"/>
      <c r="C142" s="605" t="s">
        <v>840</v>
      </c>
      <c r="D142" s="471" t="s">
        <v>1824</v>
      </c>
      <c r="E142" s="307">
        <f>'3. PRECIOS Y COSTOS'!R2743</f>
        <v>4876.9028822563359</v>
      </c>
      <c r="F142" s="307">
        <f t="shared" si="33"/>
        <v>5037.8406773707948</v>
      </c>
      <c r="G142" s="307">
        <f t="shared" si="34"/>
        <v>5194.0137383692891</v>
      </c>
      <c r="H142" s="431">
        <f t="shared" si="35"/>
        <v>5355.028164258737</v>
      </c>
      <c r="I142" s="449">
        <f t="shared" si="36"/>
        <v>5531.7440936792746</v>
      </c>
      <c r="J142" s="137"/>
      <c r="P142" s="30"/>
      <c r="Q142" s="104"/>
      <c r="R142" s="288"/>
    </row>
    <row r="143" spans="2:18" x14ac:dyDescent="0.25">
      <c r="B143" s="1171"/>
      <c r="C143" s="605" t="s">
        <v>843</v>
      </c>
      <c r="D143" s="471" t="s">
        <v>1824</v>
      </c>
      <c r="E143" s="307">
        <f>'3. PRECIOS Y COSTOS'!R2768</f>
        <v>1679.1650966563359</v>
      </c>
      <c r="F143" s="307">
        <f t="shared" si="33"/>
        <v>1734.5775448459949</v>
      </c>
      <c r="G143" s="307">
        <f t="shared" si="34"/>
        <v>1788.3494487362207</v>
      </c>
      <c r="H143" s="431">
        <f t="shared" si="35"/>
        <v>1843.7882816470433</v>
      </c>
      <c r="I143" s="449">
        <f t="shared" si="36"/>
        <v>1904.6332949413957</v>
      </c>
      <c r="J143" s="137"/>
      <c r="P143" s="30"/>
      <c r="Q143" s="104"/>
      <c r="R143" s="288"/>
    </row>
    <row r="144" spans="2:18" x14ac:dyDescent="0.25">
      <c r="B144" s="1171"/>
      <c r="C144" s="605" t="s">
        <v>847</v>
      </c>
      <c r="D144" s="471" t="s">
        <v>1824</v>
      </c>
      <c r="E144" s="307">
        <f>'3. PRECIOS Y COSTOS'!R2791</f>
        <v>1148.546754256336</v>
      </c>
      <c r="F144" s="307">
        <f t="shared" si="33"/>
        <v>1186.448797146795</v>
      </c>
      <c r="G144" s="307">
        <f t="shared" si="34"/>
        <v>1223.2287098583456</v>
      </c>
      <c r="H144" s="431">
        <f t="shared" si="35"/>
        <v>1261.1487998639543</v>
      </c>
      <c r="I144" s="449">
        <f t="shared" si="36"/>
        <v>1302.7667102594646</v>
      </c>
      <c r="J144" s="137"/>
      <c r="P144" s="30"/>
      <c r="Q144" s="104"/>
      <c r="R144" s="288"/>
    </row>
    <row r="145" spans="2:18" x14ac:dyDescent="0.25">
      <c r="B145" s="1171"/>
      <c r="C145" s="605" t="s">
        <v>850</v>
      </c>
      <c r="D145" s="471" t="s">
        <v>1824</v>
      </c>
      <c r="E145" s="307">
        <f>'3. PRECIOS Y COSTOS'!R2812</f>
        <v>2458.0956566563359</v>
      </c>
      <c r="F145" s="307">
        <f t="shared" si="33"/>
        <v>2539.2128133259948</v>
      </c>
      <c r="G145" s="307">
        <f t="shared" si="34"/>
        <v>2617.9284105391002</v>
      </c>
      <c r="H145" s="431">
        <f t="shared" si="35"/>
        <v>2699.084191265812</v>
      </c>
      <c r="I145" s="449">
        <f t="shared" si="36"/>
        <v>2788.1539695775837</v>
      </c>
      <c r="J145" s="137"/>
      <c r="P145" s="30"/>
      <c r="Q145" s="104"/>
      <c r="R145" s="288"/>
    </row>
    <row r="146" spans="2:18" x14ac:dyDescent="0.25">
      <c r="B146" s="1171"/>
      <c r="C146" s="605" t="s">
        <v>854</v>
      </c>
      <c r="D146" s="471" t="s">
        <v>1824</v>
      </c>
      <c r="E146" s="307">
        <f>'3. PRECIOS Y COSTOS'!R2837</f>
        <v>2594.8188182563363</v>
      </c>
      <c r="F146" s="307">
        <f t="shared" si="33"/>
        <v>2680.4478392587953</v>
      </c>
      <c r="G146" s="307">
        <f t="shared" si="34"/>
        <v>2763.5417222758178</v>
      </c>
      <c r="H146" s="431">
        <f t="shared" si="35"/>
        <v>2849.2115156663681</v>
      </c>
      <c r="I146" s="449">
        <f t="shared" si="36"/>
        <v>2943.2354956833578</v>
      </c>
      <c r="J146" s="137"/>
      <c r="P146" s="30"/>
      <c r="Q146" s="104"/>
      <c r="R146" s="288"/>
    </row>
    <row r="147" spans="2:18" x14ac:dyDescent="0.25">
      <c r="B147" s="1171"/>
      <c r="C147" s="605" t="s">
        <v>858</v>
      </c>
      <c r="D147" s="471" t="s">
        <v>1824</v>
      </c>
      <c r="E147" s="307">
        <f>'3. PRECIOS Y COSTOS'!R2860</f>
        <v>1237.3714838563358</v>
      </c>
      <c r="F147" s="307">
        <f t="shared" si="33"/>
        <v>1278.2047428235946</v>
      </c>
      <c r="G147" s="307">
        <f t="shared" si="34"/>
        <v>1317.8290898511259</v>
      </c>
      <c r="H147" s="431">
        <f t="shared" si="35"/>
        <v>1358.6817916365108</v>
      </c>
      <c r="I147" s="449">
        <f t="shared" si="36"/>
        <v>1403.5182907605156</v>
      </c>
      <c r="J147" s="137"/>
      <c r="P147" s="30"/>
      <c r="Q147" s="104"/>
      <c r="R147" s="288"/>
    </row>
    <row r="148" spans="2:18" x14ac:dyDescent="0.25">
      <c r="B148" s="1171"/>
      <c r="C148" s="605" t="s">
        <v>861</v>
      </c>
      <c r="D148" s="471" t="s">
        <v>1824</v>
      </c>
      <c r="E148" s="307">
        <f>'3. PRECIOS Y COSTOS'!R2883</f>
        <v>1239.0262166563359</v>
      </c>
      <c r="F148" s="307">
        <f t="shared" si="33"/>
        <v>1279.914081805995</v>
      </c>
      <c r="G148" s="307">
        <f t="shared" si="34"/>
        <v>1319.5914183419807</v>
      </c>
      <c r="H148" s="431">
        <f t="shared" si="35"/>
        <v>1360.4987523105819</v>
      </c>
      <c r="I148" s="449">
        <f t="shared" si="36"/>
        <v>1405.395211136831</v>
      </c>
      <c r="J148" s="137"/>
      <c r="P148" s="30"/>
      <c r="Q148" s="104"/>
      <c r="R148" s="288"/>
    </row>
    <row r="149" spans="2:18" x14ac:dyDescent="0.25">
      <c r="B149" s="1171"/>
      <c r="C149" s="605" t="s">
        <v>865</v>
      </c>
      <c r="D149" s="471" t="s">
        <v>1824</v>
      </c>
      <c r="E149" s="307">
        <f>'3. PRECIOS Y COSTOS'!R2906</f>
        <v>3493.4828438563359</v>
      </c>
      <c r="F149" s="307">
        <f t="shared" si="33"/>
        <v>3608.7677777035947</v>
      </c>
      <c r="G149" s="307">
        <f t="shared" si="34"/>
        <v>3720.6395788124059</v>
      </c>
      <c r="H149" s="431">
        <f t="shared" si="35"/>
        <v>3835.9794057555901</v>
      </c>
      <c r="I149" s="449">
        <f t="shared" si="36"/>
        <v>3962.5667261455242</v>
      </c>
      <c r="J149" s="137"/>
      <c r="P149" s="30"/>
      <c r="Q149" s="104"/>
      <c r="R149" s="288"/>
    </row>
    <row r="150" spans="2:18" x14ac:dyDescent="0.25">
      <c r="B150" s="1171"/>
      <c r="C150" s="605" t="s">
        <v>870</v>
      </c>
      <c r="D150" s="471" t="s">
        <v>1824</v>
      </c>
      <c r="E150" s="307">
        <f>'3. PRECIOS Y COSTOS'!R2929</f>
        <v>2112.772136656336</v>
      </c>
      <c r="F150" s="307">
        <f t="shared" si="33"/>
        <v>2182.4936171659947</v>
      </c>
      <c r="G150" s="307">
        <f t="shared" si="34"/>
        <v>2250.1509192981403</v>
      </c>
      <c r="H150" s="431">
        <f t="shared" si="35"/>
        <v>2319.9055977963826</v>
      </c>
      <c r="I150" s="449">
        <f t="shared" si="36"/>
        <v>2396.4624825236629</v>
      </c>
      <c r="J150" s="137"/>
      <c r="P150" s="30"/>
      <c r="Q150" s="104"/>
      <c r="R150" s="288"/>
    </row>
    <row r="151" spans="2:18" x14ac:dyDescent="0.25">
      <c r="B151" s="1171"/>
      <c r="C151" s="605" t="s">
        <v>872</v>
      </c>
      <c r="D151" s="471" t="s">
        <v>1824</v>
      </c>
      <c r="E151" s="307">
        <f>'3. PRECIOS Y COSTOS'!R2949</f>
        <v>1558.8098966563359</v>
      </c>
      <c r="F151" s="307">
        <f t="shared" si="33"/>
        <v>1610.2506232459948</v>
      </c>
      <c r="G151" s="307">
        <f t="shared" si="34"/>
        <v>1660.1683925666205</v>
      </c>
      <c r="H151" s="431">
        <f t="shared" si="35"/>
        <v>1711.6336127361856</v>
      </c>
      <c r="I151" s="449">
        <f t="shared" si="36"/>
        <v>1768.1175219564795</v>
      </c>
      <c r="J151" s="137"/>
      <c r="P151" s="30"/>
      <c r="Q151" s="104"/>
      <c r="R151" s="288"/>
    </row>
    <row r="152" spans="2:18" ht="15.75" customHeight="1" x14ac:dyDescent="0.25">
      <c r="B152" s="1171"/>
      <c r="C152" s="605" t="s">
        <v>875</v>
      </c>
      <c r="D152" s="471" t="s">
        <v>1824</v>
      </c>
      <c r="E152" s="307">
        <f>'3. PRECIOS Y COSTOS'!R2974</f>
        <v>1263.149096656336</v>
      </c>
      <c r="F152" s="307">
        <f t="shared" si="33"/>
        <v>1304.833016845995</v>
      </c>
      <c r="G152" s="307">
        <f t="shared" si="34"/>
        <v>1345.2828403682206</v>
      </c>
      <c r="H152" s="431">
        <f t="shared" si="35"/>
        <v>1386.9866084196353</v>
      </c>
      <c r="I152" s="449">
        <f t="shared" si="36"/>
        <v>1432.7571664974832</v>
      </c>
      <c r="J152" s="137"/>
      <c r="P152" s="30"/>
      <c r="Q152" s="104"/>
      <c r="R152" s="288"/>
    </row>
    <row r="153" spans="2:18" ht="15.75" customHeight="1" x14ac:dyDescent="0.25">
      <c r="B153" s="1171"/>
      <c r="C153" s="605" t="s">
        <v>879</v>
      </c>
      <c r="D153" s="471" t="s">
        <v>1824</v>
      </c>
      <c r="E153" s="307">
        <f>'3. PRECIOS Y COSTOS'!R2997</f>
        <v>1271.0114966563362</v>
      </c>
      <c r="F153" s="307">
        <f t="shared" si="33"/>
        <v>1312.9548760459952</v>
      </c>
      <c r="G153" s="307">
        <f t="shared" si="34"/>
        <v>1353.656477203421</v>
      </c>
      <c r="H153" s="431">
        <f t="shared" si="35"/>
        <v>1395.6198279967268</v>
      </c>
      <c r="I153" s="449">
        <f t="shared" si="36"/>
        <v>1441.6752823206186</v>
      </c>
      <c r="J153" s="137"/>
      <c r="P153" s="30"/>
      <c r="Q153" s="104"/>
      <c r="R153" s="288"/>
    </row>
    <row r="154" spans="2:18" x14ac:dyDescent="0.25">
      <c r="B154" s="1171"/>
      <c r="C154" s="605" t="s">
        <v>884</v>
      </c>
      <c r="D154" s="471" t="s">
        <v>1824</v>
      </c>
      <c r="E154" s="307">
        <f>'3. PRECIOS Y COSTOS'!R3018</f>
        <v>2511.4562966563358</v>
      </c>
      <c r="F154" s="307">
        <f t="shared" si="33"/>
        <v>2594.3343544459944</v>
      </c>
      <c r="G154" s="307">
        <f t="shared" si="34"/>
        <v>2674.7587194338203</v>
      </c>
      <c r="H154" s="431">
        <f t="shared" si="35"/>
        <v>2757.6762397362686</v>
      </c>
      <c r="I154" s="449">
        <f t="shared" si="36"/>
        <v>2848.6795556475654</v>
      </c>
      <c r="J154" s="137"/>
      <c r="P154" s="30"/>
      <c r="Q154" s="104"/>
      <c r="R154" s="288"/>
    </row>
    <row r="155" spans="2:18" x14ac:dyDescent="0.25">
      <c r="B155" s="1171"/>
      <c r="C155" s="605" t="s">
        <v>886</v>
      </c>
      <c r="D155" s="471" t="s">
        <v>1824</v>
      </c>
      <c r="E155" s="307">
        <f>'3. PRECIOS Y COSTOS'!R3041</f>
        <v>1495.997096656336</v>
      </c>
      <c r="F155" s="307">
        <f t="shared" si="33"/>
        <v>1545.3650008459949</v>
      </c>
      <c r="G155" s="307">
        <f t="shared" si="34"/>
        <v>1593.2713158722206</v>
      </c>
      <c r="H155" s="431">
        <f t="shared" si="35"/>
        <v>1642.6627266642593</v>
      </c>
      <c r="I155" s="449">
        <f t="shared" si="36"/>
        <v>1696.8705966441796</v>
      </c>
      <c r="J155" s="137"/>
      <c r="P155" s="30"/>
      <c r="Q155" s="104"/>
      <c r="R155" s="288"/>
    </row>
    <row r="156" spans="2:18" x14ac:dyDescent="0.25">
      <c r="B156" s="1171"/>
      <c r="C156" s="605" t="s">
        <v>890</v>
      </c>
      <c r="D156" s="471" t="s">
        <v>1824</v>
      </c>
      <c r="E156" s="307">
        <f>'3. PRECIOS Y COSTOS'!R3067</f>
        <v>1158.840450256336</v>
      </c>
      <c r="F156" s="307">
        <f t="shared" si="33"/>
        <v>1197.082185114795</v>
      </c>
      <c r="G156" s="307">
        <f t="shared" si="34"/>
        <v>1234.1917328533536</v>
      </c>
      <c r="H156" s="431">
        <f t="shared" si="35"/>
        <v>1272.4516765718074</v>
      </c>
      <c r="I156" s="449">
        <f t="shared" si="36"/>
        <v>1314.442581898677</v>
      </c>
      <c r="J156" s="137"/>
      <c r="P156" s="30"/>
      <c r="Q156" s="104"/>
      <c r="R156" s="288"/>
    </row>
    <row r="157" spans="2:18" x14ac:dyDescent="0.25">
      <c r="B157" s="1171"/>
      <c r="C157" s="605" t="s">
        <v>894</v>
      </c>
      <c r="D157" s="10" t="s">
        <v>1824</v>
      </c>
      <c r="E157" s="307">
        <f>'3. PRECIOS Y COSTOS'!R3089</f>
        <v>1309.4118038563358</v>
      </c>
      <c r="F157" s="307">
        <f>E157*(1+$F$34)</f>
        <v>1352.6223933835947</v>
      </c>
      <c r="G157" s="307">
        <f>F157*(1+$G$34)</f>
        <v>1394.553687578486</v>
      </c>
      <c r="H157" s="307">
        <f>G157*(1+$H$34)</f>
        <v>1437.784851893419</v>
      </c>
      <c r="I157" s="449">
        <f>H157*(1+$I$34)</f>
        <v>1485.2317520059019</v>
      </c>
      <c r="J157" s="137"/>
      <c r="R157" s="288"/>
    </row>
    <row r="158" spans="2:18" x14ac:dyDescent="0.25">
      <c r="B158" s="1171"/>
      <c r="C158" s="605" t="s">
        <v>2132</v>
      </c>
      <c r="D158" s="10" t="s">
        <v>1824</v>
      </c>
      <c r="E158" s="307">
        <v>15100</v>
      </c>
      <c r="F158" s="307">
        <f t="shared" ref="F158:F161" si="37">E158*(1+$F$34)</f>
        <v>15598.3</v>
      </c>
      <c r="G158" s="307">
        <f t="shared" ref="G158:G161" si="38">F158*(1+$G$34)</f>
        <v>16081.847299999998</v>
      </c>
      <c r="H158" s="307">
        <f t="shared" ref="H158:H161" si="39">G158*(1+$H$34)</f>
        <v>16580.384566299996</v>
      </c>
      <c r="I158" s="449">
        <f t="shared" ref="I158:I161" si="40">H158*(1+$I$34)</f>
        <v>17127.537256987893</v>
      </c>
      <c r="J158" s="137"/>
      <c r="R158" s="288"/>
    </row>
    <row r="159" spans="2:18" x14ac:dyDescent="0.25">
      <c r="B159" s="1171"/>
      <c r="C159" s="605" t="s">
        <v>2133</v>
      </c>
      <c r="D159" s="10" t="s">
        <v>1824</v>
      </c>
      <c r="E159" s="307">
        <v>15100</v>
      </c>
      <c r="F159" s="307">
        <f t="shared" si="37"/>
        <v>15598.3</v>
      </c>
      <c r="G159" s="307">
        <f t="shared" si="38"/>
        <v>16081.847299999998</v>
      </c>
      <c r="H159" s="307">
        <f t="shared" si="39"/>
        <v>16580.384566299996</v>
      </c>
      <c r="I159" s="449">
        <f t="shared" si="40"/>
        <v>17127.537256987893</v>
      </c>
      <c r="J159" s="137"/>
      <c r="R159" s="288"/>
    </row>
    <row r="160" spans="2:18" x14ac:dyDescent="0.25">
      <c r="B160" s="1171"/>
      <c r="C160" s="605" t="s">
        <v>2134</v>
      </c>
      <c r="D160" s="10" t="s">
        <v>1824</v>
      </c>
      <c r="E160" s="307">
        <v>18400</v>
      </c>
      <c r="F160" s="307">
        <f t="shared" si="37"/>
        <v>19007.199999999997</v>
      </c>
      <c r="G160" s="307">
        <f t="shared" si="38"/>
        <v>19596.423199999994</v>
      </c>
      <c r="H160" s="307">
        <f t="shared" si="39"/>
        <v>20203.912319199993</v>
      </c>
      <c r="I160" s="449">
        <f t="shared" si="40"/>
        <v>20870.641425733593</v>
      </c>
      <c r="J160" s="137"/>
      <c r="R160" s="288"/>
    </row>
    <row r="161" spans="2:18" ht="16.5" thickBot="1" x14ac:dyDescent="0.3">
      <c r="B161" s="1171"/>
      <c r="C161" s="606" t="s">
        <v>2135</v>
      </c>
      <c r="D161" s="472" t="s">
        <v>1824</v>
      </c>
      <c r="E161" s="450">
        <v>18100</v>
      </c>
      <c r="F161" s="450">
        <f t="shared" si="37"/>
        <v>18697.3</v>
      </c>
      <c r="G161" s="450">
        <f t="shared" si="38"/>
        <v>19276.916299999997</v>
      </c>
      <c r="H161" s="450">
        <f t="shared" si="39"/>
        <v>19874.500705299997</v>
      </c>
      <c r="I161" s="452">
        <f t="shared" si="40"/>
        <v>20530.359228574896</v>
      </c>
      <c r="J161" s="137"/>
      <c r="R161" s="288"/>
    </row>
    <row r="162" spans="2:18" x14ac:dyDescent="0.25">
      <c r="B162" s="1172"/>
      <c r="C162" s="599" t="s">
        <v>823</v>
      </c>
      <c r="D162" s="600" t="s">
        <v>1824</v>
      </c>
      <c r="E162" s="601">
        <f>'3. PRECIOS Y COSTOS'!AB2652</f>
        <v>4791.3639446563357</v>
      </c>
      <c r="F162" s="601">
        <f t="shared" ref="F162:F181" si="41">E162*(1+$F$34)</f>
        <v>4949.4789548299941</v>
      </c>
      <c r="G162" s="601">
        <f t="shared" ref="G162:G181" si="42">F162*(1+$G$34)</f>
        <v>5102.9128024297233</v>
      </c>
      <c r="H162" s="602">
        <f t="shared" ref="H162:H181" si="43">G162*(1+$H$34)</f>
        <v>5261.1030993050445</v>
      </c>
      <c r="I162" s="603">
        <f t="shared" ref="I162:I181" si="44">H162*(1+$I$34)</f>
        <v>5434.7195015821108</v>
      </c>
      <c r="J162" s="137"/>
      <c r="P162" s="30"/>
      <c r="Q162" s="104"/>
      <c r="R162" s="288"/>
    </row>
    <row r="163" spans="2:18" x14ac:dyDescent="0.25">
      <c r="B163" s="1172"/>
      <c r="C163" s="122" t="s">
        <v>828</v>
      </c>
      <c r="D163" s="471" t="s">
        <v>1824</v>
      </c>
      <c r="E163" s="307">
        <f>'3. PRECIOS Y COSTOS'!AB2676</f>
        <v>5211.0457238563349</v>
      </c>
      <c r="F163" s="307">
        <f t="shared" si="41"/>
        <v>5383.0102327435934</v>
      </c>
      <c r="G163" s="307">
        <f t="shared" si="42"/>
        <v>5549.8835499586439</v>
      </c>
      <c r="H163" s="431">
        <f t="shared" si="43"/>
        <v>5721.9299400073614</v>
      </c>
      <c r="I163" s="449">
        <f t="shared" si="44"/>
        <v>5910.7536280276036</v>
      </c>
      <c r="J163" s="137"/>
      <c r="P163" s="30"/>
      <c r="Q163" s="104"/>
      <c r="R163" s="288"/>
    </row>
    <row r="164" spans="2:18" x14ac:dyDescent="0.25">
      <c r="B164" s="1172"/>
      <c r="C164" s="122" t="s">
        <v>831</v>
      </c>
      <c r="D164" s="471" t="s">
        <v>1824</v>
      </c>
      <c r="E164" s="307">
        <f>'3. PRECIOS Y COSTOS'!AB2698</f>
        <v>5435.6409686563356</v>
      </c>
      <c r="F164" s="307">
        <f t="shared" si="41"/>
        <v>5615.0171206219939</v>
      </c>
      <c r="G164" s="307">
        <f t="shared" si="42"/>
        <v>5789.0826513612756</v>
      </c>
      <c r="H164" s="431">
        <f t="shared" si="43"/>
        <v>5968.5442135534749</v>
      </c>
      <c r="I164" s="449">
        <f t="shared" si="44"/>
        <v>6165.5061726007389</v>
      </c>
      <c r="J164" s="137"/>
    </row>
    <row r="165" spans="2:18" x14ac:dyDescent="0.25">
      <c r="B165" s="1172"/>
      <c r="C165" s="122" t="s">
        <v>835</v>
      </c>
      <c r="D165" s="471" t="s">
        <v>1824</v>
      </c>
      <c r="E165" s="307">
        <f>'3. PRECIOS Y COSTOS'!AB2722</f>
        <v>7922.0834966563361</v>
      </c>
      <c r="F165" s="307">
        <f t="shared" si="41"/>
        <v>8183.5122520459945</v>
      </c>
      <c r="G165" s="307">
        <f t="shared" si="42"/>
        <v>8437.2011318594195</v>
      </c>
      <c r="H165" s="431">
        <f t="shared" si="43"/>
        <v>8698.7543669470615</v>
      </c>
      <c r="I165" s="449">
        <f t="shared" si="44"/>
        <v>8985.8132610563134</v>
      </c>
      <c r="J165" s="137"/>
    </row>
    <row r="166" spans="2:18" x14ac:dyDescent="0.25">
      <c r="B166" s="1172"/>
      <c r="C166" s="122" t="s">
        <v>840</v>
      </c>
      <c r="D166" s="471" t="s">
        <v>1824</v>
      </c>
      <c r="E166" s="307">
        <f>'3. PRECIOS Y COSTOS'!AB2743</f>
        <v>6476.3396822563354</v>
      </c>
      <c r="F166" s="307">
        <f t="shared" si="41"/>
        <v>6690.0588917707937</v>
      </c>
      <c r="G166" s="307">
        <f t="shared" si="42"/>
        <v>6897.4507174156879</v>
      </c>
      <c r="H166" s="431">
        <f t="shared" si="43"/>
        <v>7111.2716896555739</v>
      </c>
      <c r="I166" s="449">
        <f t="shared" si="44"/>
        <v>7345.9436554142076</v>
      </c>
      <c r="J166" s="137"/>
    </row>
    <row r="167" spans="2:18" x14ac:dyDescent="0.25">
      <c r="B167" s="1172"/>
      <c r="C167" s="122" t="s">
        <v>843</v>
      </c>
      <c r="D167" s="471" t="s">
        <v>1824</v>
      </c>
      <c r="E167" s="307">
        <f>'3. PRECIOS Y COSTOS'!AB2768</f>
        <v>3278.6018966563356</v>
      </c>
      <c r="F167" s="307">
        <f t="shared" si="41"/>
        <v>3386.7957592459943</v>
      </c>
      <c r="G167" s="307">
        <f t="shared" si="42"/>
        <v>3491.7864277826197</v>
      </c>
      <c r="H167" s="431">
        <f t="shared" si="43"/>
        <v>3600.0318070438807</v>
      </c>
      <c r="I167" s="449">
        <f t="shared" si="44"/>
        <v>3718.8328566763284</v>
      </c>
      <c r="J167" s="137"/>
    </row>
    <row r="168" spans="2:18" x14ac:dyDescent="0.25">
      <c r="B168" s="1172"/>
      <c r="C168" s="122" t="s">
        <v>847</v>
      </c>
      <c r="D168" s="471" t="s">
        <v>1824</v>
      </c>
      <c r="E168" s="307">
        <f>'3. PRECIOS Y COSTOS'!AB2791</f>
        <v>2740.2075542563357</v>
      </c>
      <c r="F168" s="307">
        <f t="shared" si="41"/>
        <v>2830.6344035467946</v>
      </c>
      <c r="G168" s="307">
        <f t="shared" si="42"/>
        <v>2918.3840700567448</v>
      </c>
      <c r="H168" s="431">
        <f t="shared" si="43"/>
        <v>3008.8539762285036</v>
      </c>
      <c r="I168" s="449">
        <f t="shared" si="44"/>
        <v>3108.1461574440441</v>
      </c>
      <c r="J168" s="137"/>
    </row>
    <row r="169" spans="2:18" x14ac:dyDescent="0.25">
      <c r="B169" s="1172"/>
      <c r="C169" s="122" t="s">
        <v>850</v>
      </c>
      <c r="D169" s="471" t="s">
        <v>1824</v>
      </c>
      <c r="E169" s="307">
        <f>'3. PRECIOS Y COSTOS'!AB2812</f>
        <v>4303.7724566563347</v>
      </c>
      <c r="F169" s="307">
        <f t="shared" si="41"/>
        <v>4445.796947725993</v>
      </c>
      <c r="G169" s="307">
        <f t="shared" si="42"/>
        <v>4583.6166531054987</v>
      </c>
      <c r="H169" s="431">
        <f t="shared" si="43"/>
        <v>4725.7087693517688</v>
      </c>
      <c r="I169" s="449">
        <f t="shared" si="44"/>
        <v>4881.6571587403769</v>
      </c>
      <c r="J169" s="137"/>
    </row>
    <row r="170" spans="2:18" x14ac:dyDescent="0.25">
      <c r="B170" s="1172"/>
      <c r="C170" s="122" t="s">
        <v>854</v>
      </c>
      <c r="D170" s="471" t="s">
        <v>1824</v>
      </c>
      <c r="E170" s="307">
        <f>'3. PRECIOS Y COSTOS'!AB2837</f>
        <v>4194.2556182563358</v>
      </c>
      <c r="F170" s="307">
        <f t="shared" si="41"/>
        <v>4332.6660536587942</v>
      </c>
      <c r="G170" s="307">
        <f t="shared" si="42"/>
        <v>4466.9787013222167</v>
      </c>
      <c r="H170" s="431">
        <f t="shared" si="43"/>
        <v>4605.4550410632046</v>
      </c>
      <c r="I170" s="449">
        <f t="shared" si="44"/>
        <v>4757.4350574182899</v>
      </c>
      <c r="J170" s="137"/>
    </row>
    <row r="171" spans="2:18" x14ac:dyDescent="0.25">
      <c r="B171" s="1172"/>
      <c r="C171" s="122" t="s">
        <v>858</v>
      </c>
      <c r="D171" s="471" t="s">
        <v>1824</v>
      </c>
      <c r="E171" s="307">
        <f>'3. PRECIOS Y COSTOS'!AB2860</f>
        <v>2836.8082838563364</v>
      </c>
      <c r="F171" s="307">
        <f t="shared" si="41"/>
        <v>2930.4229572235954</v>
      </c>
      <c r="G171" s="307">
        <f t="shared" si="42"/>
        <v>3021.2660688975266</v>
      </c>
      <c r="H171" s="431">
        <f t="shared" si="43"/>
        <v>3114.9253170333495</v>
      </c>
      <c r="I171" s="449">
        <f t="shared" si="44"/>
        <v>3217.7178524954497</v>
      </c>
      <c r="J171" s="137"/>
    </row>
    <row r="172" spans="2:18" x14ac:dyDescent="0.25">
      <c r="B172" s="1172"/>
      <c r="C172" s="122" t="s">
        <v>861</v>
      </c>
      <c r="D172" s="471" t="s">
        <v>1824</v>
      </c>
      <c r="E172" s="307">
        <f>'3. PRECIOS Y COSTOS'!AB2883</f>
        <v>2838.4630166563356</v>
      </c>
      <c r="F172" s="307">
        <f t="shared" si="41"/>
        <v>2932.1322962059944</v>
      </c>
      <c r="G172" s="307">
        <f t="shared" si="42"/>
        <v>3023.0283973883802</v>
      </c>
      <c r="H172" s="431">
        <f t="shared" si="43"/>
        <v>3116.7422777074198</v>
      </c>
      <c r="I172" s="449">
        <f t="shared" si="44"/>
        <v>3219.5947728717642</v>
      </c>
      <c r="J172" s="137"/>
    </row>
    <row r="173" spans="2:18" x14ac:dyDescent="0.25">
      <c r="B173" s="1172"/>
      <c r="C173" s="122" t="s">
        <v>865</v>
      </c>
      <c r="D173" s="471" t="s">
        <v>1824</v>
      </c>
      <c r="E173" s="307">
        <f>'3. PRECIOS Y COSTOS'!AB2906</f>
        <v>5092.9196438563358</v>
      </c>
      <c r="F173" s="307">
        <f t="shared" si="41"/>
        <v>5260.9859921035941</v>
      </c>
      <c r="G173" s="307">
        <f t="shared" si="42"/>
        <v>5424.0765578588052</v>
      </c>
      <c r="H173" s="431">
        <f t="shared" si="43"/>
        <v>5592.2229311524279</v>
      </c>
      <c r="I173" s="449">
        <f t="shared" si="44"/>
        <v>5776.7662878804576</v>
      </c>
      <c r="J173" s="137"/>
    </row>
    <row r="174" spans="2:18" x14ac:dyDescent="0.25">
      <c r="B174" s="1172"/>
      <c r="C174" s="122" t="s">
        <v>870</v>
      </c>
      <c r="D174" s="471" t="s">
        <v>1824</v>
      </c>
      <c r="E174" s="307">
        <f>'3. PRECIOS Y COSTOS'!AB2929</f>
        <v>3297.8345366563362</v>
      </c>
      <c r="F174" s="307">
        <f t="shared" si="41"/>
        <v>3406.663076365995</v>
      </c>
      <c r="G174" s="307">
        <f t="shared" si="42"/>
        <v>3512.2696317333407</v>
      </c>
      <c r="H174" s="431">
        <f t="shared" si="43"/>
        <v>3621.1499903170738</v>
      </c>
      <c r="I174" s="449">
        <f t="shared" si="44"/>
        <v>3740.6479399975369</v>
      </c>
      <c r="J174" s="137"/>
    </row>
    <row r="175" spans="2:18" x14ac:dyDescent="0.25">
      <c r="B175" s="1172"/>
      <c r="C175" s="122" t="s">
        <v>872</v>
      </c>
      <c r="D175" s="471" t="s">
        <v>1824</v>
      </c>
      <c r="E175" s="307">
        <f>'3. PRECIOS Y COSTOS'!AB2949</f>
        <v>2645.3762966563359</v>
      </c>
      <c r="F175" s="307">
        <f t="shared" si="41"/>
        <v>2732.6737144459948</v>
      </c>
      <c r="G175" s="307">
        <f t="shared" si="42"/>
        <v>2817.3865995938204</v>
      </c>
      <c r="H175" s="431">
        <f t="shared" si="43"/>
        <v>2904.7255841812284</v>
      </c>
      <c r="I175" s="449">
        <f t="shared" si="44"/>
        <v>3000.5815284592086</v>
      </c>
      <c r="J175" s="137"/>
    </row>
    <row r="176" spans="2:18" ht="15.75" customHeight="1" x14ac:dyDescent="0.25">
      <c r="B176" s="1172"/>
      <c r="C176" s="122" t="s">
        <v>875</v>
      </c>
      <c r="D176" s="471" t="s">
        <v>1824</v>
      </c>
      <c r="E176" s="307">
        <f>'3. PRECIOS Y COSTOS'!AB2974</f>
        <v>2862.5858966563355</v>
      </c>
      <c r="F176" s="307">
        <f t="shared" si="41"/>
        <v>2957.0512312459946</v>
      </c>
      <c r="G176" s="307">
        <f t="shared" si="42"/>
        <v>3048.7198194146204</v>
      </c>
      <c r="H176" s="431">
        <f t="shared" si="43"/>
        <v>3143.2301338164734</v>
      </c>
      <c r="I176" s="449">
        <f t="shared" si="44"/>
        <v>3246.9567282324169</v>
      </c>
      <c r="J176" s="137"/>
    </row>
    <row r="177" spans="2:10" ht="15.75" customHeight="1" x14ac:dyDescent="0.25">
      <c r="B177" s="1172"/>
      <c r="C177" s="122" t="s">
        <v>879</v>
      </c>
      <c r="D177" s="471" t="s">
        <v>1824</v>
      </c>
      <c r="E177" s="307">
        <f>'3. PRECIOS Y COSTOS'!AB2997</f>
        <v>2870.448296656336</v>
      </c>
      <c r="F177" s="307">
        <f t="shared" si="41"/>
        <v>2965.1730904459946</v>
      </c>
      <c r="G177" s="307">
        <f t="shared" si="42"/>
        <v>3057.0934562498201</v>
      </c>
      <c r="H177" s="431">
        <f t="shared" si="43"/>
        <v>3151.863353393564</v>
      </c>
      <c r="I177" s="449">
        <f t="shared" si="44"/>
        <v>3255.8748440555514</v>
      </c>
      <c r="J177" s="137"/>
    </row>
    <row r="178" spans="2:10" x14ac:dyDescent="0.25">
      <c r="B178" s="1172"/>
      <c r="C178" s="122" t="s">
        <v>884</v>
      </c>
      <c r="D178" s="471" t="s">
        <v>1824</v>
      </c>
      <c r="E178" s="307">
        <f>'3. PRECIOS Y COSTOS'!AB3018</f>
        <v>2636.2178966563361</v>
      </c>
      <c r="F178" s="307">
        <f t="shared" si="41"/>
        <v>2723.2130872459948</v>
      </c>
      <c r="G178" s="307">
        <f t="shared" si="42"/>
        <v>2807.6326929506204</v>
      </c>
      <c r="H178" s="431">
        <f t="shared" si="43"/>
        <v>2894.6693064320893</v>
      </c>
      <c r="I178" s="449">
        <f t="shared" si="44"/>
        <v>2990.1933935443481</v>
      </c>
      <c r="J178" s="137"/>
    </row>
    <row r="179" spans="2:10" x14ac:dyDescent="0.25">
      <c r="B179" s="1172"/>
      <c r="C179" s="122" t="s">
        <v>886</v>
      </c>
      <c r="D179" s="471" t="s">
        <v>1824</v>
      </c>
      <c r="E179" s="307">
        <f>'3. PRECIOS Y COSTOS'!AB3041</f>
        <v>3095.4338966563355</v>
      </c>
      <c r="F179" s="307">
        <f t="shared" si="41"/>
        <v>3197.5832152459943</v>
      </c>
      <c r="G179" s="307">
        <f t="shared" si="42"/>
        <v>3296.7082949186197</v>
      </c>
      <c r="H179" s="431">
        <f t="shared" si="43"/>
        <v>3398.9062520610964</v>
      </c>
      <c r="I179" s="449">
        <f t="shared" si="44"/>
        <v>3511.0701583791124</v>
      </c>
      <c r="J179" s="137"/>
    </row>
    <row r="180" spans="2:10" x14ac:dyDescent="0.25">
      <c r="B180" s="1172"/>
      <c r="C180" s="122" t="s">
        <v>890</v>
      </c>
      <c r="D180" s="471" t="s">
        <v>1824</v>
      </c>
      <c r="E180" s="307">
        <f>'3. PRECIOS Y COSTOS'!AB3067</f>
        <v>2758.2772502563362</v>
      </c>
      <c r="F180" s="307">
        <f t="shared" si="41"/>
        <v>2849.3003995147951</v>
      </c>
      <c r="G180" s="307">
        <f t="shared" si="42"/>
        <v>2937.6287118997534</v>
      </c>
      <c r="H180" s="431">
        <f t="shared" si="43"/>
        <v>3028.6952019686455</v>
      </c>
      <c r="I180" s="449">
        <f t="shared" si="44"/>
        <v>3128.6421436336104</v>
      </c>
      <c r="J180" s="137"/>
    </row>
    <row r="181" spans="2:10" ht="16.5" thickBot="1" x14ac:dyDescent="0.3">
      <c r="B181" s="1173"/>
      <c r="C181" s="466" t="s">
        <v>894</v>
      </c>
      <c r="D181" s="472" t="s">
        <v>1824</v>
      </c>
      <c r="E181" s="450">
        <f>'3. PRECIOS Y COSTOS'!AB3089</f>
        <v>3150.7686038563352</v>
      </c>
      <c r="F181" s="450">
        <f t="shared" si="41"/>
        <v>3254.7439677835941</v>
      </c>
      <c r="G181" s="450">
        <f t="shared" si="42"/>
        <v>3355.6410307848855</v>
      </c>
      <c r="H181" s="451">
        <f t="shared" si="43"/>
        <v>3459.6659027392166</v>
      </c>
      <c r="I181" s="452">
        <f t="shared" si="44"/>
        <v>3573.8348775296104</v>
      </c>
      <c r="J181" s="137"/>
    </row>
    <row r="182" spans="2:10" x14ac:dyDescent="0.25">
      <c r="B182" s="1161" t="s">
        <v>1252</v>
      </c>
      <c r="C182" s="467" t="s">
        <v>1260</v>
      </c>
      <c r="D182" s="473" t="s">
        <v>1824</v>
      </c>
      <c r="E182" s="453">
        <f>'3. PRECIOS Y COSTOS'!R3112</f>
        <v>16197.63183523706</v>
      </c>
      <c r="F182" s="453">
        <f t="shared" ref="F182:F191" si="45">E182*(1+$F$34)</f>
        <v>16732.15368579988</v>
      </c>
      <c r="G182" s="453">
        <f t="shared" ref="G182:G191" si="46">F182*(1+$G$34)</f>
        <v>17250.850450059675</v>
      </c>
      <c r="H182" s="454">
        <f t="shared" ref="H182:H191" si="47">G182*(1+$H$34)</f>
        <v>17785.626814011524</v>
      </c>
      <c r="I182" s="455">
        <f t="shared" ref="I182:I191" si="48">H182*(1+$I$34)</f>
        <v>18372.552498873902</v>
      </c>
      <c r="J182" s="137"/>
    </row>
    <row r="183" spans="2:10" x14ac:dyDescent="0.25">
      <c r="B183" s="1162"/>
      <c r="C183" s="468" t="s">
        <v>1263</v>
      </c>
      <c r="D183" s="474" t="s">
        <v>1824</v>
      </c>
      <c r="E183" s="432">
        <f>'3. PRECIOS Y COSTOS'!R3135</f>
        <v>16350.39809443706</v>
      </c>
      <c r="F183" s="432">
        <f t="shared" si="45"/>
        <v>16889.96123155348</v>
      </c>
      <c r="G183" s="432">
        <f t="shared" si="46"/>
        <v>17413.550029731636</v>
      </c>
      <c r="H183" s="433">
        <f t="shared" si="47"/>
        <v>17953.370080653316</v>
      </c>
      <c r="I183" s="456">
        <f t="shared" si="48"/>
        <v>18545.831293314874</v>
      </c>
      <c r="J183" s="137"/>
    </row>
    <row r="184" spans="2:10" x14ac:dyDescent="0.25">
      <c r="B184" s="1162"/>
      <c r="C184" s="468" t="s">
        <v>1266</v>
      </c>
      <c r="D184" s="474" t="s">
        <v>1824</v>
      </c>
      <c r="E184" s="432">
        <f>'3. PRECIOS Y COSTOS'!R3158</f>
        <v>16283.00609443706</v>
      </c>
      <c r="F184" s="432">
        <f t="shared" si="45"/>
        <v>16820.345295553481</v>
      </c>
      <c r="G184" s="432">
        <f t="shared" si="46"/>
        <v>17341.775999715639</v>
      </c>
      <c r="H184" s="433">
        <f t="shared" si="47"/>
        <v>17879.371055706823</v>
      </c>
      <c r="I184" s="456">
        <f t="shared" si="48"/>
        <v>18469.390300545147</v>
      </c>
      <c r="J184" s="137"/>
    </row>
    <row r="185" spans="2:10" x14ac:dyDescent="0.25">
      <c r="B185" s="1162"/>
      <c r="C185" s="468" t="s">
        <v>1269</v>
      </c>
      <c r="D185" s="474" t="s">
        <v>1824</v>
      </c>
      <c r="E185" s="432">
        <f>'3. PRECIOS Y COSTOS'!R3181</f>
        <v>16871.882056037059</v>
      </c>
      <c r="F185" s="432">
        <f t="shared" si="45"/>
        <v>17428.65416388628</v>
      </c>
      <c r="G185" s="432">
        <f t="shared" si="46"/>
        <v>17968.942442966752</v>
      </c>
      <c r="H185" s="433">
        <f t="shared" si="47"/>
        <v>18525.979658698721</v>
      </c>
      <c r="I185" s="456">
        <f t="shared" si="48"/>
        <v>19137.336987435778</v>
      </c>
      <c r="J185" s="137"/>
    </row>
    <row r="186" spans="2:10" x14ac:dyDescent="0.25">
      <c r="B186" s="1162"/>
      <c r="C186" s="468" t="s">
        <v>1273</v>
      </c>
      <c r="D186" s="474" t="s">
        <v>1824</v>
      </c>
      <c r="E186" s="432">
        <f>'3. PRECIOS Y COSTOS'!R3204</f>
        <v>7646.6694544370603</v>
      </c>
      <c r="F186" s="432">
        <f t="shared" si="45"/>
        <v>7899.0095464334827</v>
      </c>
      <c r="G186" s="432">
        <f t="shared" si="46"/>
        <v>8143.8788423729202</v>
      </c>
      <c r="H186" s="433">
        <f t="shared" si="47"/>
        <v>8396.3390864864796</v>
      </c>
      <c r="I186" s="456">
        <f t="shared" si="48"/>
        <v>8673.4182763405333</v>
      </c>
      <c r="J186" s="137"/>
    </row>
    <row r="187" spans="2:10" ht="16.5" thickBot="1" x14ac:dyDescent="0.3">
      <c r="B187" s="1162"/>
      <c r="C187" s="501" t="s">
        <v>1257</v>
      </c>
      <c r="D187" s="474" t="s">
        <v>1824</v>
      </c>
      <c r="E187" s="502">
        <f>'3. PRECIOS Y COSTOS'!R3229</f>
        <v>10065.856321637057</v>
      </c>
      <c r="F187" s="502">
        <f t="shared" si="45"/>
        <v>10398.029580251079</v>
      </c>
      <c r="G187" s="502">
        <f t="shared" si="46"/>
        <v>10720.368497238862</v>
      </c>
      <c r="H187" s="503">
        <f t="shared" si="47"/>
        <v>11052.699920653266</v>
      </c>
      <c r="I187" s="504">
        <f t="shared" si="48"/>
        <v>11417.439018034822</v>
      </c>
      <c r="J187" s="137"/>
    </row>
    <row r="188" spans="2:10" x14ac:dyDescent="0.25">
      <c r="B188" s="1162"/>
      <c r="C188" s="505" t="s">
        <v>861</v>
      </c>
      <c r="D188" s="473" t="s">
        <v>1824</v>
      </c>
      <c r="E188" s="453">
        <f>'3. PRECIOS Y COSTOS'!R3250</f>
        <v>7853.0436304370596</v>
      </c>
      <c r="F188" s="453">
        <f t="shared" si="45"/>
        <v>8112.1940702414822</v>
      </c>
      <c r="G188" s="453">
        <f t="shared" si="46"/>
        <v>8363.6720864189683</v>
      </c>
      <c r="H188" s="454">
        <f t="shared" si="47"/>
        <v>8622.9459210979549</v>
      </c>
      <c r="I188" s="455">
        <f t="shared" si="48"/>
        <v>8907.503136494186</v>
      </c>
      <c r="J188" s="137"/>
    </row>
    <row r="189" spans="2:10" x14ac:dyDescent="0.25">
      <c r="B189" s="1162"/>
      <c r="C189" s="506" t="s">
        <v>1282</v>
      </c>
      <c r="D189" s="474" t="s">
        <v>1824</v>
      </c>
      <c r="E189" s="432">
        <f>'3. PRECIOS Y COSTOS'!R3275</f>
        <v>11219.557595237058</v>
      </c>
      <c r="F189" s="432">
        <f t="shared" si="45"/>
        <v>11589.80299587988</v>
      </c>
      <c r="G189" s="432">
        <f t="shared" si="46"/>
        <v>11949.086888752156</v>
      </c>
      <c r="H189" s="433">
        <f t="shared" si="47"/>
        <v>12319.508582303471</v>
      </c>
      <c r="I189" s="456">
        <f t="shared" si="48"/>
        <v>12726.052365519485</v>
      </c>
      <c r="J189" s="137"/>
    </row>
    <row r="190" spans="2:10" x14ac:dyDescent="0.25">
      <c r="B190" s="1162"/>
      <c r="C190" s="506" t="s">
        <v>1285</v>
      </c>
      <c r="D190" s="474" t="s">
        <v>1824</v>
      </c>
      <c r="E190" s="432">
        <f>'3. PRECIOS Y COSTOS'!R3298</f>
        <v>10610.362254437059</v>
      </c>
      <c r="F190" s="432">
        <f t="shared" si="45"/>
        <v>10960.504208833481</v>
      </c>
      <c r="G190" s="432">
        <f t="shared" si="46"/>
        <v>11300.279839307319</v>
      </c>
      <c r="H190" s="433">
        <f t="shared" si="47"/>
        <v>11650.588514325846</v>
      </c>
      <c r="I190" s="456">
        <f t="shared" si="48"/>
        <v>12035.057935298597</v>
      </c>
      <c r="J190" s="137"/>
    </row>
    <row r="191" spans="2:10" ht="16.5" thickBot="1" x14ac:dyDescent="0.3">
      <c r="B191" s="1163"/>
      <c r="C191" s="507" t="s">
        <v>1290</v>
      </c>
      <c r="D191" s="256" t="s">
        <v>1824</v>
      </c>
      <c r="E191" s="457">
        <f>'3. PRECIOS Y COSTOS'!R3321</f>
        <v>6950.2159888370588</v>
      </c>
      <c r="F191" s="457">
        <f t="shared" si="45"/>
        <v>7179.5731164686813</v>
      </c>
      <c r="G191" s="457">
        <f t="shared" si="46"/>
        <v>7402.1398830792095</v>
      </c>
      <c r="H191" s="458">
        <f t="shared" si="47"/>
        <v>7631.6062194546648</v>
      </c>
      <c r="I191" s="459">
        <f t="shared" si="48"/>
        <v>7883.4492246966684</v>
      </c>
      <c r="J191" s="137"/>
    </row>
    <row r="193" spans="2:69" x14ac:dyDescent="0.25">
      <c r="C193" s="1149" t="s">
        <v>2226</v>
      </c>
      <c r="D193" s="1149"/>
      <c r="E193" s="1149"/>
      <c r="F193" s="1149"/>
      <c r="G193" s="1149"/>
      <c r="H193" s="1149"/>
      <c r="I193" s="1149"/>
    </row>
    <row r="194" spans="2:69" x14ac:dyDescent="0.25">
      <c r="C194" s="11" t="s">
        <v>2132</v>
      </c>
      <c r="D194" s="10" t="s">
        <v>1824</v>
      </c>
      <c r="E194" s="307">
        <v>75500</v>
      </c>
      <c r="F194" s="307">
        <f>E194*(1+$F$34)</f>
        <v>77991.5</v>
      </c>
      <c r="G194" s="307">
        <f t="shared" ref="G194:G198" si="49">F194*(1+$G$34)</f>
        <v>80409.236499999999</v>
      </c>
      <c r="H194" s="307">
        <f t="shared" ref="H194:H198" si="50">G194*(1+$H$34)</f>
        <v>82901.922831499993</v>
      </c>
      <c r="I194" s="307">
        <f t="shared" ref="I194:I198" si="51">H194*(1+$I$34)</f>
        <v>85637.686284939482</v>
      </c>
    </row>
    <row r="195" spans="2:69" x14ac:dyDescent="0.25">
      <c r="C195" s="11" t="s">
        <v>2133</v>
      </c>
      <c r="D195" s="10" t="s">
        <v>1824</v>
      </c>
      <c r="E195" s="307">
        <v>75500</v>
      </c>
      <c r="F195" s="307">
        <f t="shared" ref="F195:F198" si="52">E195*(1+$F$34)</f>
        <v>77991.5</v>
      </c>
      <c r="G195" s="307">
        <f t="shared" si="49"/>
        <v>80409.236499999999</v>
      </c>
      <c r="H195" s="307">
        <f t="shared" si="50"/>
        <v>82901.922831499993</v>
      </c>
      <c r="I195" s="307">
        <f t="shared" si="51"/>
        <v>85637.686284939482</v>
      </c>
    </row>
    <row r="196" spans="2:69" x14ac:dyDescent="0.25">
      <c r="C196" s="11" t="s">
        <v>2134</v>
      </c>
      <c r="D196" s="10" t="s">
        <v>1824</v>
      </c>
      <c r="E196" s="307">
        <v>91800</v>
      </c>
      <c r="F196" s="307">
        <f t="shared" si="52"/>
        <v>94829.4</v>
      </c>
      <c r="G196" s="307">
        <f t="shared" si="49"/>
        <v>97769.11139999998</v>
      </c>
      <c r="H196" s="307">
        <f t="shared" si="50"/>
        <v>100799.95385339997</v>
      </c>
      <c r="I196" s="307">
        <f t="shared" si="51"/>
        <v>104126.35233056216</v>
      </c>
    </row>
    <row r="197" spans="2:69" x14ac:dyDescent="0.25">
      <c r="C197" s="11" t="s">
        <v>2135</v>
      </c>
      <c r="D197" s="10" t="s">
        <v>1824</v>
      </c>
      <c r="E197" s="307">
        <v>90400</v>
      </c>
      <c r="F197" s="307">
        <f t="shared" si="52"/>
        <v>93383.2</v>
      </c>
      <c r="G197" s="307">
        <f t="shared" si="49"/>
        <v>96278.079199999993</v>
      </c>
      <c r="H197" s="307">
        <f t="shared" si="50"/>
        <v>99262.699655199991</v>
      </c>
      <c r="I197" s="307">
        <f t="shared" si="51"/>
        <v>102538.36874382159</v>
      </c>
    </row>
    <row r="198" spans="2:69" x14ac:dyDescent="0.25">
      <c r="C198" s="11" t="s">
        <v>1309</v>
      </c>
      <c r="D198" s="10" t="s">
        <v>1824</v>
      </c>
      <c r="E198" s="307">
        <f>'3. PRECIOS Y COSTOS'!R3338</f>
        <v>4797.2492944370588</v>
      </c>
      <c r="F198" s="307">
        <f t="shared" si="52"/>
        <v>4955.5585211534817</v>
      </c>
      <c r="G198" s="307">
        <f t="shared" si="49"/>
        <v>5109.1808353092392</v>
      </c>
      <c r="H198" s="307">
        <f t="shared" si="50"/>
        <v>5267.5654412038248</v>
      </c>
      <c r="I198" s="307">
        <f t="shared" si="51"/>
        <v>5441.3951007635505</v>
      </c>
    </row>
    <row r="200" spans="2:69" x14ac:dyDescent="0.25">
      <c r="C200" s="1131" t="s">
        <v>1576</v>
      </c>
      <c r="D200" s="429" t="s">
        <v>1821</v>
      </c>
      <c r="E200" s="429">
        <v>2021</v>
      </c>
      <c r="F200" s="429">
        <v>2022</v>
      </c>
      <c r="G200" s="429">
        <v>2023</v>
      </c>
      <c r="H200" s="429">
        <v>2024</v>
      </c>
      <c r="I200" s="429">
        <v>2025</v>
      </c>
      <c r="M200" s="1131" t="s">
        <v>1576</v>
      </c>
      <c r="N200" s="429" t="s">
        <v>1821</v>
      </c>
      <c r="O200" s="429">
        <v>2021</v>
      </c>
      <c r="P200" s="429">
        <v>2022</v>
      </c>
      <c r="Q200" s="429">
        <v>2023</v>
      </c>
      <c r="R200" s="429">
        <v>2024</v>
      </c>
      <c r="S200" s="429">
        <v>2025</v>
      </c>
      <c r="W200" s="1131" t="s">
        <v>1576</v>
      </c>
      <c r="X200" s="429" t="s">
        <v>1821</v>
      </c>
      <c r="Y200" s="429">
        <v>2021</v>
      </c>
      <c r="Z200" s="429">
        <v>2022</v>
      </c>
      <c r="AA200" s="429">
        <v>2023</v>
      </c>
      <c r="AB200" s="429">
        <v>2024</v>
      </c>
      <c r="AC200" s="429">
        <v>2025</v>
      </c>
      <c r="AG200" s="1131" t="s">
        <v>1576</v>
      </c>
      <c r="AH200" s="429" t="s">
        <v>1821</v>
      </c>
      <c r="AI200" s="429">
        <v>2021</v>
      </c>
      <c r="AJ200" s="429">
        <v>2022</v>
      </c>
      <c r="AK200" s="429">
        <v>2023</v>
      </c>
      <c r="AL200" s="429">
        <v>2024</v>
      </c>
      <c r="AM200" s="429">
        <v>2025</v>
      </c>
      <c r="AQ200" s="1131" t="s">
        <v>1576</v>
      </c>
      <c r="AR200" s="429" t="s">
        <v>1821</v>
      </c>
      <c r="AS200" s="429">
        <v>2021</v>
      </c>
      <c r="AT200" s="429">
        <v>2022</v>
      </c>
      <c r="AU200" s="429">
        <v>2023</v>
      </c>
      <c r="AV200" s="429">
        <v>2024</v>
      </c>
      <c r="AW200" s="429">
        <v>2025</v>
      </c>
      <c r="BA200" s="1131" t="s">
        <v>1576</v>
      </c>
      <c r="BB200" s="429" t="s">
        <v>1821</v>
      </c>
      <c r="BC200" s="429">
        <v>2021</v>
      </c>
      <c r="BD200" s="429">
        <v>2022</v>
      </c>
      <c r="BE200" s="429">
        <v>2023</v>
      </c>
      <c r="BF200" s="429">
        <v>2024</v>
      </c>
      <c r="BG200" s="429">
        <v>2025</v>
      </c>
      <c r="BK200" s="1131" t="s">
        <v>1576</v>
      </c>
      <c r="BL200" s="429" t="s">
        <v>1821</v>
      </c>
      <c r="BM200" s="429">
        <v>2021</v>
      </c>
      <c r="BN200" s="429">
        <v>2022</v>
      </c>
      <c r="BO200" s="429">
        <v>2023</v>
      </c>
      <c r="BP200" s="429">
        <v>2024</v>
      </c>
      <c r="BQ200" s="429">
        <v>2025</v>
      </c>
    </row>
    <row r="201" spans="2:69" x14ac:dyDescent="0.25">
      <c r="C201" s="1131"/>
      <c r="D201" s="589" t="s">
        <v>1825</v>
      </c>
      <c r="E201" s="590">
        <v>3.5999999999999997E-2</v>
      </c>
      <c r="F201" s="590">
        <v>3.3000000000000002E-2</v>
      </c>
      <c r="G201" s="590">
        <v>3.1E-2</v>
      </c>
      <c r="H201" s="590">
        <v>3.1E-2</v>
      </c>
      <c r="I201" s="590">
        <v>3.3000000000000002E-2</v>
      </c>
      <c r="M201" s="1131"/>
      <c r="N201" s="589" t="s">
        <v>1825</v>
      </c>
      <c r="O201" s="590">
        <v>3.5999999999999997E-2</v>
      </c>
      <c r="P201" s="590">
        <v>3.3000000000000002E-2</v>
      </c>
      <c r="Q201" s="590">
        <v>3.1E-2</v>
      </c>
      <c r="R201" s="590">
        <v>3.1E-2</v>
      </c>
      <c r="S201" s="590">
        <v>3.3000000000000002E-2</v>
      </c>
      <c r="W201" s="1131"/>
      <c r="X201" s="589" t="s">
        <v>1825</v>
      </c>
      <c r="Y201" s="590">
        <v>3.5999999999999997E-2</v>
      </c>
      <c r="Z201" s="590">
        <v>3.3000000000000002E-2</v>
      </c>
      <c r="AA201" s="590">
        <v>3.1E-2</v>
      </c>
      <c r="AB201" s="590">
        <v>3.1E-2</v>
      </c>
      <c r="AC201" s="590">
        <v>3.3000000000000002E-2</v>
      </c>
      <c r="AG201" s="1131"/>
      <c r="AH201" s="589" t="s">
        <v>1825</v>
      </c>
      <c r="AI201" s="590">
        <v>3.5999999999999997E-2</v>
      </c>
      <c r="AJ201" s="590">
        <v>3.3000000000000002E-2</v>
      </c>
      <c r="AK201" s="590">
        <v>3.1E-2</v>
      </c>
      <c r="AL201" s="590">
        <v>3.1E-2</v>
      </c>
      <c r="AM201" s="590">
        <v>3.3000000000000002E-2</v>
      </c>
      <c r="AQ201" s="1131"/>
      <c r="AR201" s="589" t="s">
        <v>1825</v>
      </c>
      <c r="AS201" s="590">
        <v>3.5999999999999997E-2</v>
      </c>
      <c r="AT201" s="590">
        <v>3.3000000000000002E-2</v>
      </c>
      <c r="AU201" s="590">
        <v>3.1E-2</v>
      </c>
      <c r="AV201" s="590">
        <v>3.1E-2</v>
      </c>
      <c r="AW201" s="590">
        <v>3.3000000000000002E-2</v>
      </c>
      <c r="BA201" s="1131"/>
      <c r="BB201" s="589" t="s">
        <v>1825</v>
      </c>
      <c r="BC201" s="590">
        <v>3.5999999999999997E-2</v>
      </c>
      <c r="BD201" s="590">
        <v>3.3000000000000002E-2</v>
      </c>
      <c r="BE201" s="590">
        <v>3.1E-2</v>
      </c>
      <c r="BF201" s="590">
        <v>3.1E-2</v>
      </c>
      <c r="BG201" s="590">
        <v>3.3000000000000002E-2</v>
      </c>
      <c r="BK201" s="1131"/>
      <c r="BL201" s="589" t="s">
        <v>1825</v>
      </c>
      <c r="BM201" s="590">
        <v>3.5999999999999997E-2</v>
      </c>
      <c r="BN201" s="590">
        <v>3.3000000000000002E-2</v>
      </c>
      <c r="BO201" s="590">
        <v>3.1E-2</v>
      </c>
      <c r="BP201" s="590">
        <v>3.1E-2</v>
      </c>
      <c r="BQ201" s="590">
        <v>3.3000000000000002E-2</v>
      </c>
    </row>
    <row r="202" spans="2:69" ht="15.75" customHeight="1" x14ac:dyDescent="0.25">
      <c r="B202" s="1148" t="s">
        <v>1975</v>
      </c>
      <c r="C202" s="587" t="s">
        <v>1976</v>
      </c>
      <c r="D202" s="580" t="s">
        <v>1824</v>
      </c>
      <c r="E202" s="588">
        <f>'3. PRECIOS Y COSTOS'!AJ2184</f>
        <v>14668.417248929929</v>
      </c>
      <c r="F202" s="588">
        <f>E202*(1+$F$201)</f>
        <v>15152.475018144616</v>
      </c>
      <c r="G202" s="588">
        <f>F202*(1+$G$201)</f>
        <v>15622.201743707097</v>
      </c>
      <c r="H202" s="588">
        <f>G202*(1+$H$201)</f>
        <v>16106.489997762015</v>
      </c>
      <c r="I202" s="588">
        <f>H202*(1+$I$201)</f>
        <v>16638.004167688159</v>
      </c>
      <c r="L202" s="1148" t="s">
        <v>2046</v>
      </c>
      <c r="M202" s="587" t="s">
        <v>1976</v>
      </c>
      <c r="N202" s="580" t="s">
        <v>1824</v>
      </c>
      <c r="O202" s="588">
        <f>'3. PRECIOS Y COSTOS'!AJ2214</f>
        <v>14668.417248929929</v>
      </c>
      <c r="P202" s="588">
        <f>O202*(1+$F$201)</f>
        <v>15152.475018144616</v>
      </c>
      <c r="Q202" s="588">
        <f>P202*(1+$G$201)</f>
        <v>15622.201743707097</v>
      </c>
      <c r="R202" s="588">
        <f>Q202*(1+$H$201)</f>
        <v>16106.489997762015</v>
      </c>
      <c r="S202" s="588">
        <f>R202*(1+$I$201)</f>
        <v>16638.004167688159</v>
      </c>
      <c r="V202" s="1148" t="s">
        <v>2055</v>
      </c>
      <c r="W202" s="587" t="s">
        <v>1976</v>
      </c>
      <c r="X202" s="580" t="s">
        <v>1824</v>
      </c>
      <c r="Y202" s="588">
        <f>'3. PRECIOS Y COSTOS'!AJ2249</f>
        <v>14668.417248929929</v>
      </c>
      <c r="Z202" s="588">
        <f>Y202*(1+$F$201)</f>
        <v>15152.475018144616</v>
      </c>
      <c r="AA202" s="588">
        <f>Z202*(1+$G$201)</f>
        <v>15622.201743707097</v>
      </c>
      <c r="AB202" s="588">
        <f>AA202*(1+$H$201)</f>
        <v>16106.489997762015</v>
      </c>
      <c r="AC202" s="588">
        <f>AB202*(1+$I$201)</f>
        <v>16638.004167688159</v>
      </c>
      <c r="AF202" s="1148" t="s">
        <v>2064</v>
      </c>
      <c r="AG202" s="587" t="s">
        <v>1976</v>
      </c>
      <c r="AH202" s="580" t="s">
        <v>1824</v>
      </c>
      <c r="AI202" s="588">
        <f>'3. PRECIOS Y COSTOS'!AJ2281</f>
        <v>14668.417248929929</v>
      </c>
      <c r="AJ202" s="588">
        <f>AI202*(1+$F$201)</f>
        <v>15152.475018144616</v>
      </c>
      <c r="AK202" s="588">
        <f>AJ202*(1+$G$201)</f>
        <v>15622.201743707097</v>
      </c>
      <c r="AL202" s="588">
        <f>AK202*(1+$H$201)</f>
        <v>16106.489997762015</v>
      </c>
      <c r="AM202" s="588">
        <f>AL202*(1+$I$201)</f>
        <v>16638.004167688159</v>
      </c>
      <c r="AP202" s="1150" t="s">
        <v>2072</v>
      </c>
      <c r="AQ202" s="587" t="s">
        <v>1976</v>
      </c>
      <c r="AR202" s="580" t="s">
        <v>1824</v>
      </c>
      <c r="AS202" s="588">
        <f>'3. PRECIOS Y COSTOS'!AJ2316</f>
        <v>14668.417248929929</v>
      </c>
      <c r="AT202" s="588">
        <f>AS202*(1+$F$201)</f>
        <v>15152.475018144616</v>
      </c>
      <c r="AU202" s="588">
        <f>AT202*(1+$G$201)</f>
        <v>15622.201743707097</v>
      </c>
      <c r="AV202" s="588">
        <f>AU202*(1+$H$201)</f>
        <v>16106.489997762015</v>
      </c>
      <c r="AW202" s="588">
        <f>AV202*(1+$I$201)</f>
        <v>16638.004167688159</v>
      </c>
      <c r="AZ202" s="1148" t="s">
        <v>2076</v>
      </c>
      <c r="BA202" s="587" t="s">
        <v>1976</v>
      </c>
      <c r="BB202" s="580" t="s">
        <v>1824</v>
      </c>
      <c r="BC202" s="588">
        <f>'3. PRECIOS Y COSTOS'!AJ2350</f>
        <v>14668.417248929929</v>
      </c>
      <c r="BD202" s="588">
        <f>BC202*(1+$F$201)</f>
        <v>15152.475018144616</v>
      </c>
      <c r="BE202" s="588">
        <f>BD202*(1+$G$201)</f>
        <v>15622.201743707097</v>
      </c>
      <c r="BF202" s="588">
        <f>BE202*(1+$H$201)</f>
        <v>16106.489997762015</v>
      </c>
      <c r="BG202" s="588">
        <f>BF202*(1+$I$201)</f>
        <v>16638.004167688159</v>
      </c>
      <c r="BJ202" s="1148" t="s">
        <v>2086</v>
      </c>
      <c r="BK202" s="587" t="s">
        <v>1976</v>
      </c>
      <c r="BL202" s="580" t="s">
        <v>1824</v>
      </c>
      <c r="BM202" s="588">
        <f>'3. PRECIOS Y COSTOS'!AJ2383</f>
        <v>14668.417248929929</v>
      </c>
      <c r="BN202" s="588">
        <f>BM202*(1+$F$201)</f>
        <v>15152.475018144616</v>
      </c>
      <c r="BO202" s="588">
        <f>BN202*(1+$G$201)</f>
        <v>15622.201743707097</v>
      </c>
      <c r="BP202" s="588">
        <f>BO202*(1+$H$201)</f>
        <v>16106.489997762015</v>
      </c>
      <c r="BQ202" s="588">
        <f>BP202*(1+$I$201)</f>
        <v>16638.004167688159</v>
      </c>
    </row>
    <row r="203" spans="2:69" x14ac:dyDescent="0.25">
      <c r="B203" s="1148"/>
      <c r="C203" s="105" t="s">
        <v>1977</v>
      </c>
      <c r="D203" s="576" t="s">
        <v>1824</v>
      </c>
      <c r="E203" s="127">
        <f>'3. PRECIOS Y COSTOS'!AK2184</f>
        <v>14514.496344913199</v>
      </c>
      <c r="F203" s="127">
        <f t="shared" ref="F203:F260" si="53">E203*(1+$F$201)</f>
        <v>14993.474724295334</v>
      </c>
      <c r="G203" s="127">
        <f t="shared" ref="G203:G260" si="54">F203*(1+$G$201)</f>
        <v>15458.272440748489</v>
      </c>
      <c r="H203" s="127">
        <f t="shared" ref="H203:H260" si="55">G203*(1+$H$201)</f>
        <v>15937.478886411691</v>
      </c>
      <c r="I203" s="127">
        <f t="shared" ref="I203:I260" si="56">H203*(1+$I$201)</f>
        <v>16463.415689663274</v>
      </c>
      <c r="L203" s="1148"/>
      <c r="M203" s="105" t="s">
        <v>1977</v>
      </c>
      <c r="N203" s="579" t="s">
        <v>1824</v>
      </c>
      <c r="O203" s="127">
        <f>'3. PRECIOS Y COSTOS'!AK2214</f>
        <v>14514.496344913199</v>
      </c>
      <c r="P203" s="127">
        <f t="shared" ref="P203:P264" si="57">O203*(1+$F$201)</f>
        <v>14993.474724295334</v>
      </c>
      <c r="Q203" s="127">
        <f t="shared" ref="Q203:Q264" si="58">P203*(1+$G$201)</f>
        <v>15458.272440748489</v>
      </c>
      <c r="R203" s="127">
        <f t="shared" ref="R203:R264" si="59">Q203*(1+$H$201)</f>
        <v>15937.478886411691</v>
      </c>
      <c r="S203" s="127">
        <f t="shared" ref="S203:S264" si="60">R203*(1+$I$201)</f>
        <v>16463.415689663274</v>
      </c>
      <c r="V203" s="1148"/>
      <c r="W203" s="105" t="s">
        <v>1977</v>
      </c>
      <c r="X203" s="579" t="s">
        <v>1824</v>
      </c>
      <c r="Y203" s="127">
        <f>'3. PRECIOS Y COSTOS'!AK2249</f>
        <v>14514.496344913199</v>
      </c>
      <c r="Z203" s="127">
        <f t="shared" ref="Z203:Z262" si="61">Y203*(1+$F$201)</f>
        <v>14993.474724295334</v>
      </c>
      <c r="AA203" s="127">
        <f t="shared" ref="AA203:AA262" si="62">Z203*(1+$G$201)</f>
        <v>15458.272440748489</v>
      </c>
      <c r="AB203" s="127">
        <f t="shared" ref="AB203:AB262" si="63">AA203*(1+$H$201)</f>
        <v>15937.478886411691</v>
      </c>
      <c r="AC203" s="127">
        <f t="shared" ref="AC203:AC262" si="64">AB203*(1+$I$201)</f>
        <v>16463.415689663274</v>
      </c>
      <c r="AF203" s="1148"/>
      <c r="AG203" s="105" t="s">
        <v>1977</v>
      </c>
      <c r="AH203" s="579" t="s">
        <v>1824</v>
      </c>
      <c r="AI203" s="127">
        <f>'3. PRECIOS Y COSTOS'!AK2281</f>
        <v>14514.496344913199</v>
      </c>
      <c r="AJ203" s="127">
        <f t="shared" ref="AJ203:AJ266" si="65">AI203*(1+$F$201)</f>
        <v>14993.474724295334</v>
      </c>
      <c r="AK203" s="127">
        <f t="shared" ref="AK203:AK266" si="66">AJ203*(1+$G$201)</f>
        <v>15458.272440748489</v>
      </c>
      <c r="AL203" s="127">
        <f t="shared" ref="AL203:AL266" si="67">AK203*(1+$H$201)</f>
        <v>15937.478886411691</v>
      </c>
      <c r="AM203" s="127">
        <f t="shared" ref="AM203:AM266" si="68">AL203*(1+$I$201)</f>
        <v>16463.415689663274</v>
      </c>
      <c r="AP203" s="1151"/>
      <c r="AQ203" s="105" t="s">
        <v>1977</v>
      </c>
      <c r="AR203" s="579" t="s">
        <v>1824</v>
      </c>
      <c r="AS203" s="127">
        <f>'3. PRECIOS Y COSTOS'!AK2316</f>
        <v>14514.496344913199</v>
      </c>
      <c r="AT203" s="127">
        <f t="shared" ref="AT203:AT266" si="69">AS203*(1+$F$201)</f>
        <v>14993.474724295334</v>
      </c>
      <c r="AU203" s="127">
        <f t="shared" ref="AU203:AU266" si="70">AT203*(1+$G$201)</f>
        <v>15458.272440748489</v>
      </c>
      <c r="AV203" s="127">
        <f t="shared" ref="AV203:AV266" si="71">AU203*(1+$H$201)</f>
        <v>15937.478886411691</v>
      </c>
      <c r="AW203" s="127">
        <f t="shared" ref="AW203:AW266" si="72">AV203*(1+$I$201)</f>
        <v>16463.415689663274</v>
      </c>
      <c r="AZ203" s="1148"/>
      <c r="BA203" s="105" t="s">
        <v>1977</v>
      </c>
      <c r="BB203" s="579" t="s">
        <v>1824</v>
      </c>
      <c r="BC203" s="127">
        <f>'3. PRECIOS Y COSTOS'!AK2350</f>
        <v>14514.496344913199</v>
      </c>
      <c r="BD203" s="127">
        <f t="shared" ref="BD203:BD266" si="73">BC203*(1+$F$201)</f>
        <v>14993.474724295334</v>
      </c>
      <c r="BE203" s="127">
        <f t="shared" ref="BE203:BE266" si="74">BD203*(1+$G$201)</f>
        <v>15458.272440748489</v>
      </c>
      <c r="BF203" s="127">
        <f t="shared" ref="BF203:BF266" si="75">BE203*(1+$H$201)</f>
        <v>15937.478886411691</v>
      </c>
      <c r="BG203" s="127">
        <f t="shared" ref="BG203:BG266" si="76">BF203*(1+$I$201)</f>
        <v>16463.415689663274</v>
      </c>
      <c r="BJ203" s="1148"/>
      <c r="BK203" s="105" t="s">
        <v>1977</v>
      </c>
      <c r="BL203" s="579" t="s">
        <v>1824</v>
      </c>
      <c r="BM203" s="127">
        <f>'3. PRECIOS Y COSTOS'!AK2383</f>
        <v>14514.496344913199</v>
      </c>
      <c r="BN203" s="127">
        <f t="shared" ref="BN203:BN265" si="77">BM203*(1+$F$201)</f>
        <v>14993.474724295334</v>
      </c>
      <c r="BO203" s="127">
        <f t="shared" ref="BO203:BO265" si="78">BN203*(1+$G$201)</f>
        <v>15458.272440748489</v>
      </c>
      <c r="BP203" s="127">
        <f t="shared" ref="BP203:BP265" si="79">BO203*(1+$H$201)</f>
        <v>15937.478886411691</v>
      </c>
      <c r="BQ203" s="127">
        <f t="shared" ref="BQ203:BQ265" si="80">BP203*(1+$I$201)</f>
        <v>16463.415689663274</v>
      </c>
    </row>
    <row r="204" spans="2:69" x14ac:dyDescent="0.25">
      <c r="B204" s="1148"/>
      <c r="C204" s="105" t="s">
        <v>1978</v>
      </c>
      <c r="D204" s="576" t="s">
        <v>1824</v>
      </c>
      <c r="E204" s="127">
        <f>'3. PRECIOS Y COSTOS'!AL2184</f>
        <v>14668.417248929929</v>
      </c>
      <c r="F204" s="127">
        <f t="shared" si="53"/>
        <v>15152.475018144616</v>
      </c>
      <c r="G204" s="127">
        <f t="shared" si="54"/>
        <v>15622.201743707097</v>
      </c>
      <c r="H204" s="127">
        <f t="shared" si="55"/>
        <v>16106.489997762015</v>
      </c>
      <c r="I204" s="127">
        <f t="shared" si="56"/>
        <v>16638.004167688159</v>
      </c>
      <c r="L204" s="1148"/>
      <c r="M204" s="105" t="s">
        <v>1978</v>
      </c>
      <c r="N204" s="579" t="s">
        <v>1824</v>
      </c>
      <c r="O204" s="127">
        <f>'3. PRECIOS Y COSTOS'!AM2214</f>
        <v>14668.417248929929</v>
      </c>
      <c r="P204" s="127">
        <f t="shared" si="57"/>
        <v>15152.475018144616</v>
      </c>
      <c r="Q204" s="127">
        <f t="shared" si="58"/>
        <v>15622.201743707097</v>
      </c>
      <c r="R204" s="127">
        <f t="shared" si="59"/>
        <v>16106.489997762015</v>
      </c>
      <c r="S204" s="127">
        <f t="shared" si="60"/>
        <v>16638.004167688159</v>
      </c>
      <c r="V204" s="1148"/>
      <c r="W204" s="105" t="s">
        <v>1978</v>
      </c>
      <c r="X204" s="579" t="s">
        <v>1824</v>
      </c>
      <c r="Y204" s="127">
        <f>'3. PRECIOS Y COSTOS'!AL2249</f>
        <v>14668.417248929929</v>
      </c>
      <c r="Z204" s="127">
        <f t="shared" si="61"/>
        <v>15152.475018144616</v>
      </c>
      <c r="AA204" s="127">
        <f t="shared" si="62"/>
        <v>15622.201743707097</v>
      </c>
      <c r="AB204" s="127">
        <f t="shared" si="63"/>
        <v>16106.489997762015</v>
      </c>
      <c r="AC204" s="127">
        <f t="shared" si="64"/>
        <v>16638.004167688159</v>
      </c>
      <c r="AF204" s="1148"/>
      <c r="AG204" s="105" t="s">
        <v>1978</v>
      </c>
      <c r="AH204" s="579" t="s">
        <v>1824</v>
      </c>
      <c r="AI204" s="127">
        <f>'3. PRECIOS Y COSTOS'!AL2281</f>
        <v>14668.417248929929</v>
      </c>
      <c r="AJ204" s="127">
        <f t="shared" si="65"/>
        <v>15152.475018144616</v>
      </c>
      <c r="AK204" s="127">
        <f t="shared" si="66"/>
        <v>15622.201743707097</v>
      </c>
      <c r="AL204" s="127">
        <f t="shared" si="67"/>
        <v>16106.489997762015</v>
      </c>
      <c r="AM204" s="127">
        <f t="shared" si="68"/>
        <v>16638.004167688159</v>
      </c>
      <c r="AP204" s="1151"/>
      <c r="AQ204" s="105" t="s">
        <v>1978</v>
      </c>
      <c r="AR204" s="579" t="s">
        <v>1824</v>
      </c>
      <c r="AS204" s="127">
        <f>'3. PRECIOS Y COSTOS'!AL2316</f>
        <v>14668.417248929929</v>
      </c>
      <c r="AT204" s="127">
        <f t="shared" si="69"/>
        <v>15152.475018144616</v>
      </c>
      <c r="AU204" s="127">
        <f t="shared" si="70"/>
        <v>15622.201743707097</v>
      </c>
      <c r="AV204" s="127">
        <f t="shared" si="71"/>
        <v>16106.489997762015</v>
      </c>
      <c r="AW204" s="127">
        <f t="shared" si="72"/>
        <v>16638.004167688159</v>
      </c>
      <c r="AZ204" s="1148"/>
      <c r="BA204" s="105" t="s">
        <v>1978</v>
      </c>
      <c r="BB204" s="579" t="s">
        <v>1824</v>
      </c>
      <c r="BC204" s="127">
        <f>'3. PRECIOS Y COSTOS'!AL2350</f>
        <v>14668.417248929929</v>
      </c>
      <c r="BD204" s="127">
        <f t="shared" si="73"/>
        <v>15152.475018144616</v>
      </c>
      <c r="BE204" s="127">
        <f t="shared" si="74"/>
        <v>15622.201743707097</v>
      </c>
      <c r="BF204" s="127">
        <f t="shared" si="75"/>
        <v>16106.489997762015</v>
      </c>
      <c r="BG204" s="127">
        <f t="shared" si="76"/>
        <v>16638.004167688159</v>
      </c>
      <c r="BJ204" s="1148"/>
      <c r="BK204" s="105" t="s">
        <v>1978</v>
      </c>
      <c r="BL204" s="579" t="s">
        <v>1824</v>
      </c>
      <c r="BM204" s="127">
        <f>'3. PRECIOS Y COSTOS'!AL2383</f>
        <v>14668.417248929929</v>
      </c>
      <c r="BN204" s="127">
        <f t="shared" si="77"/>
        <v>15152.475018144616</v>
      </c>
      <c r="BO204" s="127">
        <f t="shared" si="78"/>
        <v>15622.201743707097</v>
      </c>
      <c r="BP204" s="127">
        <f t="shared" si="79"/>
        <v>16106.489997762015</v>
      </c>
      <c r="BQ204" s="127">
        <f t="shared" si="80"/>
        <v>16638.004167688159</v>
      </c>
    </row>
    <row r="205" spans="2:69" x14ac:dyDescent="0.25">
      <c r="B205" s="1148"/>
      <c r="C205" s="105" t="s">
        <v>1979</v>
      </c>
      <c r="D205" s="576" t="s">
        <v>1824</v>
      </c>
      <c r="E205" s="127">
        <f>'3. PRECIOS Y COSTOS'!AM2184</f>
        <v>14668.417248929929</v>
      </c>
      <c r="F205" s="127">
        <f t="shared" si="53"/>
        <v>15152.475018144616</v>
      </c>
      <c r="G205" s="127">
        <f t="shared" si="54"/>
        <v>15622.201743707097</v>
      </c>
      <c r="H205" s="127">
        <f t="shared" si="55"/>
        <v>16106.489997762015</v>
      </c>
      <c r="I205" s="127">
        <f t="shared" si="56"/>
        <v>16638.004167688159</v>
      </c>
      <c r="L205" s="1148"/>
      <c r="M205" s="105" t="s">
        <v>1979</v>
      </c>
      <c r="N205" s="579" t="s">
        <v>1824</v>
      </c>
      <c r="O205" s="127">
        <f>'3. PRECIOS Y COSTOS'!AM2214</f>
        <v>14668.417248929929</v>
      </c>
      <c r="P205" s="127">
        <f t="shared" si="57"/>
        <v>15152.475018144616</v>
      </c>
      <c r="Q205" s="127">
        <f t="shared" si="58"/>
        <v>15622.201743707097</v>
      </c>
      <c r="R205" s="127">
        <f t="shared" si="59"/>
        <v>16106.489997762015</v>
      </c>
      <c r="S205" s="127">
        <f t="shared" si="60"/>
        <v>16638.004167688159</v>
      </c>
      <c r="V205" s="1148"/>
      <c r="W205" s="105" t="s">
        <v>1979</v>
      </c>
      <c r="X205" s="579" t="s">
        <v>1824</v>
      </c>
      <c r="Y205" s="127">
        <f>'3. PRECIOS Y COSTOS'!AM2249</f>
        <v>14668.417248929929</v>
      </c>
      <c r="Z205" s="127">
        <f t="shared" si="61"/>
        <v>15152.475018144616</v>
      </c>
      <c r="AA205" s="127">
        <f t="shared" si="62"/>
        <v>15622.201743707097</v>
      </c>
      <c r="AB205" s="127">
        <f t="shared" si="63"/>
        <v>16106.489997762015</v>
      </c>
      <c r="AC205" s="127">
        <f t="shared" si="64"/>
        <v>16638.004167688159</v>
      </c>
      <c r="AF205" s="1148"/>
      <c r="AG205" s="105" t="s">
        <v>1979</v>
      </c>
      <c r="AH205" s="579" t="s">
        <v>1824</v>
      </c>
      <c r="AI205" s="127">
        <f>'3. PRECIOS Y COSTOS'!AM2281</f>
        <v>14668.417248929929</v>
      </c>
      <c r="AJ205" s="127">
        <f t="shared" si="65"/>
        <v>15152.475018144616</v>
      </c>
      <c r="AK205" s="127">
        <f t="shared" si="66"/>
        <v>15622.201743707097</v>
      </c>
      <c r="AL205" s="127">
        <f t="shared" si="67"/>
        <v>16106.489997762015</v>
      </c>
      <c r="AM205" s="127">
        <f t="shared" si="68"/>
        <v>16638.004167688159</v>
      </c>
      <c r="AP205" s="1151"/>
      <c r="AQ205" s="105" t="s">
        <v>1979</v>
      </c>
      <c r="AR205" s="579" t="s">
        <v>1824</v>
      </c>
      <c r="AS205" s="127">
        <f>'3. PRECIOS Y COSTOS'!AM2316</f>
        <v>14668.417248929929</v>
      </c>
      <c r="AT205" s="127">
        <f t="shared" si="69"/>
        <v>15152.475018144616</v>
      </c>
      <c r="AU205" s="127">
        <f t="shared" si="70"/>
        <v>15622.201743707097</v>
      </c>
      <c r="AV205" s="127">
        <f t="shared" si="71"/>
        <v>16106.489997762015</v>
      </c>
      <c r="AW205" s="127">
        <f t="shared" si="72"/>
        <v>16638.004167688159</v>
      </c>
      <c r="AZ205" s="1148"/>
      <c r="BA205" s="105" t="s">
        <v>1979</v>
      </c>
      <c r="BB205" s="579" t="s">
        <v>1824</v>
      </c>
      <c r="BC205" s="127">
        <f>'3. PRECIOS Y COSTOS'!AM2350</f>
        <v>14668.417248929929</v>
      </c>
      <c r="BD205" s="127">
        <f t="shared" si="73"/>
        <v>15152.475018144616</v>
      </c>
      <c r="BE205" s="127">
        <f t="shared" si="74"/>
        <v>15622.201743707097</v>
      </c>
      <c r="BF205" s="127">
        <f t="shared" si="75"/>
        <v>16106.489997762015</v>
      </c>
      <c r="BG205" s="127">
        <f t="shared" si="76"/>
        <v>16638.004167688159</v>
      </c>
      <c r="BJ205" s="1148"/>
      <c r="BK205" s="105" t="s">
        <v>1979</v>
      </c>
      <c r="BL205" s="579" t="s">
        <v>1824</v>
      </c>
      <c r="BM205" s="127">
        <f>'3. PRECIOS Y COSTOS'!AM2383</f>
        <v>14668.417248929929</v>
      </c>
      <c r="BN205" s="127">
        <f t="shared" si="77"/>
        <v>15152.475018144616</v>
      </c>
      <c r="BO205" s="127">
        <f t="shared" si="78"/>
        <v>15622.201743707097</v>
      </c>
      <c r="BP205" s="127">
        <f t="shared" si="79"/>
        <v>16106.489997762015</v>
      </c>
      <c r="BQ205" s="127">
        <f t="shared" si="80"/>
        <v>16638.004167688159</v>
      </c>
    </row>
    <row r="206" spans="2:69" x14ac:dyDescent="0.25">
      <c r="B206" s="1148"/>
      <c r="C206" s="105" t="s">
        <v>1980</v>
      </c>
      <c r="D206" s="576" t="s">
        <v>1824</v>
      </c>
      <c r="E206" s="127">
        <f>'3. PRECIOS Y COSTOS'!AN2184</f>
        <v>14668.417248929929</v>
      </c>
      <c r="F206" s="127">
        <f t="shared" si="53"/>
        <v>15152.475018144616</v>
      </c>
      <c r="G206" s="127">
        <f t="shared" si="54"/>
        <v>15622.201743707097</v>
      </c>
      <c r="H206" s="127">
        <f t="shared" si="55"/>
        <v>16106.489997762015</v>
      </c>
      <c r="I206" s="127">
        <f t="shared" si="56"/>
        <v>16638.004167688159</v>
      </c>
      <c r="L206" s="1148"/>
      <c r="M206" s="105" t="s">
        <v>1980</v>
      </c>
      <c r="N206" s="579" t="s">
        <v>1824</v>
      </c>
      <c r="O206" s="127">
        <f>'3. PRECIOS Y COSTOS'!AN2214</f>
        <v>14668.417248929929</v>
      </c>
      <c r="P206" s="127">
        <f t="shared" si="57"/>
        <v>15152.475018144616</v>
      </c>
      <c r="Q206" s="127">
        <f t="shared" si="58"/>
        <v>15622.201743707097</v>
      </c>
      <c r="R206" s="127">
        <f t="shared" si="59"/>
        <v>16106.489997762015</v>
      </c>
      <c r="S206" s="127">
        <f t="shared" si="60"/>
        <v>16638.004167688159</v>
      </c>
      <c r="V206" s="1148"/>
      <c r="W206" s="105" t="s">
        <v>1980</v>
      </c>
      <c r="X206" s="579" t="s">
        <v>1824</v>
      </c>
      <c r="Y206" s="127">
        <f>'3. PRECIOS Y COSTOS'!AN2249</f>
        <v>14668.417248929929</v>
      </c>
      <c r="Z206" s="127">
        <f t="shared" si="61"/>
        <v>15152.475018144616</v>
      </c>
      <c r="AA206" s="127">
        <f t="shared" si="62"/>
        <v>15622.201743707097</v>
      </c>
      <c r="AB206" s="127">
        <f t="shared" si="63"/>
        <v>16106.489997762015</v>
      </c>
      <c r="AC206" s="127">
        <f t="shared" si="64"/>
        <v>16638.004167688159</v>
      </c>
      <c r="AF206" s="1148"/>
      <c r="AG206" s="105" t="s">
        <v>1980</v>
      </c>
      <c r="AH206" s="579" t="s">
        <v>1824</v>
      </c>
      <c r="AI206" s="127">
        <f>'3. PRECIOS Y COSTOS'!AN2281</f>
        <v>14668.417248929929</v>
      </c>
      <c r="AJ206" s="127">
        <f t="shared" si="65"/>
        <v>15152.475018144616</v>
      </c>
      <c r="AK206" s="127">
        <f t="shared" si="66"/>
        <v>15622.201743707097</v>
      </c>
      <c r="AL206" s="127">
        <f t="shared" si="67"/>
        <v>16106.489997762015</v>
      </c>
      <c r="AM206" s="127">
        <f t="shared" si="68"/>
        <v>16638.004167688159</v>
      </c>
      <c r="AP206" s="1151"/>
      <c r="AQ206" s="105" t="s">
        <v>1980</v>
      </c>
      <c r="AR206" s="579" t="s">
        <v>1824</v>
      </c>
      <c r="AS206" s="127">
        <f>'3. PRECIOS Y COSTOS'!AN2316</f>
        <v>14668.417248929929</v>
      </c>
      <c r="AT206" s="127">
        <f t="shared" si="69"/>
        <v>15152.475018144616</v>
      </c>
      <c r="AU206" s="127">
        <f t="shared" si="70"/>
        <v>15622.201743707097</v>
      </c>
      <c r="AV206" s="127">
        <f t="shared" si="71"/>
        <v>16106.489997762015</v>
      </c>
      <c r="AW206" s="127">
        <f t="shared" si="72"/>
        <v>16638.004167688159</v>
      </c>
      <c r="AZ206" s="1148"/>
      <c r="BA206" s="105" t="s">
        <v>1980</v>
      </c>
      <c r="BB206" s="579" t="s">
        <v>1824</v>
      </c>
      <c r="BC206" s="127">
        <f>'3. PRECIOS Y COSTOS'!AN2350</f>
        <v>14668.417248929929</v>
      </c>
      <c r="BD206" s="127">
        <f t="shared" si="73"/>
        <v>15152.475018144616</v>
      </c>
      <c r="BE206" s="127">
        <f t="shared" si="74"/>
        <v>15622.201743707097</v>
      </c>
      <c r="BF206" s="127">
        <f t="shared" si="75"/>
        <v>16106.489997762015</v>
      </c>
      <c r="BG206" s="127">
        <f t="shared" si="76"/>
        <v>16638.004167688159</v>
      </c>
      <c r="BJ206" s="1148"/>
      <c r="BK206" s="105" t="s">
        <v>1980</v>
      </c>
      <c r="BL206" s="579" t="s">
        <v>1824</v>
      </c>
      <c r="BM206" s="127">
        <f>'3. PRECIOS Y COSTOS'!AN2383</f>
        <v>14668.417248929929</v>
      </c>
      <c r="BN206" s="127">
        <f t="shared" si="77"/>
        <v>15152.475018144616</v>
      </c>
      <c r="BO206" s="127">
        <f t="shared" si="78"/>
        <v>15622.201743707097</v>
      </c>
      <c r="BP206" s="127">
        <f t="shared" si="79"/>
        <v>16106.489997762015</v>
      </c>
      <c r="BQ206" s="127">
        <f t="shared" si="80"/>
        <v>16638.004167688159</v>
      </c>
    </row>
    <row r="207" spans="2:69" x14ac:dyDescent="0.25">
      <c r="B207" s="1148"/>
      <c r="C207" s="105" t="s">
        <v>1981</v>
      </c>
      <c r="D207" s="576" t="s">
        <v>1824</v>
      </c>
      <c r="E207" s="127">
        <f>'3. PRECIOS Y COSTOS'!AO2184</f>
        <v>14514.496344913199</v>
      </c>
      <c r="F207" s="127">
        <f t="shared" si="53"/>
        <v>14993.474724295334</v>
      </c>
      <c r="G207" s="127">
        <f t="shared" si="54"/>
        <v>15458.272440748489</v>
      </c>
      <c r="H207" s="127">
        <f t="shared" si="55"/>
        <v>15937.478886411691</v>
      </c>
      <c r="I207" s="127">
        <f t="shared" si="56"/>
        <v>16463.415689663274</v>
      </c>
      <c r="L207" s="1148"/>
      <c r="M207" s="105" t="s">
        <v>1981</v>
      </c>
      <c r="N207" s="579" t="s">
        <v>1824</v>
      </c>
      <c r="O207" s="127">
        <f>'3. PRECIOS Y COSTOS'!AO2214</f>
        <v>14514.496344913199</v>
      </c>
      <c r="P207" s="127">
        <f t="shared" si="57"/>
        <v>14993.474724295334</v>
      </c>
      <c r="Q207" s="127">
        <f t="shared" si="58"/>
        <v>15458.272440748489</v>
      </c>
      <c r="R207" s="127">
        <f t="shared" si="59"/>
        <v>15937.478886411691</v>
      </c>
      <c r="S207" s="127">
        <f t="shared" si="60"/>
        <v>16463.415689663274</v>
      </c>
      <c r="V207" s="1148"/>
      <c r="W207" s="105" t="s">
        <v>1981</v>
      </c>
      <c r="X207" s="579" t="s">
        <v>1824</v>
      </c>
      <c r="Y207" s="127">
        <f>'3. PRECIOS Y COSTOS'!AO2249</f>
        <v>14514.496344913199</v>
      </c>
      <c r="Z207" s="127">
        <f t="shared" si="61"/>
        <v>14993.474724295334</v>
      </c>
      <c r="AA207" s="127">
        <f t="shared" si="62"/>
        <v>15458.272440748489</v>
      </c>
      <c r="AB207" s="127">
        <f t="shared" si="63"/>
        <v>15937.478886411691</v>
      </c>
      <c r="AC207" s="127">
        <f t="shared" si="64"/>
        <v>16463.415689663274</v>
      </c>
      <c r="AF207" s="1148"/>
      <c r="AG207" s="105" t="s">
        <v>1981</v>
      </c>
      <c r="AH207" s="579" t="s">
        <v>1824</v>
      </c>
      <c r="AI207" s="127">
        <f>'3. PRECIOS Y COSTOS'!AO2281</f>
        <v>14514.496344913199</v>
      </c>
      <c r="AJ207" s="127">
        <f t="shared" si="65"/>
        <v>14993.474724295334</v>
      </c>
      <c r="AK207" s="127">
        <f t="shared" si="66"/>
        <v>15458.272440748489</v>
      </c>
      <c r="AL207" s="127">
        <f t="shared" si="67"/>
        <v>15937.478886411691</v>
      </c>
      <c r="AM207" s="127">
        <f t="shared" si="68"/>
        <v>16463.415689663274</v>
      </c>
      <c r="AP207" s="1151"/>
      <c r="AQ207" s="105" t="s">
        <v>1981</v>
      </c>
      <c r="AR207" s="579" t="s">
        <v>1824</v>
      </c>
      <c r="AS207" s="127">
        <f>'3. PRECIOS Y COSTOS'!AO2316</f>
        <v>14514.496344913199</v>
      </c>
      <c r="AT207" s="127">
        <f t="shared" si="69"/>
        <v>14993.474724295334</v>
      </c>
      <c r="AU207" s="127">
        <f t="shared" si="70"/>
        <v>15458.272440748489</v>
      </c>
      <c r="AV207" s="127">
        <f t="shared" si="71"/>
        <v>15937.478886411691</v>
      </c>
      <c r="AW207" s="127">
        <f t="shared" si="72"/>
        <v>16463.415689663274</v>
      </c>
      <c r="AZ207" s="1148"/>
      <c r="BA207" s="105" t="s">
        <v>1981</v>
      </c>
      <c r="BB207" s="579" t="s">
        <v>1824</v>
      </c>
      <c r="BC207" s="127">
        <f>'3. PRECIOS Y COSTOS'!AO2350</f>
        <v>14514.496344913199</v>
      </c>
      <c r="BD207" s="127">
        <f t="shared" si="73"/>
        <v>14993.474724295334</v>
      </c>
      <c r="BE207" s="127">
        <f t="shared" si="74"/>
        <v>15458.272440748489</v>
      </c>
      <c r="BF207" s="127">
        <f t="shared" si="75"/>
        <v>15937.478886411691</v>
      </c>
      <c r="BG207" s="127">
        <f t="shared" si="76"/>
        <v>16463.415689663274</v>
      </c>
      <c r="BJ207" s="1148"/>
      <c r="BK207" s="105" t="s">
        <v>1981</v>
      </c>
      <c r="BL207" s="579" t="s">
        <v>1824</v>
      </c>
      <c r="BM207" s="127">
        <f>'3. PRECIOS Y COSTOS'!AO2383</f>
        <v>14514.496344913199</v>
      </c>
      <c r="BN207" s="127">
        <f t="shared" si="77"/>
        <v>14993.474724295334</v>
      </c>
      <c r="BO207" s="127">
        <f t="shared" si="78"/>
        <v>15458.272440748489</v>
      </c>
      <c r="BP207" s="127">
        <f t="shared" si="79"/>
        <v>15937.478886411691</v>
      </c>
      <c r="BQ207" s="127">
        <f t="shared" si="80"/>
        <v>16463.415689663274</v>
      </c>
    </row>
    <row r="208" spans="2:69" x14ac:dyDescent="0.25">
      <c r="B208" s="1148"/>
      <c r="C208" s="105" t="s">
        <v>1982</v>
      </c>
      <c r="D208" s="576" t="s">
        <v>1824</v>
      </c>
      <c r="E208" s="127">
        <f>'3. PRECIOS Y COSTOS'!AP2184</f>
        <v>14514.496344913199</v>
      </c>
      <c r="F208" s="127">
        <f t="shared" si="53"/>
        <v>14993.474724295334</v>
      </c>
      <c r="G208" s="127">
        <f t="shared" si="54"/>
        <v>15458.272440748489</v>
      </c>
      <c r="H208" s="127">
        <f t="shared" si="55"/>
        <v>15937.478886411691</v>
      </c>
      <c r="I208" s="127">
        <f t="shared" si="56"/>
        <v>16463.415689663274</v>
      </c>
      <c r="L208" s="1148"/>
      <c r="M208" s="105" t="s">
        <v>1982</v>
      </c>
      <c r="N208" s="579" t="s">
        <v>1824</v>
      </c>
      <c r="O208" s="127">
        <f>'3. PRECIOS Y COSTOS'!AP2214</f>
        <v>14514.496344913199</v>
      </c>
      <c r="P208" s="127">
        <f t="shared" si="57"/>
        <v>14993.474724295334</v>
      </c>
      <c r="Q208" s="127">
        <f t="shared" si="58"/>
        <v>15458.272440748489</v>
      </c>
      <c r="R208" s="127">
        <f t="shared" si="59"/>
        <v>15937.478886411691</v>
      </c>
      <c r="S208" s="127">
        <f t="shared" si="60"/>
        <v>16463.415689663274</v>
      </c>
      <c r="V208" s="1148"/>
      <c r="W208" s="105" t="s">
        <v>1982</v>
      </c>
      <c r="X208" s="579" t="s">
        <v>1824</v>
      </c>
      <c r="Y208" s="127">
        <f>'3. PRECIOS Y COSTOS'!AP2249</f>
        <v>14514.496344913199</v>
      </c>
      <c r="Z208" s="127">
        <f t="shared" si="61"/>
        <v>14993.474724295334</v>
      </c>
      <c r="AA208" s="127">
        <f t="shared" si="62"/>
        <v>15458.272440748489</v>
      </c>
      <c r="AB208" s="127">
        <f t="shared" si="63"/>
        <v>15937.478886411691</v>
      </c>
      <c r="AC208" s="127">
        <f t="shared" si="64"/>
        <v>16463.415689663274</v>
      </c>
      <c r="AF208" s="1148"/>
      <c r="AG208" s="105" t="s">
        <v>1982</v>
      </c>
      <c r="AH208" s="579" t="s">
        <v>1824</v>
      </c>
      <c r="AI208" s="127">
        <f>'3. PRECIOS Y COSTOS'!AP2281</f>
        <v>14514.496344913199</v>
      </c>
      <c r="AJ208" s="127">
        <f t="shared" si="65"/>
        <v>14993.474724295334</v>
      </c>
      <c r="AK208" s="127">
        <f t="shared" si="66"/>
        <v>15458.272440748489</v>
      </c>
      <c r="AL208" s="127">
        <f t="shared" si="67"/>
        <v>15937.478886411691</v>
      </c>
      <c r="AM208" s="127">
        <f t="shared" si="68"/>
        <v>16463.415689663274</v>
      </c>
      <c r="AP208" s="1151"/>
      <c r="AQ208" s="105" t="s">
        <v>1982</v>
      </c>
      <c r="AR208" s="579" t="s">
        <v>1824</v>
      </c>
      <c r="AS208" s="127">
        <f>'3. PRECIOS Y COSTOS'!AP2316</f>
        <v>14514.496344913199</v>
      </c>
      <c r="AT208" s="127">
        <f t="shared" si="69"/>
        <v>14993.474724295334</v>
      </c>
      <c r="AU208" s="127">
        <f t="shared" si="70"/>
        <v>15458.272440748489</v>
      </c>
      <c r="AV208" s="127">
        <f t="shared" si="71"/>
        <v>15937.478886411691</v>
      </c>
      <c r="AW208" s="127">
        <f t="shared" si="72"/>
        <v>16463.415689663274</v>
      </c>
      <c r="AZ208" s="1148"/>
      <c r="BA208" s="105" t="s">
        <v>1982</v>
      </c>
      <c r="BB208" s="579" t="s">
        <v>1824</v>
      </c>
      <c r="BC208" s="127">
        <f>'3. PRECIOS Y COSTOS'!AP2350</f>
        <v>14514.496344913199</v>
      </c>
      <c r="BD208" s="127">
        <f t="shared" si="73"/>
        <v>14993.474724295334</v>
      </c>
      <c r="BE208" s="127">
        <f t="shared" si="74"/>
        <v>15458.272440748489</v>
      </c>
      <c r="BF208" s="127">
        <f t="shared" si="75"/>
        <v>15937.478886411691</v>
      </c>
      <c r="BG208" s="127">
        <f t="shared" si="76"/>
        <v>16463.415689663274</v>
      </c>
      <c r="BJ208" s="1148"/>
      <c r="BK208" s="105" t="s">
        <v>1982</v>
      </c>
      <c r="BL208" s="579" t="s">
        <v>1824</v>
      </c>
      <c r="BM208" s="127">
        <f>'3. PRECIOS Y COSTOS'!AP2383</f>
        <v>14514.496344913199</v>
      </c>
      <c r="BN208" s="127">
        <f t="shared" si="77"/>
        <v>14993.474724295334</v>
      </c>
      <c r="BO208" s="127">
        <f t="shared" si="78"/>
        <v>15458.272440748489</v>
      </c>
      <c r="BP208" s="127">
        <f t="shared" si="79"/>
        <v>15937.478886411691</v>
      </c>
      <c r="BQ208" s="127">
        <f t="shared" si="80"/>
        <v>16463.415689663274</v>
      </c>
    </row>
    <row r="209" spans="2:69" x14ac:dyDescent="0.25">
      <c r="B209" s="1148"/>
      <c r="C209" s="105" t="s">
        <v>1983</v>
      </c>
      <c r="D209" s="576" t="s">
        <v>1824</v>
      </c>
      <c r="E209" s="127">
        <f>'3. PRECIOS Y COSTOS'!AQ2184</f>
        <v>14668.417248929929</v>
      </c>
      <c r="F209" s="127">
        <f t="shared" si="53"/>
        <v>15152.475018144616</v>
      </c>
      <c r="G209" s="127">
        <f t="shared" si="54"/>
        <v>15622.201743707097</v>
      </c>
      <c r="H209" s="127">
        <f t="shared" si="55"/>
        <v>16106.489997762015</v>
      </c>
      <c r="I209" s="127">
        <f t="shared" si="56"/>
        <v>16638.004167688159</v>
      </c>
      <c r="L209" s="1148"/>
      <c r="M209" s="105" t="s">
        <v>1983</v>
      </c>
      <c r="N209" s="579" t="s">
        <v>1824</v>
      </c>
      <c r="O209" s="127">
        <f>'3. PRECIOS Y COSTOS'!AQ2214</f>
        <v>14668.417248929929</v>
      </c>
      <c r="P209" s="127">
        <f t="shared" si="57"/>
        <v>15152.475018144616</v>
      </c>
      <c r="Q209" s="127">
        <f t="shared" si="58"/>
        <v>15622.201743707097</v>
      </c>
      <c r="R209" s="127">
        <f t="shared" si="59"/>
        <v>16106.489997762015</v>
      </c>
      <c r="S209" s="127">
        <f t="shared" si="60"/>
        <v>16638.004167688159</v>
      </c>
      <c r="V209" s="1148"/>
      <c r="W209" s="105" t="s">
        <v>1983</v>
      </c>
      <c r="X209" s="579" t="s">
        <v>1824</v>
      </c>
      <c r="Y209" s="127">
        <f>'3. PRECIOS Y COSTOS'!AQ2249</f>
        <v>14668.417248929929</v>
      </c>
      <c r="Z209" s="127">
        <f t="shared" si="61"/>
        <v>15152.475018144616</v>
      </c>
      <c r="AA209" s="127">
        <f t="shared" si="62"/>
        <v>15622.201743707097</v>
      </c>
      <c r="AB209" s="127">
        <f t="shared" si="63"/>
        <v>16106.489997762015</v>
      </c>
      <c r="AC209" s="127">
        <f t="shared" si="64"/>
        <v>16638.004167688159</v>
      </c>
      <c r="AF209" s="1148"/>
      <c r="AG209" s="105" t="s">
        <v>1983</v>
      </c>
      <c r="AH209" s="579" t="s">
        <v>1824</v>
      </c>
      <c r="AI209" s="127">
        <f>'3. PRECIOS Y COSTOS'!AQ2281</f>
        <v>14668.417248929929</v>
      </c>
      <c r="AJ209" s="127">
        <f t="shared" si="65"/>
        <v>15152.475018144616</v>
      </c>
      <c r="AK209" s="127">
        <f t="shared" si="66"/>
        <v>15622.201743707097</v>
      </c>
      <c r="AL209" s="127">
        <f t="shared" si="67"/>
        <v>16106.489997762015</v>
      </c>
      <c r="AM209" s="127">
        <f t="shared" si="68"/>
        <v>16638.004167688159</v>
      </c>
      <c r="AP209" s="1151"/>
      <c r="AQ209" s="105" t="s">
        <v>1983</v>
      </c>
      <c r="AR209" s="579" t="s">
        <v>1824</v>
      </c>
      <c r="AS209" s="127">
        <f>'3. PRECIOS Y COSTOS'!AQ2316</f>
        <v>14668.417248929929</v>
      </c>
      <c r="AT209" s="127">
        <f t="shared" si="69"/>
        <v>15152.475018144616</v>
      </c>
      <c r="AU209" s="127">
        <f t="shared" si="70"/>
        <v>15622.201743707097</v>
      </c>
      <c r="AV209" s="127">
        <f t="shared" si="71"/>
        <v>16106.489997762015</v>
      </c>
      <c r="AW209" s="127">
        <f t="shared" si="72"/>
        <v>16638.004167688159</v>
      </c>
      <c r="AZ209" s="1148"/>
      <c r="BA209" s="105" t="s">
        <v>1983</v>
      </c>
      <c r="BB209" s="579" t="s">
        <v>1824</v>
      </c>
      <c r="BC209" s="127">
        <f>'3. PRECIOS Y COSTOS'!AQ2350</f>
        <v>14668.417248929929</v>
      </c>
      <c r="BD209" s="127">
        <f t="shared" si="73"/>
        <v>15152.475018144616</v>
      </c>
      <c r="BE209" s="127">
        <f t="shared" si="74"/>
        <v>15622.201743707097</v>
      </c>
      <c r="BF209" s="127">
        <f t="shared" si="75"/>
        <v>16106.489997762015</v>
      </c>
      <c r="BG209" s="127">
        <f t="shared" si="76"/>
        <v>16638.004167688159</v>
      </c>
      <c r="BJ209" s="1148"/>
      <c r="BK209" s="105" t="s">
        <v>1983</v>
      </c>
      <c r="BL209" s="579" t="s">
        <v>1824</v>
      </c>
      <c r="BM209" s="127">
        <f>'3. PRECIOS Y COSTOS'!AQ2383</f>
        <v>14668.417248929929</v>
      </c>
      <c r="BN209" s="127">
        <f t="shared" si="77"/>
        <v>15152.475018144616</v>
      </c>
      <c r="BO209" s="127">
        <f t="shared" si="78"/>
        <v>15622.201743707097</v>
      </c>
      <c r="BP209" s="127">
        <f t="shared" si="79"/>
        <v>16106.489997762015</v>
      </c>
      <c r="BQ209" s="127">
        <f t="shared" si="80"/>
        <v>16638.004167688159</v>
      </c>
    </row>
    <row r="210" spans="2:69" x14ac:dyDescent="0.25">
      <c r="B210" s="1148"/>
      <c r="C210" s="105" t="s">
        <v>1984</v>
      </c>
      <c r="D210" s="576" t="s">
        <v>1824</v>
      </c>
      <c r="E210" s="127">
        <f>'3. PRECIOS Y COSTOS'!AM2185</f>
        <v>13096.628448929929</v>
      </c>
      <c r="F210" s="127">
        <f t="shared" si="53"/>
        <v>13528.817187744615</v>
      </c>
      <c r="G210" s="127">
        <f t="shared" si="54"/>
        <v>13948.210520564697</v>
      </c>
      <c r="H210" s="127">
        <f t="shared" si="55"/>
        <v>14380.605046702201</v>
      </c>
      <c r="I210" s="127">
        <f t="shared" si="56"/>
        <v>14855.165013243373</v>
      </c>
      <c r="L210" s="1148"/>
      <c r="M210" s="105" t="s">
        <v>1984</v>
      </c>
      <c r="N210" s="579" t="s">
        <v>1824</v>
      </c>
      <c r="O210" s="127">
        <f>'3. PRECIOS Y COSTOS'!AM2215</f>
        <v>13096.628448929929</v>
      </c>
      <c r="P210" s="127">
        <f t="shared" si="57"/>
        <v>13528.817187744615</v>
      </c>
      <c r="Q210" s="127">
        <f t="shared" si="58"/>
        <v>13948.210520564697</v>
      </c>
      <c r="R210" s="127">
        <f t="shared" si="59"/>
        <v>14380.605046702201</v>
      </c>
      <c r="S210" s="127">
        <f t="shared" si="60"/>
        <v>14855.165013243373</v>
      </c>
      <c r="V210" s="1148"/>
      <c r="W210" s="105" t="s">
        <v>1984</v>
      </c>
      <c r="X210" s="579" t="s">
        <v>1824</v>
      </c>
      <c r="Y210" s="127">
        <f>'3. PRECIOS Y COSTOS'!AM2250</f>
        <v>13096.628448929929</v>
      </c>
      <c r="Z210" s="127">
        <f t="shared" si="61"/>
        <v>13528.817187744615</v>
      </c>
      <c r="AA210" s="127">
        <f t="shared" si="62"/>
        <v>13948.210520564697</v>
      </c>
      <c r="AB210" s="127">
        <f t="shared" si="63"/>
        <v>14380.605046702201</v>
      </c>
      <c r="AC210" s="127">
        <f t="shared" si="64"/>
        <v>14855.165013243373</v>
      </c>
      <c r="AF210" s="1148"/>
      <c r="AG210" s="105" t="s">
        <v>1984</v>
      </c>
      <c r="AH210" s="579" t="s">
        <v>1824</v>
      </c>
      <c r="AI210" s="127">
        <f>'3. PRECIOS Y COSTOS'!AM2282</f>
        <v>13096.628448929929</v>
      </c>
      <c r="AJ210" s="127">
        <f t="shared" si="65"/>
        <v>13528.817187744615</v>
      </c>
      <c r="AK210" s="127">
        <f t="shared" si="66"/>
        <v>13948.210520564697</v>
      </c>
      <c r="AL210" s="127">
        <f t="shared" si="67"/>
        <v>14380.605046702201</v>
      </c>
      <c r="AM210" s="127">
        <f t="shared" si="68"/>
        <v>14855.165013243373</v>
      </c>
      <c r="AP210" s="1151"/>
      <c r="AQ210" s="105" t="s">
        <v>1984</v>
      </c>
      <c r="AR210" s="579" t="s">
        <v>1824</v>
      </c>
      <c r="AS210" s="127">
        <f>'3. PRECIOS Y COSTOS'!AM2317</f>
        <v>13096.628448929929</v>
      </c>
      <c r="AT210" s="127">
        <f t="shared" si="69"/>
        <v>13528.817187744615</v>
      </c>
      <c r="AU210" s="127">
        <f t="shared" si="70"/>
        <v>13948.210520564697</v>
      </c>
      <c r="AV210" s="127">
        <f t="shared" si="71"/>
        <v>14380.605046702201</v>
      </c>
      <c r="AW210" s="127">
        <f t="shared" si="72"/>
        <v>14855.165013243373</v>
      </c>
      <c r="AZ210" s="1148"/>
      <c r="BA210" s="105" t="s">
        <v>1984</v>
      </c>
      <c r="BB210" s="579" t="s">
        <v>1824</v>
      </c>
      <c r="BC210" s="127">
        <f>'3. PRECIOS Y COSTOS'!AM2351</f>
        <v>13096.628448929929</v>
      </c>
      <c r="BD210" s="127">
        <f t="shared" si="73"/>
        <v>13528.817187744615</v>
      </c>
      <c r="BE210" s="127">
        <f t="shared" si="74"/>
        <v>13948.210520564697</v>
      </c>
      <c r="BF210" s="127">
        <f t="shared" si="75"/>
        <v>14380.605046702201</v>
      </c>
      <c r="BG210" s="127">
        <f t="shared" si="76"/>
        <v>14855.165013243373</v>
      </c>
      <c r="BJ210" s="1148"/>
      <c r="BK210" s="105" t="s">
        <v>1984</v>
      </c>
      <c r="BL210" s="579" t="s">
        <v>1824</v>
      </c>
      <c r="BM210" s="127">
        <f>'3. PRECIOS Y COSTOS'!AM2384</f>
        <v>13096.628448929929</v>
      </c>
      <c r="BN210" s="127">
        <f t="shared" si="77"/>
        <v>13528.817187744615</v>
      </c>
      <c r="BO210" s="127">
        <f t="shared" si="78"/>
        <v>13948.210520564697</v>
      </c>
      <c r="BP210" s="127">
        <f t="shared" si="79"/>
        <v>14380.605046702201</v>
      </c>
      <c r="BQ210" s="127">
        <f t="shared" si="80"/>
        <v>14855.165013243373</v>
      </c>
    </row>
    <row r="211" spans="2:69" x14ac:dyDescent="0.25">
      <c r="B211" s="1148"/>
      <c r="C211" s="105" t="s">
        <v>1985</v>
      </c>
      <c r="D211" s="576" t="s">
        <v>1824</v>
      </c>
      <c r="E211" s="127">
        <f>'3. PRECIOS Y COSTOS'!AN2185</f>
        <v>13096.628448929929</v>
      </c>
      <c r="F211" s="127">
        <f t="shared" si="53"/>
        <v>13528.817187744615</v>
      </c>
      <c r="G211" s="127">
        <f t="shared" si="54"/>
        <v>13948.210520564697</v>
      </c>
      <c r="H211" s="127">
        <f t="shared" si="55"/>
        <v>14380.605046702201</v>
      </c>
      <c r="I211" s="127">
        <f t="shared" si="56"/>
        <v>14855.165013243373</v>
      </c>
      <c r="L211" s="1148"/>
      <c r="M211" s="105" t="s">
        <v>1985</v>
      </c>
      <c r="N211" s="579" t="s">
        <v>1824</v>
      </c>
      <c r="O211" s="127">
        <f>'3. PRECIOS Y COSTOS'!AN2215</f>
        <v>13096.628448929929</v>
      </c>
      <c r="P211" s="127">
        <f t="shared" si="57"/>
        <v>13528.817187744615</v>
      </c>
      <c r="Q211" s="127">
        <f t="shared" si="58"/>
        <v>13948.210520564697</v>
      </c>
      <c r="R211" s="127">
        <f t="shared" si="59"/>
        <v>14380.605046702201</v>
      </c>
      <c r="S211" s="127">
        <f t="shared" si="60"/>
        <v>14855.165013243373</v>
      </c>
      <c r="V211" s="1148"/>
      <c r="W211" s="105" t="s">
        <v>1985</v>
      </c>
      <c r="X211" s="579" t="s">
        <v>1824</v>
      </c>
      <c r="Y211" s="127">
        <f>'3. PRECIOS Y COSTOS'!AN2250</f>
        <v>13096.628448929929</v>
      </c>
      <c r="Z211" s="127">
        <f t="shared" si="61"/>
        <v>13528.817187744615</v>
      </c>
      <c r="AA211" s="127">
        <f t="shared" si="62"/>
        <v>13948.210520564697</v>
      </c>
      <c r="AB211" s="127">
        <f t="shared" si="63"/>
        <v>14380.605046702201</v>
      </c>
      <c r="AC211" s="127">
        <f t="shared" si="64"/>
        <v>14855.165013243373</v>
      </c>
      <c r="AF211" s="1148"/>
      <c r="AG211" s="105" t="s">
        <v>1985</v>
      </c>
      <c r="AH211" s="579" t="s">
        <v>1824</v>
      </c>
      <c r="AI211" s="127">
        <f>'3. PRECIOS Y COSTOS'!AN2282</f>
        <v>13096.628448929929</v>
      </c>
      <c r="AJ211" s="127">
        <f t="shared" si="65"/>
        <v>13528.817187744615</v>
      </c>
      <c r="AK211" s="127">
        <f t="shared" si="66"/>
        <v>13948.210520564697</v>
      </c>
      <c r="AL211" s="127">
        <f t="shared" si="67"/>
        <v>14380.605046702201</v>
      </c>
      <c r="AM211" s="127">
        <f t="shared" si="68"/>
        <v>14855.165013243373</v>
      </c>
      <c r="AP211" s="1151"/>
      <c r="AQ211" s="105" t="s">
        <v>1985</v>
      </c>
      <c r="AR211" s="579" t="s">
        <v>1824</v>
      </c>
      <c r="AS211" s="127">
        <f>'3. PRECIOS Y COSTOS'!AN2317</f>
        <v>13096.628448929929</v>
      </c>
      <c r="AT211" s="127">
        <f t="shared" si="69"/>
        <v>13528.817187744615</v>
      </c>
      <c r="AU211" s="127">
        <f t="shared" si="70"/>
        <v>13948.210520564697</v>
      </c>
      <c r="AV211" s="127">
        <f t="shared" si="71"/>
        <v>14380.605046702201</v>
      </c>
      <c r="AW211" s="127">
        <f t="shared" si="72"/>
        <v>14855.165013243373</v>
      </c>
      <c r="AZ211" s="1148"/>
      <c r="BA211" s="105" t="s">
        <v>1985</v>
      </c>
      <c r="BB211" s="579" t="s">
        <v>1824</v>
      </c>
      <c r="BC211" s="127">
        <f>'3. PRECIOS Y COSTOS'!AN2351</f>
        <v>13096.628448929929</v>
      </c>
      <c r="BD211" s="127">
        <f t="shared" si="73"/>
        <v>13528.817187744615</v>
      </c>
      <c r="BE211" s="127">
        <f t="shared" si="74"/>
        <v>13948.210520564697</v>
      </c>
      <c r="BF211" s="127">
        <f t="shared" si="75"/>
        <v>14380.605046702201</v>
      </c>
      <c r="BG211" s="127">
        <f t="shared" si="76"/>
        <v>14855.165013243373</v>
      </c>
      <c r="BJ211" s="1148"/>
      <c r="BK211" s="105" t="s">
        <v>1985</v>
      </c>
      <c r="BL211" s="579" t="s">
        <v>1824</v>
      </c>
      <c r="BM211" s="127">
        <f>'3. PRECIOS Y COSTOS'!AN2384</f>
        <v>13096.628448929929</v>
      </c>
      <c r="BN211" s="127">
        <f t="shared" si="77"/>
        <v>13528.817187744615</v>
      </c>
      <c r="BO211" s="127">
        <f t="shared" si="78"/>
        <v>13948.210520564697</v>
      </c>
      <c r="BP211" s="127">
        <f t="shared" si="79"/>
        <v>14380.605046702201</v>
      </c>
      <c r="BQ211" s="127">
        <f t="shared" si="80"/>
        <v>14855.165013243373</v>
      </c>
    </row>
    <row r="212" spans="2:69" x14ac:dyDescent="0.25">
      <c r="B212" s="1148"/>
      <c r="C212" s="105" t="s">
        <v>1986</v>
      </c>
      <c r="D212" s="576" t="s">
        <v>1824</v>
      </c>
      <c r="E212" s="127">
        <f>'3. PRECIOS Y COSTOS'!AT2185</f>
        <v>12942.707544913197</v>
      </c>
      <c r="F212" s="127">
        <f t="shared" si="53"/>
        <v>13369.816893895331</v>
      </c>
      <c r="G212" s="127">
        <f t="shared" si="54"/>
        <v>13784.281217606085</v>
      </c>
      <c r="H212" s="127">
        <f t="shared" si="55"/>
        <v>14211.593935351873</v>
      </c>
      <c r="I212" s="127">
        <f t="shared" si="56"/>
        <v>14680.576535218484</v>
      </c>
      <c r="L212" s="1148"/>
      <c r="M212" s="105" t="s">
        <v>1986</v>
      </c>
      <c r="N212" s="579" t="s">
        <v>1824</v>
      </c>
      <c r="O212" s="127">
        <f>'3. PRECIOS Y COSTOS'!AT2215</f>
        <v>12942.707544913197</v>
      </c>
      <c r="P212" s="127">
        <f t="shared" si="57"/>
        <v>13369.816893895331</v>
      </c>
      <c r="Q212" s="127">
        <f t="shared" si="58"/>
        <v>13784.281217606085</v>
      </c>
      <c r="R212" s="127">
        <f t="shared" si="59"/>
        <v>14211.593935351873</v>
      </c>
      <c r="S212" s="127">
        <f t="shared" si="60"/>
        <v>14680.576535218484</v>
      </c>
      <c r="V212" s="1148"/>
      <c r="W212" s="105" t="s">
        <v>1986</v>
      </c>
      <c r="X212" s="579" t="s">
        <v>1824</v>
      </c>
      <c r="Y212" s="127">
        <f>'3. PRECIOS Y COSTOS'!AT2250</f>
        <v>12942.707544913197</v>
      </c>
      <c r="Z212" s="127">
        <f t="shared" si="61"/>
        <v>13369.816893895331</v>
      </c>
      <c r="AA212" s="127">
        <f t="shared" si="62"/>
        <v>13784.281217606085</v>
      </c>
      <c r="AB212" s="127">
        <f t="shared" si="63"/>
        <v>14211.593935351873</v>
      </c>
      <c r="AC212" s="127">
        <f t="shared" si="64"/>
        <v>14680.576535218484</v>
      </c>
      <c r="AF212" s="1148"/>
      <c r="AG212" s="105" t="s">
        <v>1986</v>
      </c>
      <c r="AH212" s="579" t="s">
        <v>1824</v>
      </c>
      <c r="AI212" s="127">
        <f>'3. PRECIOS Y COSTOS'!AT2282</f>
        <v>12942.707544913197</v>
      </c>
      <c r="AJ212" s="127">
        <f t="shared" si="65"/>
        <v>13369.816893895331</v>
      </c>
      <c r="AK212" s="127">
        <f t="shared" si="66"/>
        <v>13784.281217606085</v>
      </c>
      <c r="AL212" s="127">
        <f t="shared" si="67"/>
        <v>14211.593935351873</v>
      </c>
      <c r="AM212" s="127">
        <f t="shared" si="68"/>
        <v>14680.576535218484</v>
      </c>
      <c r="AP212" s="1151"/>
      <c r="AQ212" s="105" t="s">
        <v>1986</v>
      </c>
      <c r="AR212" s="579" t="s">
        <v>1824</v>
      </c>
      <c r="AS212" s="127">
        <f>'3. PRECIOS Y COSTOS'!AT2317</f>
        <v>12942.707544913197</v>
      </c>
      <c r="AT212" s="127">
        <f t="shared" si="69"/>
        <v>13369.816893895331</v>
      </c>
      <c r="AU212" s="127">
        <f t="shared" si="70"/>
        <v>13784.281217606085</v>
      </c>
      <c r="AV212" s="127">
        <f t="shared" si="71"/>
        <v>14211.593935351873</v>
      </c>
      <c r="AW212" s="127">
        <f t="shared" si="72"/>
        <v>14680.576535218484</v>
      </c>
      <c r="AZ212" s="1148"/>
      <c r="BA212" s="105" t="s">
        <v>1986</v>
      </c>
      <c r="BB212" s="579" t="s">
        <v>1824</v>
      </c>
      <c r="BC212" s="127">
        <f>'3. PRECIOS Y COSTOS'!AT2351</f>
        <v>12942.707544913197</v>
      </c>
      <c r="BD212" s="127">
        <f t="shared" si="73"/>
        <v>13369.816893895331</v>
      </c>
      <c r="BE212" s="127">
        <f t="shared" si="74"/>
        <v>13784.281217606085</v>
      </c>
      <c r="BF212" s="127">
        <f t="shared" si="75"/>
        <v>14211.593935351873</v>
      </c>
      <c r="BG212" s="127">
        <f t="shared" si="76"/>
        <v>14680.576535218484</v>
      </c>
      <c r="BJ212" s="1148"/>
      <c r="BK212" s="105" t="s">
        <v>1986</v>
      </c>
      <c r="BL212" s="579" t="s">
        <v>1824</v>
      </c>
      <c r="BM212" s="127">
        <f>'3. PRECIOS Y COSTOS'!AT2384</f>
        <v>12942.707544913197</v>
      </c>
      <c r="BN212" s="127">
        <f t="shared" si="77"/>
        <v>13369.816893895331</v>
      </c>
      <c r="BO212" s="127">
        <f t="shared" si="78"/>
        <v>13784.281217606085</v>
      </c>
      <c r="BP212" s="127">
        <f t="shared" si="79"/>
        <v>14211.593935351873</v>
      </c>
      <c r="BQ212" s="127">
        <f t="shared" si="80"/>
        <v>14680.576535218484</v>
      </c>
    </row>
    <row r="213" spans="2:69" x14ac:dyDescent="0.25">
      <c r="B213" s="1148"/>
      <c r="C213" s="105" t="s">
        <v>1987</v>
      </c>
      <c r="D213" s="576" t="s">
        <v>1824</v>
      </c>
      <c r="E213" s="127">
        <f>'3. PRECIOS Y COSTOS'!AP2185</f>
        <v>12942.707544913197</v>
      </c>
      <c r="F213" s="127">
        <f t="shared" si="53"/>
        <v>13369.816893895331</v>
      </c>
      <c r="G213" s="127">
        <f t="shared" si="54"/>
        <v>13784.281217606085</v>
      </c>
      <c r="H213" s="127">
        <f t="shared" si="55"/>
        <v>14211.593935351873</v>
      </c>
      <c r="I213" s="127">
        <f t="shared" si="56"/>
        <v>14680.576535218484</v>
      </c>
      <c r="L213" s="1148"/>
      <c r="M213" s="105" t="s">
        <v>1987</v>
      </c>
      <c r="N213" s="579" t="s">
        <v>1824</v>
      </c>
      <c r="O213" s="127">
        <f>'3. PRECIOS Y COSTOS'!AP2215</f>
        <v>12942.707544913197</v>
      </c>
      <c r="P213" s="127">
        <f t="shared" si="57"/>
        <v>13369.816893895331</v>
      </c>
      <c r="Q213" s="127">
        <f t="shared" si="58"/>
        <v>13784.281217606085</v>
      </c>
      <c r="R213" s="127">
        <f t="shared" si="59"/>
        <v>14211.593935351873</v>
      </c>
      <c r="S213" s="127">
        <f t="shared" si="60"/>
        <v>14680.576535218484</v>
      </c>
      <c r="V213" s="1148"/>
      <c r="W213" s="105" t="s">
        <v>1987</v>
      </c>
      <c r="X213" s="579" t="s">
        <v>1824</v>
      </c>
      <c r="Y213" s="127">
        <f>'3. PRECIOS Y COSTOS'!AP2250</f>
        <v>12942.707544913197</v>
      </c>
      <c r="Z213" s="127">
        <f t="shared" si="61"/>
        <v>13369.816893895331</v>
      </c>
      <c r="AA213" s="127">
        <f t="shared" si="62"/>
        <v>13784.281217606085</v>
      </c>
      <c r="AB213" s="127">
        <f t="shared" si="63"/>
        <v>14211.593935351873</v>
      </c>
      <c r="AC213" s="127">
        <f t="shared" si="64"/>
        <v>14680.576535218484</v>
      </c>
      <c r="AF213" s="1148"/>
      <c r="AG213" s="105" t="s">
        <v>1987</v>
      </c>
      <c r="AH213" s="579" t="s">
        <v>1824</v>
      </c>
      <c r="AI213" s="127">
        <f>'3. PRECIOS Y COSTOS'!AP2282</f>
        <v>12942.707544913197</v>
      </c>
      <c r="AJ213" s="127">
        <f t="shared" si="65"/>
        <v>13369.816893895331</v>
      </c>
      <c r="AK213" s="127">
        <f t="shared" si="66"/>
        <v>13784.281217606085</v>
      </c>
      <c r="AL213" s="127">
        <f t="shared" si="67"/>
        <v>14211.593935351873</v>
      </c>
      <c r="AM213" s="127">
        <f t="shared" si="68"/>
        <v>14680.576535218484</v>
      </c>
      <c r="AP213" s="1151"/>
      <c r="AQ213" s="105" t="s">
        <v>1987</v>
      </c>
      <c r="AR213" s="579" t="s">
        <v>1824</v>
      </c>
      <c r="AS213" s="127">
        <f>'3. PRECIOS Y COSTOS'!AP2317</f>
        <v>12942.707544913197</v>
      </c>
      <c r="AT213" s="127">
        <f t="shared" si="69"/>
        <v>13369.816893895331</v>
      </c>
      <c r="AU213" s="127">
        <f t="shared" si="70"/>
        <v>13784.281217606085</v>
      </c>
      <c r="AV213" s="127">
        <f t="shared" si="71"/>
        <v>14211.593935351873</v>
      </c>
      <c r="AW213" s="127">
        <f t="shared" si="72"/>
        <v>14680.576535218484</v>
      </c>
      <c r="AZ213" s="1148"/>
      <c r="BA213" s="105" t="s">
        <v>1987</v>
      </c>
      <c r="BB213" s="579" t="s">
        <v>1824</v>
      </c>
      <c r="BC213" s="127">
        <f>'3. PRECIOS Y COSTOS'!AP2351</f>
        <v>12942.707544913197</v>
      </c>
      <c r="BD213" s="127">
        <f t="shared" si="73"/>
        <v>13369.816893895331</v>
      </c>
      <c r="BE213" s="127">
        <f t="shared" si="74"/>
        <v>13784.281217606085</v>
      </c>
      <c r="BF213" s="127">
        <f t="shared" si="75"/>
        <v>14211.593935351873</v>
      </c>
      <c r="BG213" s="127">
        <f t="shared" si="76"/>
        <v>14680.576535218484</v>
      </c>
      <c r="BJ213" s="1148"/>
      <c r="BK213" s="105" t="s">
        <v>1987</v>
      </c>
      <c r="BL213" s="579" t="s">
        <v>1824</v>
      </c>
      <c r="BM213" s="127">
        <f>'3. PRECIOS Y COSTOS'!AP2384</f>
        <v>12942.707544913197</v>
      </c>
      <c r="BN213" s="127">
        <f t="shared" si="77"/>
        <v>13369.816893895331</v>
      </c>
      <c r="BO213" s="127">
        <f t="shared" si="78"/>
        <v>13784.281217606085</v>
      </c>
      <c r="BP213" s="127">
        <f t="shared" si="79"/>
        <v>14211.593935351873</v>
      </c>
      <c r="BQ213" s="127">
        <f t="shared" si="80"/>
        <v>14680.576535218484</v>
      </c>
    </row>
    <row r="214" spans="2:69" x14ac:dyDescent="0.25">
      <c r="B214" s="1148"/>
      <c r="C214" s="105" t="s">
        <v>1988</v>
      </c>
      <c r="D214" s="576" t="s">
        <v>1824</v>
      </c>
      <c r="E214" s="127">
        <f>'3. PRECIOS Y COSTOS'!AO2185</f>
        <v>12942.707544913197</v>
      </c>
      <c r="F214" s="127">
        <f t="shared" si="53"/>
        <v>13369.816893895331</v>
      </c>
      <c r="G214" s="127">
        <f t="shared" si="54"/>
        <v>13784.281217606085</v>
      </c>
      <c r="H214" s="127">
        <f t="shared" si="55"/>
        <v>14211.593935351873</v>
      </c>
      <c r="I214" s="127">
        <f t="shared" si="56"/>
        <v>14680.576535218484</v>
      </c>
      <c r="L214" s="1148"/>
      <c r="M214" s="105" t="s">
        <v>1988</v>
      </c>
      <c r="N214" s="579" t="s">
        <v>1824</v>
      </c>
      <c r="O214" s="127">
        <f>'3. PRECIOS Y COSTOS'!AO2215</f>
        <v>12942.707544913197</v>
      </c>
      <c r="P214" s="127">
        <f t="shared" si="57"/>
        <v>13369.816893895331</v>
      </c>
      <c r="Q214" s="127">
        <f t="shared" si="58"/>
        <v>13784.281217606085</v>
      </c>
      <c r="R214" s="127">
        <f t="shared" si="59"/>
        <v>14211.593935351873</v>
      </c>
      <c r="S214" s="127">
        <f t="shared" si="60"/>
        <v>14680.576535218484</v>
      </c>
      <c r="V214" s="1148"/>
      <c r="W214" s="105" t="s">
        <v>1988</v>
      </c>
      <c r="X214" s="579" t="s">
        <v>1824</v>
      </c>
      <c r="Y214" s="127">
        <f>'3. PRECIOS Y COSTOS'!AO2250</f>
        <v>12942.707544913197</v>
      </c>
      <c r="Z214" s="127">
        <f t="shared" si="61"/>
        <v>13369.816893895331</v>
      </c>
      <c r="AA214" s="127">
        <f t="shared" si="62"/>
        <v>13784.281217606085</v>
      </c>
      <c r="AB214" s="127">
        <f t="shared" si="63"/>
        <v>14211.593935351873</v>
      </c>
      <c r="AC214" s="127">
        <f t="shared" si="64"/>
        <v>14680.576535218484</v>
      </c>
      <c r="AF214" s="1148"/>
      <c r="AG214" s="105" t="s">
        <v>1988</v>
      </c>
      <c r="AH214" s="579" t="s">
        <v>1824</v>
      </c>
      <c r="AI214" s="127">
        <f>'3. PRECIOS Y COSTOS'!AO2282</f>
        <v>12942.707544913197</v>
      </c>
      <c r="AJ214" s="127">
        <f t="shared" si="65"/>
        <v>13369.816893895331</v>
      </c>
      <c r="AK214" s="127">
        <f t="shared" si="66"/>
        <v>13784.281217606085</v>
      </c>
      <c r="AL214" s="127">
        <f t="shared" si="67"/>
        <v>14211.593935351873</v>
      </c>
      <c r="AM214" s="127">
        <f t="shared" si="68"/>
        <v>14680.576535218484</v>
      </c>
      <c r="AP214" s="1151"/>
      <c r="AQ214" s="105" t="s">
        <v>1988</v>
      </c>
      <c r="AR214" s="579" t="s">
        <v>1824</v>
      </c>
      <c r="AS214" s="127">
        <f>'3. PRECIOS Y COSTOS'!AO2317</f>
        <v>12942.707544913197</v>
      </c>
      <c r="AT214" s="127">
        <f t="shared" si="69"/>
        <v>13369.816893895331</v>
      </c>
      <c r="AU214" s="127">
        <f t="shared" si="70"/>
        <v>13784.281217606085</v>
      </c>
      <c r="AV214" s="127">
        <f t="shared" si="71"/>
        <v>14211.593935351873</v>
      </c>
      <c r="AW214" s="127">
        <f t="shared" si="72"/>
        <v>14680.576535218484</v>
      </c>
      <c r="AZ214" s="1148"/>
      <c r="BA214" s="105" t="s">
        <v>1988</v>
      </c>
      <c r="BB214" s="579" t="s">
        <v>1824</v>
      </c>
      <c r="BC214" s="127">
        <f>'3. PRECIOS Y COSTOS'!AO2351</f>
        <v>12942.707544913197</v>
      </c>
      <c r="BD214" s="127">
        <f t="shared" si="73"/>
        <v>13369.816893895331</v>
      </c>
      <c r="BE214" s="127">
        <f t="shared" si="74"/>
        <v>13784.281217606085</v>
      </c>
      <c r="BF214" s="127">
        <f t="shared" si="75"/>
        <v>14211.593935351873</v>
      </c>
      <c r="BG214" s="127">
        <f t="shared" si="76"/>
        <v>14680.576535218484</v>
      </c>
      <c r="BJ214" s="1148"/>
      <c r="BK214" s="105" t="s">
        <v>1988</v>
      </c>
      <c r="BL214" s="579" t="s">
        <v>1824</v>
      </c>
      <c r="BM214" s="127">
        <f>'3. PRECIOS Y COSTOS'!AO2384</f>
        <v>12942.707544913197</v>
      </c>
      <c r="BN214" s="127">
        <f t="shared" si="77"/>
        <v>13369.816893895331</v>
      </c>
      <c r="BO214" s="127">
        <f t="shared" si="78"/>
        <v>13784.281217606085</v>
      </c>
      <c r="BP214" s="127">
        <f t="shared" si="79"/>
        <v>14211.593935351873</v>
      </c>
      <c r="BQ214" s="127">
        <f t="shared" si="80"/>
        <v>14680.576535218484</v>
      </c>
    </row>
    <row r="215" spans="2:69" x14ac:dyDescent="0.25">
      <c r="B215" s="1148"/>
      <c r="C215" s="105" t="s">
        <v>1989</v>
      </c>
      <c r="D215" s="576" t="s">
        <v>1824</v>
      </c>
      <c r="E215" s="127">
        <f>'3. PRECIOS Y COSTOS'!AJ2186</f>
        <v>11499.95644892993</v>
      </c>
      <c r="F215" s="127">
        <f t="shared" si="53"/>
        <v>11879.455011744616</v>
      </c>
      <c r="G215" s="127">
        <f t="shared" si="54"/>
        <v>12247.718117108698</v>
      </c>
      <c r="H215" s="127">
        <f t="shared" si="55"/>
        <v>12627.397378739066</v>
      </c>
      <c r="I215" s="127">
        <f t="shared" si="56"/>
        <v>13044.101492237454</v>
      </c>
      <c r="L215" s="1148"/>
      <c r="M215" s="105" t="s">
        <v>1989</v>
      </c>
      <c r="N215" s="579" t="s">
        <v>1824</v>
      </c>
      <c r="O215" s="127">
        <f>'3. PRECIOS Y COSTOS'!AJ2216</f>
        <v>11499.95644892993</v>
      </c>
      <c r="P215" s="127">
        <f t="shared" si="57"/>
        <v>11879.455011744616</v>
      </c>
      <c r="Q215" s="127">
        <f t="shared" si="58"/>
        <v>12247.718117108698</v>
      </c>
      <c r="R215" s="127">
        <f t="shared" si="59"/>
        <v>12627.397378739066</v>
      </c>
      <c r="S215" s="127">
        <f t="shared" si="60"/>
        <v>13044.101492237454</v>
      </c>
      <c r="V215" s="1148"/>
      <c r="W215" s="105" t="s">
        <v>1989</v>
      </c>
      <c r="X215" s="579" t="s">
        <v>1824</v>
      </c>
      <c r="Y215" s="127">
        <f>'3. PRECIOS Y COSTOS'!AJ2251</f>
        <v>11499.95644892993</v>
      </c>
      <c r="Z215" s="127">
        <f t="shared" si="61"/>
        <v>11879.455011744616</v>
      </c>
      <c r="AA215" s="127">
        <f t="shared" si="62"/>
        <v>12247.718117108698</v>
      </c>
      <c r="AB215" s="127">
        <f t="shared" si="63"/>
        <v>12627.397378739066</v>
      </c>
      <c r="AC215" s="127">
        <f t="shared" si="64"/>
        <v>13044.101492237454</v>
      </c>
      <c r="AF215" s="1148"/>
      <c r="AG215" s="105" t="s">
        <v>1989</v>
      </c>
      <c r="AH215" s="579" t="s">
        <v>1824</v>
      </c>
      <c r="AI215" s="127">
        <f>'3. PRECIOS Y COSTOS'!AJ2283</f>
        <v>11499.95644892993</v>
      </c>
      <c r="AJ215" s="127">
        <f t="shared" si="65"/>
        <v>11879.455011744616</v>
      </c>
      <c r="AK215" s="127">
        <f t="shared" si="66"/>
        <v>12247.718117108698</v>
      </c>
      <c r="AL215" s="127">
        <f t="shared" si="67"/>
        <v>12627.397378739066</v>
      </c>
      <c r="AM215" s="127">
        <f t="shared" si="68"/>
        <v>13044.101492237454</v>
      </c>
      <c r="AP215" s="1151"/>
      <c r="AQ215" s="105" t="s">
        <v>1989</v>
      </c>
      <c r="AR215" s="579" t="s">
        <v>1824</v>
      </c>
      <c r="AS215" s="127">
        <f>'3. PRECIOS Y COSTOS'!AJ2318</f>
        <v>11499.95644892993</v>
      </c>
      <c r="AT215" s="127">
        <f t="shared" si="69"/>
        <v>11879.455011744616</v>
      </c>
      <c r="AU215" s="127">
        <f t="shared" si="70"/>
        <v>12247.718117108698</v>
      </c>
      <c r="AV215" s="127">
        <f t="shared" si="71"/>
        <v>12627.397378739066</v>
      </c>
      <c r="AW215" s="127">
        <f t="shared" si="72"/>
        <v>13044.101492237454</v>
      </c>
      <c r="AZ215" s="1148"/>
      <c r="BA215" s="105" t="s">
        <v>1989</v>
      </c>
      <c r="BB215" s="579" t="s">
        <v>1824</v>
      </c>
      <c r="BC215" s="127">
        <f>'3. PRECIOS Y COSTOS'!AJ2352</f>
        <v>11499.95644892993</v>
      </c>
      <c r="BD215" s="127">
        <f t="shared" si="73"/>
        <v>11879.455011744616</v>
      </c>
      <c r="BE215" s="127">
        <f t="shared" si="74"/>
        <v>12247.718117108698</v>
      </c>
      <c r="BF215" s="127">
        <f t="shared" si="75"/>
        <v>12627.397378739066</v>
      </c>
      <c r="BG215" s="127">
        <f t="shared" si="76"/>
        <v>13044.101492237454</v>
      </c>
      <c r="BJ215" s="1148"/>
      <c r="BK215" s="105" t="s">
        <v>1989</v>
      </c>
      <c r="BL215" s="579" t="s">
        <v>1824</v>
      </c>
      <c r="BM215" s="127">
        <f>'3. PRECIOS Y COSTOS'!AJ2385</f>
        <v>11499.95644892993</v>
      </c>
      <c r="BN215" s="127">
        <f t="shared" si="77"/>
        <v>11879.455011744616</v>
      </c>
      <c r="BO215" s="127">
        <f t="shared" si="78"/>
        <v>12247.718117108698</v>
      </c>
      <c r="BP215" s="127">
        <f t="shared" si="79"/>
        <v>12627.397378739066</v>
      </c>
      <c r="BQ215" s="127">
        <f t="shared" si="80"/>
        <v>13044.101492237454</v>
      </c>
    </row>
    <row r="216" spans="2:69" x14ac:dyDescent="0.25">
      <c r="B216" s="1148"/>
      <c r="C216" s="105" t="s">
        <v>1990</v>
      </c>
      <c r="D216" s="576" t="s">
        <v>1824</v>
      </c>
      <c r="E216" s="127">
        <f>'3. PRECIOS Y COSTOS'!AK2186</f>
        <v>11346.035544913197</v>
      </c>
      <c r="F216" s="127">
        <f t="shared" si="53"/>
        <v>11720.454717895331</v>
      </c>
      <c r="G216" s="127">
        <f t="shared" si="54"/>
        <v>12083.788814150084</v>
      </c>
      <c r="H216" s="127">
        <f t="shared" si="55"/>
        <v>12458.386267388736</v>
      </c>
      <c r="I216" s="127">
        <f t="shared" si="56"/>
        <v>12869.513014212564</v>
      </c>
      <c r="L216" s="1148"/>
      <c r="M216" s="105" t="s">
        <v>1990</v>
      </c>
      <c r="N216" s="579" t="s">
        <v>1824</v>
      </c>
      <c r="O216" s="127">
        <f>'3. PRECIOS Y COSTOS'!AK2216</f>
        <v>11346.035544913197</v>
      </c>
      <c r="P216" s="127">
        <f t="shared" si="57"/>
        <v>11720.454717895331</v>
      </c>
      <c r="Q216" s="127">
        <f t="shared" si="58"/>
        <v>12083.788814150084</v>
      </c>
      <c r="R216" s="127">
        <f t="shared" si="59"/>
        <v>12458.386267388736</v>
      </c>
      <c r="S216" s="127">
        <f t="shared" si="60"/>
        <v>12869.513014212564</v>
      </c>
      <c r="V216" s="1148"/>
      <c r="W216" s="105" t="s">
        <v>1990</v>
      </c>
      <c r="X216" s="579" t="s">
        <v>1824</v>
      </c>
      <c r="Y216" s="127">
        <f>'3. PRECIOS Y COSTOS'!AK2251</f>
        <v>11346.035544913197</v>
      </c>
      <c r="Z216" s="127">
        <f t="shared" si="61"/>
        <v>11720.454717895331</v>
      </c>
      <c r="AA216" s="127">
        <f t="shared" si="62"/>
        <v>12083.788814150084</v>
      </c>
      <c r="AB216" s="127">
        <f t="shared" si="63"/>
        <v>12458.386267388736</v>
      </c>
      <c r="AC216" s="127">
        <f t="shared" si="64"/>
        <v>12869.513014212564</v>
      </c>
      <c r="AF216" s="1148"/>
      <c r="AG216" s="105" t="s">
        <v>1990</v>
      </c>
      <c r="AH216" s="579" t="s">
        <v>1824</v>
      </c>
      <c r="AI216" s="127">
        <f>'3. PRECIOS Y COSTOS'!AK2283</f>
        <v>11346.035544913197</v>
      </c>
      <c r="AJ216" s="127">
        <f t="shared" si="65"/>
        <v>11720.454717895331</v>
      </c>
      <c r="AK216" s="127">
        <f t="shared" si="66"/>
        <v>12083.788814150084</v>
      </c>
      <c r="AL216" s="127">
        <f t="shared" si="67"/>
        <v>12458.386267388736</v>
      </c>
      <c r="AM216" s="127">
        <f t="shared" si="68"/>
        <v>12869.513014212564</v>
      </c>
      <c r="AP216" s="1151"/>
      <c r="AQ216" s="105" t="s">
        <v>1990</v>
      </c>
      <c r="AR216" s="579" t="s">
        <v>1824</v>
      </c>
      <c r="AS216" s="127">
        <f>'3. PRECIOS Y COSTOS'!AK2318</f>
        <v>11346.035544913197</v>
      </c>
      <c r="AT216" s="127">
        <f t="shared" si="69"/>
        <v>11720.454717895331</v>
      </c>
      <c r="AU216" s="127">
        <f t="shared" si="70"/>
        <v>12083.788814150084</v>
      </c>
      <c r="AV216" s="127">
        <f t="shared" si="71"/>
        <v>12458.386267388736</v>
      </c>
      <c r="AW216" s="127">
        <f t="shared" si="72"/>
        <v>12869.513014212564</v>
      </c>
      <c r="AZ216" s="1148"/>
      <c r="BA216" s="105" t="s">
        <v>1990</v>
      </c>
      <c r="BB216" s="579" t="s">
        <v>1824</v>
      </c>
      <c r="BC216" s="127">
        <f>'3. PRECIOS Y COSTOS'!AK2352</f>
        <v>11346.035544913197</v>
      </c>
      <c r="BD216" s="127">
        <f t="shared" si="73"/>
        <v>11720.454717895331</v>
      </c>
      <c r="BE216" s="127">
        <f t="shared" si="74"/>
        <v>12083.788814150084</v>
      </c>
      <c r="BF216" s="127">
        <f t="shared" si="75"/>
        <v>12458.386267388736</v>
      </c>
      <c r="BG216" s="127">
        <f t="shared" si="76"/>
        <v>12869.513014212564</v>
      </c>
      <c r="BJ216" s="1148"/>
      <c r="BK216" s="105" t="s">
        <v>1990</v>
      </c>
      <c r="BL216" s="579" t="s">
        <v>1824</v>
      </c>
      <c r="BM216" s="127">
        <f>'3. PRECIOS Y COSTOS'!AK2385</f>
        <v>11346.035544913197</v>
      </c>
      <c r="BN216" s="127">
        <f t="shared" si="77"/>
        <v>11720.454717895331</v>
      </c>
      <c r="BO216" s="127">
        <f t="shared" si="78"/>
        <v>12083.788814150084</v>
      </c>
      <c r="BP216" s="127">
        <f t="shared" si="79"/>
        <v>12458.386267388736</v>
      </c>
      <c r="BQ216" s="127">
        <f t="shared" si="80"/>
        <v>12869.513014212564</v>
      </c>
    </row>
    <row r="217" spans="2:69" x14ac:dyDescent="0.25">
      <c r="B217" s="1148"/>
      <c r="C217" s="105" t="s">
        <v>1991</v>
      </c>
      <c r="D217" s="576" t="s">
        <v>1824</v>
      </c>
      <c r="E217" s="127">
        <f>'3. PRECIOS Y COSTOS'!AL2186</f>
        <v>11499.95644892993</v>
      </c>
      <c r="F217" s="127">
        <f t="shared" si="53"/>
        <v>11879.455011744616</v>
      </c>
      <c r="G217" s="127">
        <f t="shared" si="54"/>
        <v>12247.718117108698</v>
      </c>
      <c r="H217" s="127">
        <f t="shared" si="55"/>
        <v>12627.397378739066</v>
      </c>
      <c r="I217" s="127">
        <f t="shared" si="56"/>
        <v>13044.101492237454</v>
      </c>
      <c r="L217" s="1148"/>
      <c r="M217" s="105" t="s">
        <v>1991</v>
      </c>
      <c r="N217" s="579" t="s">
        <v>1824</v>
      </c>
      <c r="O217" s="127">
        <f>'3. PRECIOS Y COSTOS'!AL2216</f>
        <v>11499.95644892993</v>
      </c>
      <c r="P217" s="127">
        <f t="shared" si="57"/>
        <v>11879.455011744616</v>
      </c>
      <c r="Q217" s="127">
        <f t="shared" si="58"/>
        <v>12247.718117108698</v>
      </c>
      <c r="R217" s="127">
        <f t="shared" si="59"/>
        <v>12627.397378739066</v>
      </c>
      <c r="S217" s="127">
        <f t="shared" si="60"/>
        <v>13044.101492237454</v>
      </c>
      <c r="V217" s="1148"/>
      <c r="W217" s="105" t="s">
        <v>1991</v>
      </c>
      <c r="X217" s="579" t="s">
        <v>1824</v>
      </c>
      <c r="Y217" s="127">
        <f>'3. PRECIOS Y COSTOS'!AL2251</f>
        <v>11499.95644892993</v>
      </c>
      <c r="Z217" s="127">
        <f t="shared" si="61"/>
        <v>11879.455011744616</v>
      </c>
      <c r="AA217" s="127">
        <f t="shared" si="62"/>
        <v>12247.718117108698</v>
      </c>
      <c r="AB217" s="127">
        <f t="shared" si="63"/>
        <v>12627.397378739066</v>
      </c>
      <c r="AC217" s="127">
        <f t="shared" si="64"/>
        <v>13044.101492237454</v>
      </c>
      <c r="AF217" s="1148"/>
      <c r="AG217" s="105" t="s">
        <v>1991</v>
      </c>
      <c r="AH217" s="579" t="s">
        <v>1824</v>
      </c>
      <c r="AI217" s="127">
        <f>'3. PRECIOS Y COSTOS'!AL2283</f>
        <v>11499.95644892993</v>
      </c>
      <c r="AJ217" s="127">
        <f t="shared" si="65"/>
        <v>11879.455011744616</v>
      </c>
      <c r="AK217" s="127">
        <f t="shared" si="66"/>
        <v>12247.718117108698</v>
      </c>
      <c r="AL217" s="127">
        <f t="shared" si="67"/>
        <v>12627.397378739066</v>
      </c>
      <c r="AM217" s="127">
        <f t="shared" si="68"/>
        <v>13044.101492237454</v>
      </c>
      <c r="AP217" s="1151"/>
      <c r="AQ217" s="105" t="s">
        <v>1991</v>
      </c>
      <c r="AR217" s="579" t="s">
        <v>1824</v>
      </c>
      <c r="AS217" s="127">
        <f>'3. PRECIOS Y COSTOS'!AL2318</f>
        <v>11499.95644892993</v>
      </c>
      <c r="AT217" s="127">
        <f t="shared" si="69"/>
        <v>11879.455011744616</v>
      </c>
      <c r="AU217" s="127">
        <f t="shared" si="70"/>
        <v>12247.718117108698</v>
      </c>
      <c r="AV217" s="127">
        <f t="shared" si="71"/>
        <v>12627.397378739066</v>
      </c>
      <c r="AW217" s="127">
        <f t="shared" si="72"/>
        <v>13044.101492237454</v>
      </c>
      <c r="AZ217" s="1148"/>
      <c r="BA217" s="105" t="s">
        <v>1991</v>
      </c>
      <c r="BB217" s="579" t="s">
        <v>1824</v>
      </c>
      <c r="BC217" s="127">
        <f>'3. PRECIOS Y COSTOS'!AL2352</f>
        <v>11499.95644892993</v>
      </c>
      <c r="BD217" s="127">
        <f t="shared" si="73"/>
        <v>11879.455011744616</v>
      </c>
      <c r="BE217" s="127">
        <f t="shared" si="74"/>
        <v>12247.718117108698</v>
      </c>
      <c r="BF217" s="127">
        <f t="shared" si="75"/>
        <v>12627.397378739066</v>
      </c>
      <c r="BG217" s="127">
        <f t="shared" si="76"/>
        <v>13044.101492237454</v>
      </c>
      <c r="BJ217" s="1148"/>
      <c r="BK217" s="105" t="s">
        <v>1991</v>
      </c>
      <c r="BL217" s="579" t="s">
        <v>1824</v>
      </c>
      <c r="BM217" s="127">
        <f>'3. PRECIOS Y COSTOS'!AL2385</f>
        <v>11499.95644892993</v>
      </c>
      <c r="BN217" s="127">
        <f t="shared" si="77"/>
        <v>11879.455011744616</v>
      </c>
      <c r="BO217" s="127">
        <f t="shared" si="78"/>
        <v>12247.718117108698</v>
      </c>
      <c r="BP217" s="127">
        <f t="shared" si="79"/>
        <v>12627.397378739066</v>
      </c>
      <c r="BQ217" s="127">
        <f t="shared" si="80"/>
        <v>13044.101492237454</v>
      </c>
    </row>
    <row r="218" spans="2:69" x14ac:dyDescent="0.25">
      <c r="B218" s="1148"/>
      <c r="C218" s="105" t="s">
        <v>1992</v>
      </c>
      <c r="D218" s="576" t="s">
        <v>1824</v>
      </c>
      <c r="E218" s="127">
        <f>'3. PRECIOS Y COSTOS'!AL2186</f>
        <v>11499.95644892993</v>
      </c>
      <c r="F218" s="127">
        <f t="shared" si="53"/>
        <v>11879.455011744616</v>
      </c>
      <c r="G218" s="127">
        <f t="shared" si="54"/>
        <v>12247.718117108698</v>
      </c>
      <c r="H218" s="127">
        <f t="shared" si="55"/>
        <v>12627.397378739066</v>
      </c>
      <c r="I218" s="127">
        <f t="shared" si="56"/>
        <v>13044.101492237454</v>
      </c>
      <c r="L218" s="1148"/>
      <c r="M218" s="105" t="s">
        <v>1992</v>
      </c>
      <c r="N218" s="579" t="s">
        <v>1824</v>
      </c>
      <c r="O218" s="127">
        <f>'3. PRECIOS Y COSTOS'!AM2216</f>
        <v>11499.95644892993</v>
      </c>
      <c r="P218" s="127">
        <f t="shared" si="57"/>
        <v>11879.455011744616</v>
      </c>
      <c r="Q218" s="127">
        <f t="shared" si="58"/>
        <v>12247.718117108698</v>
      </c>
      <c r="R218" s="127">
        <f t="shared" si="59"/>
        <v>12627.397378739066</v>
      </c>
      <c r="S218" s="127">
        <f t="shared" si="60"/>
        <v>13044.101492237454</v>
      </c>
      <c r="V218" s="1148"/>
      <c r="W218" s="105" t="s">
        <v>1992</v>
      </c>
      <c r="X218" s="579" t="s">
        <v>1824</v>
      </c>
      <c r="Y218" s="127">
        <f>'3. PRECIOS Y COSTOS'!AM2251</f>
        <v>11499.95644892993</v>
      </c>
      <c r="Z218" s="127">
        <f t="shared" si="61"/>
        <v>11879.455011744616</v>
      </c>
      <c r="AA218" s="127">
        <f t="shared" si="62"/>
        <v>12247.718117108698</v>
      </c>
      <c r="AB218" s="127">
        <f t="shared" si="63"/>
        <v>12627.397378739066</v>
      </c>
      <c r="AC218" s="127">
        <f t="shared" si="64"/>
        <v>13044.101492237454</v>
      </c>
      <c r="AF218" s="1148"/>
      <c r="AG218" s="105" t="s">
        <v>1992</v>
      </c>
      <c r="AH218" s="579" t="s">
        <v>1824</v>
      </c>
      <c r="AI218" s="127">
        <f>'3. PRECIOS Y COSTOS'!AM2283</f>
        <v>11499.95644892993</v>
      </c>
      <c r="AJ218" s="127">
        <f t="shared" si="65"/>
        <v>11879.455011744616</v>
      </c>
      <c r="AK218" s="127">
        <f t="shared" si="66"/>
        <v>12247.718117108698</v>
      </c>
      <c r="AL218" s="127">
        <f t="shared" si="67"/>
        <v>12627.397378739066</v>
      </c>
      <c r="AM218" s="127">
        <f t="shared" si="68"/>
        <v>13044.101492237454</v>
      </c>
      <c r="AP218" s="1151"/>
      <c r="AQ218" s="105" t="s">
        <v>1992</v>
      </c>
      <c r="AR218" s="579" t="s">
        <v>1824</v>
      </c>
      <c r="AS218" s="127">
        <f>'3. PRECIOS Y COSTOS'!AM2318</f>
        <v>11499.95644892993</v>
      </c>
      <c r="AT218" s="127">
        <f t="shared" si="69"/>
        <v>11879.455011744616</v>
      </c>
      <c r="AU218" s="127">
        <f t="shared" si="70"/>
        <v>12247.718117108698</v>
      </c>
      <c r="AV218" s="127">
        <f t="shared" si="71"/>
        <v>12627.397378739066</v>
      </c>
      <c r="AW218" s="127">
        <f t="shared" si="72"/>
        <v>13044.101492237454</v>
      </c>
      <c r="AZ218" s="1148"/>
      <c r="BA218" s="105" t="s">
        <v>1992</v>
      </c>
      <c r="BB218" s="579" t="s">
        <v>1824</v>
      </c>
      <c r="BC218" s="127">
        <f>'3. PRECIOS Y COSTOS'!AM2352</f>
        <v>11499.95644892993</v>
      </c>
      <c r="BD218" s="127">
        <f t="shared" si="73"/>
        <v>11879.455011744616</v>
      </c>
      <c r="BE218" s="127">
        <f t="shared" si="74"/>
        <v>12247.718117108698</v>
      </c>
      <c r="BF218" s="127">
        <f t="shared" si="75"/>
        <v>12627.397378739066</v>
      </c>
      <c r="BG218" s="127">
        <f t="shared" si="76"/>
        <v>13044.101492237454</v>
      </c>
      <c r="BJ218" s="1148"/>
      <c r="BK218" s="105" t="s">
        <v>1992</v>
      </c>
      <c r="BL218" s="579" t="s">
        <v>1824</v>
      </c>
      <c r="BM218" s="127">
        <f>'3. PRECIOS Y COSTOS'!AM2385</f>
        <v>11499.95644892993</v>
      </c>
      <c r="BN218" s="127">
        <f t="shared" si="77"/>
        <v>11879.455011744616</v>
      </c>
      <c r="BO218" s="127">
        <f t="shared" si="78"/>
        <v>12247.718117108698</v>
      </c>
      <c r="BP218" s="127">
        <f t="shared" si="79"/>
        <v>12627.397378739066</v>
      </c>
      <c r="BQ218" s="127">
        <f t="shared" si="80"/>
        <v>13044.101492237454</v>
      </c>
    </row>
    <row r="219" spans="2:69" x14ac:dyDescent="0.25">
      <c r="B219" s="1148"/>
      <c r="C219" s="105" t="s">
        <v>1993</v>
      </c>
      <c r="D219" s="576" t="s">
        <v>1824</v>
      </c>
      <c r="E219" s="127">
        <f>'3. PRECIOS Y COSTOS'!AM2186</f>
        <v>11499.95644892993</v>
      </c>
      <c r="F219" s="127">
        <f t="shared" si="53"/>
        <v>11879.455011744616</v>
      </c>
      <c r="G219" s="127">
        <f t="shared" si="54"/>
        <v>12247.718117108698</v>
      </c>
      <c r="H219" s="127">
        <f t="shared" si="55"/>
        <v>12627.397378739066</v>
      </c>
      <c r="I219" s="127">
        <f t="shared" si="56"/>
        <v>13044.101492237454</v>
      </c>
      <c r="L219" s="1148"/>
      <c r="M219" s="105" t="s">
        <v>1993</v>
      </c>
      <c r="N219" s="579" t="s">
        <v>1824</v>
      </c>
      <c r="O219" s="127">
        <f>'3. PRECIOS Y COSTOS'!AN2216</f>
        <v>11499.95644892993</v>
      </c>
      <c r="P219" s="127">
        <f t="shared" si="57"/>
        <v>11879.455011744616</v>
      </c>
      <c r="Q219" s="127">
        <f t="shared" si="58"/>
        <v>12247.718117108698</v>
      </c>
      <c r="R219" s="127">
        <f t="shared" si="59"/>
        <v>12627.397378739066</v>
      </c>
      <c r="S219" s="127">
        <f t="shared" si="60"/>
        <v>13044.101492237454</v>
      </c>
      <c r="V219" s="1148"/>
      <c r="W219" s="105" t="s">
        <v>1993</v>
      </c>
      <c r="X219" s="579" t="s">
        <v>1824</v>
      </c>
      <c r="Y219" s="127">
        <f>'3. PRECIOS Y COSTOS'!AN2251</f>
        <v>11499.95644892993</v>
      </c>
      <c r="Z219" s="127">
        <f t="shared" si="61"/>
        <v>11879.455011744616</v>
      </c>
      <c r="AA219" s="127">
        <f t="shared" si="62"/>
        <v>12247.718117108698</v>
      </c>
      <c r="AB219" s="127">
        <f t="shared" si="63"/>
        <v>12627.397378739066</v>
      </c>
      <c r="AC219" s="127">
        <f t="shared" si="64"/>
        <v>13044.101492237454</v>
      </c>
      <c r="AF219" s="1148"/>
      <c r="AG219" s="105" t="s">
        <v>1993</v>
      </c>
      <c r="AH219" s="579" t="s">
        <v>1824</v>
      </c>
      <c r="AI219" s="127">
        <f>'3. PRECIOS Y COSTOS'!AN2283</f>
        <v>11499.95644892993</v>
      </c>
      <c r="AJ219" s="127">
        <f t="shared" si="65"/>
        <v>11879.455011744616</v>
      </c>
      <c r="AK219" s="127">
        <f t="shared" si="66"/>
        <v>12247.718117108698</v>
      </c>
      <c r="AL219" s="127">
        <f t="shared" si="67"/>
        <v>12627.397378739066</v>
      </c>
      <c r="AM219" s="127">
        <f t="shared" si="68"/>
        <v>13044.101492237454</v>
      </c>
      <c r="AP219" s="1151"/>
      <c r="AQ219" s="105" t="s">
        <v>1993</v>
      </c>
      <c r="AR219" s="579" t="s">
        <v>1824</v>
      </c>
      <c r="AS219" s="127">
        <f>'3. PRECIOS Y COSTOS'!AN2318</f>
        <v>11499.95644892993</v>
      </c>
      <c r="AT219" s="127">
        <f t="shared" si="69"/>
        <v>11879.455011744616</v>
      </c>
      <c r="AU219" s="127">
        <f t="shared" si="70"/>
        <v>12247.718117108698</v>
      </c>
      <c r="AV219" s="127">
        <f t="shared" si="71"/>
        <v>12627.397378739066</v>
      </c>
      <c r="AW219" s="127">
        <f t="shared" si="72"/>
        <v>13044.101492237454</v>
      </c>
      <c r="AZ219" s="1148"/>
      <c r="BA219" s="105" t="s">
        <v>1993</v>
      </c>
      <c r="BB219" s="579" t="s">
        <v>1824</v>
      </c>
      <c r="BC219" s="127">
        <f>'3. PRECIOS Y COSTOS'!AN2352</f>
        <v>11499.95644892993</v>
      </c>
      <c r="BD219" s="127">
        <f t="shared" si="73"/>
        <v>11879.455011744616</v>
      </c>
      <c r="BE219" s="127">
        <f t="shared" si="74"/>
        <v>12247.718117108698</v>
      </c>
      <c r="BF219" s="127">
        <f t="shared" si="75"/>
        <v>12627.397378739066</v>
      </c>
      <c r="BG219" s="127">
        <f t="shared" si="76"/>
        <v>13044.101492237454</v>
      </c>
      <c r="BJ219" s="1148"/>
      <c r="BK219" s="105" t="s">
        <v>1993</v>
      </c>
      <c r="BL219" s="579" t="s">
        <v>1824</v>
      </c>
      <c r="BM219" s="127">
        <f>'3. PRECIOS Y COSTOS'!AN2385</f>
        <v>11499.95644892993</v>
      </c>
      <c r="BN219" s="127">
        <f t="shared" si="77"/>
        <v>11879.455011744616</v>
      </c>
      <c r="BO219" s="127">
        <f t="shared" si="78"/>
        <v>12247.718117108698</v>
      </c>
      <c r="BP219" s="127">
        <f t="shared" si="79"/>
        <v>12627.397378739066</v>
      </c>
      <c r="BQ219" s="127">
        <f t="shared" si="80"/>
        <v>13044.101492237454</v>
      </c>
    </row>
    <row r="220" spans="2:69" x14ac:dyDescent="0.25">
      <c r="B220" s="1148"/>
      <c r="C220" s="105" t="s">
        <v>1994</v>
      </c>
      <c r="D220" s="576" t="s">
        <v>1824</v>
      </c>
      <c r="E220" s="127">
        <f>'3. PRECIOS Y COSTOS'!AO2186</f>
        <v>11346.035544913197</v>
      </c>
      <c r="F220" s="127">
        <f t="shared" si="53"/>
        <v>11720.454717895331</v>
      </c>
      <c r="G220" s="127">
        <f t="shared" si="54"/>
        <v>12083.788814150084</v>
      </c>
      <c r="H220" s="127">
        <f t="shared" si="55"/>
        <v>12458.386267388736</v>
      </c>
      <c r="I220" s="127">
        <f t="shared" si="56"/>
        <v>12869.513014212564</v>
      </c>
      <c r="L220" s="1148"/>
      <c r="M220" s="105" t="s">
        <v>1994</v>
      </c>
      <c r="N220" s="579" t="s">
        <v>1824</v>
      </c>
      <c r="O220" s="127">
        <f>'3. PRECIOS Y COSTOS'!AO2216</f>
        <v>11346.035544913197</v>
      </c>
      <c r="P220" s="127">
        <f t="shared" si="57"/>
        <v>11720.454717895331</v>
      </c>
      <c r="Q220" s="127">
        <f t="shared" si="58"/>
        <v>12083.788814150084</v>
      </c>
      <c r="R220" s="127">
        <f t="shared" si="59"/>
        <v>12458.386267388736</v>
      </c>
      <c r="S220" s="127">
        <f t="shared" si="60"/>
        <v>12869.513014212564</v>
      </c>
      <c r="V220" s="1148"/>
      <c r="W220" s="105" t="s">
        <v>1994</v>
      </c>
      <c r="X220" s="579" t="s">
        <v>1824</v>
      </c>
      <c r="Y220" s="127">
        <f>'3. PRECIOS Y COSTOS'!AO2251</f>
        <v>11346.035544913197</v>
      </c>
      <c r="Z220" s="127">
        <f t="shared" si="61"/>
        <v>11720.454717895331</v>
      </c>
      <c r="AA220" s="127">
        <f t="shared" si="62"/>
        <v>12083.788814150084</v>
      </c>
      <c r="AB220" s="127">
        <f t="shared" si="63"/>
        <v>12458.386267388736</v>
      </c>
      <c r="AC220" s="127">
        <f t="shared" si="64"/>
        <v>12869.513014212564</v>
      </c>
      <c r="AF220" s="1148"/>
      <c r="AG220" s="105" t="s">
        <v>1994</v>
      </c>
      <c r="AH220" s="579" t="s">
        <v>1824</v>
      </c>
      <c r="AI220" s="127">
        <f>'3. PRECIOS Y COSTOS'!AO2283</f>
        <v>11346.035544913197</v>
      </c>
      <c r="AJ220" s="127">
        <f t="shared" si="65"/>
        <v>11720.454717895331</v>
      </c>
      <c r="AK220" s="127">
        <f t="shared" si="66"/>
        <v>12083.788814150084</v>
      </c>
      <c r="AL220" s="127">
        <f t="shared" si="67"/>
        <v>12458.386267388736</v>
      </c>
      <c r="AM220" s="127">
        <f t="shared" si="68"/>
        <v>12869.513014212564</v>
      </c>
      <c r="AP220" s="1151"/>
      <c r="AQ220" s="105" t="s">
        <v>1994</v>
      </c>
      <c r="AR220" s="579" t="s">
        <v>1824</v>
      </c>
      <c r="AS220" s="127">
        <f>'3. PRECIOS Y COSTOS'!AO2318</f>
        <v>11346.035544913197</v>
      </c>
      <c r="AT220" s="127">
        <f t="shared" si="69"/>
        <v>11720.454717895331</v>
      </c>
      <c r="AU220" s="127">
        <f t="shared" si="70"/>
        <v>12083.788814150084</v>
      </c>
      <c r="AV220" s="127">
        <f t="shared" si="71"/>
        <v>12458.386267388736</v>
      </c>
      <c r="AW220" s="127">
        <f t="shared" si="72"/>
        <v>12869.513014212564</v>
      </c>
      <c r="AZ220" s="1148"/>
      <c r="BA220" s="105" t="s">
        <v>1994</v>
      </c>
      <c r="BB220" s="579" t="s">
        <v>1824</v>
      </c>
      <c r="BC220" s="127">
        <f>'3. PRECIOS Y COSTOS'!AO2352</f>
        <v>11346.035544913197</v>
      </c>
      <c r="BD220" s="127">
        <f t="shared" si="73"/>
        <v>11720.454717895331</v>
      </c>
      <c r="BE220" s="127">
        <f t="shared" si="74"/>
        <v>12083.788814150084</v>
      </c>
      <c r="BF220" s="127">
        <f t="shared" si="75"/>
        <v>12458.386267388736</v>
      </c>
      <c r="BG220" s="127">
        <f t="shared" si="76"/>
        <v>12869.513014212564</v>
      </c>
      <c r="BJ220" s="1148"/>
      <c r="BK220" s="105" t="s">
        <v>1994</v>
      </c>
      <c r="BL220" s="579" t="s">
        <v>1824</v>
      </c>
      <c r="BM220" s="127">
        <f>'3. PRECIOS Y COSTOS'!AO2385</f>
        <v>11346.035544913197</v>
      </c>
      <c r="BN220" s="127">
        <f t="shared" si="77"/>
        <v>11720.454717895331</v>
      </c>
      <c r="BO220" s="127">
        <f t="shared" si="78"/>
        <v>12083.788814150084</v>
      </c>
      <c r="BP220" s="127">
        <f t="shared" si="79"/>
        <v>12458.386267388736</v>
      </c>
      <c r="BQ220" s="127">
        <f t="shared" si="80"/>
        <v>12869.513014212564</v>
      </c>
    </row>
    <row r="221" spans="2:69" x14ac:dyDescent="0.25">
      <c r="B221" s="1148"/>
      <c r="C221" s="105" t="s">
        <v>1995</v>
      </c>
      <c r="D221" s="576" t="s">
        <v>1824</v>
      </c>
      <c r="E221" s="127">
        <f>'3. PRECIOS Y COSTOS'!AP2186</f>
        <v>11346.035544913197</v>
      </c>
      <c r="F221" s="127">
        <f t="shared" si="53"/>
        <v>11720.454717895331</v>
      </c>
      <c r="G221" s="127">
        <f t="shared" si="54"/>
        <v>12083.788814150084</v>
      </c>
      <c r="H221" s="127">
        <f t="shared" si="55"/>
        <v>12458.386267388736</v>
      </c>
      <c r="I221" s="127">
        <f t="shared" si="56"/>
        <v>12869.513014212564</v>
      </c>
      <c r="L221" s="1148"/>
      <c r="M221" s="105" t="s">
        <v>1995</v>
      </c>
      <c r="N221" s="579" t="s">
        <v>1824</v>
      </c>
      <c r="O221" s="127">
        <f>'3. PRECIOS Y COSTOS'!AP2216</f>
        <v>11346.035544913197</v>
      </c>
      <c r="P221" s="127">
        <f t="shared" si="57"/>
        <v>11720.454717895331</v>
      </c>
      <c r="Q221" s="127">
        <f t="shared" si="58"/>
        <v>12083.788814150084</v>
      </c>
      <c r="R221" s="127">
        <f t="shared" si="59"/>
        <v>12458.386267388736</v>
      </c>
      <c r="S221" s="127">
        <f t="shared" si="60"/>
        <v>12869.513014212564</v>
      </c>
      <c r="V221" s="1148"/>
      <c r="W221" s="105" t="s">
        <v>1995</v>
      </c>
      <c r="X221" s="579" t="s">
        <v>1824</v>
      </c>
      <c r="Y221" s="127">
        <f>'3. PRECIOS Y COSTOS'!AP2251</f>
        <v>11346.035544913197</v>
      </c>
      <c r="Z221" s="127">
        <f t="shared" si="61"/>
        <v>11720.454717895331</v>
      </c>
      <c r="AA221" s="127">
        <f t="shared" si="62"/>
        <v>12083.788814150084</v>
      </c>
      <c r="AB221" s="127">
        <f t="shared" si="63"/>
        <v>12458.386267388736</v>
      </c>
      <c r="AC221" s="127">
        <f t="shared" si="64"/>
        <v>12869.513014212564</v>
      </c>
      <c r="AF221" s="1148"/>
      <c r="AG221" s="105" t="s">
        <v>1995</v>
      </c>
      <c r="AH221" s="579" t="s">
        <v>1824</v>
      </c>
      <c r="AI221" s="127">
        <f>'3. PRECIOS Y COSTOS'!AP2283</f>
        <v>11346.035544913197</v>
      </c>
      <c r="AJ221" s="127">
        <f t="shared" si="65"/>
        <v>11720.454717895331</v>
      </c>
      <c r="AK221" s="127">
        <f t="shared" si="66"/>
        <v>12083.788814150084</v>
      </c>
      <c r="AL221" s="127">
        <f t="shared" si="67"/>
        <v>12458.386267388736</v>
      </c>
      <c r="AM221" s="127">
        <f t="shared" si="68"/>
        <v>12869.513014212564</v>
      </c>
      <c r="AP221" s="1151"/>
      <c r="AQ221" s="105" t="s">
        <v>1995</v>
      </c>
      <c r="AR221" s="579" t="s">
        <v>1824</v>
      </c>
      <c r="AS221" s="127">
        <f>'3. PRECIOS Y COSTOS'!AP2318</f>
        <v>11346.035544913197</v>
      </c>
      <c r="AT221" s="127">
        <f t="shared" si="69"/>
        <v>11720.454717895331</v>
      </c>
      <c r="AU221" s="127">
        <f t="shared" si="70"/>
        <v>12083.788814150084</v>
      </c>
      <c r="AV221" s="127">
        <f t="shared" si="71"/>
        <v>12458.386267388736</v>
      </c>
      <c r="AW221" s="127">
        <f t="shared" si="72"/>
        <v>12869.513014212564</v>
      </c>
      <c r="AZ221" s="1148"/>
      <c r="BA221" s="105" t="s">
        <v>1995</v>
      </c>
      <c r="BB221" s="579" t="s">
        <v>1824</v>
      </c>
      <c r="BC221" s="127">
        <f>'3. PRECIOS Y COSTOS'!AP2352</f>
        <v>11346.035544913197</v>
      </c>
      <c r="BD221" s="127">
        <f t="shared" si="73"/>
        <v>11720.454717895331</v>
      </c>
      <c r="BE221" s="127">
        <f t="shared" si="74"/>
        <v>12083.788814150084</v>
      </c>
      <c r="BF221" s="127">
        <f t="shared" si="75"/>
        <v>12458.386267388736</v>
      </c>
      <c r="BG221" s="127">
        <f t="shared" si="76"/>
        <v>12869.513014212564</v>
      </c>
      <c r="BJ221" s="1148"/>
      <c r="BK221" s="105" t="s">
        <v>1995</v>
      </c>
      <c r="BL221" s="579" t="s">
        <v>1824</v>
      </c>
      <c r="BM221" s="127">
        <f>'3. PRECIOS Y COSTOS'!AP2385</f>
        <v>11346.035544913197</v>
      </c>
      <c r="BN221" s="127">
        <f t="shared" si="77"/>
        <v>11720.454717895331</v>
      </c>
      <c r="BO221" s="127">
        <f t="shared" si="78"/>
        <v>12083.788814150084</v>
      </c>
      <c r="BP221" s="127">
        <f t="shared" si="79"/>
        <v>12458.386267388736</v>
      </c>
      <c r="BQ221" s="127">
        <f t="shared" si="80"/>
        <v>12869.513014212564</v>
      </c>
    </row>
    <row r="222" spans="2:69" x14ac:dyDescent="0.25">
      <c r="B222" s="1148"/>
      <c r="C222" s="105" t="s">
        <v>1996</v>
      </c>
      <c r="D222" s="576" t="s">
        <v>1824</v>
      </c>
      <c r="E222" s="127">
        <f>'3. PRECIOS Y COSTOS'!AQ2186</f>
        <v>11499.95644892993</v>
      </c>
      <c r="F222" s="127">
        <f t="shared" si="53"/>
        <v>11879.455011744616</v>
      </c>
      <c r="G222" s="127">
        <f t="shared" si="54"/>
        <v>12247.718117108698</v>
      </c>
      <c r="H222" s="127">
        <f t="shared" si="55"/>
        <v>12627.397378739066</v>
      </c>
      <c r="I222" s="127">
        <f t="shared" si="56"/>
        <v>13044.101492237454</v>
      </c>
      <c r="L222" s="1148"/>
      <c r="M222" s="105" t="s">
        <v>1996</v>
      </c>
      <c r="N222" s="579" t="s">
        <v>1824</v>
      </c>
      <c r="O222" s="127">
        <f>'3. PRECIOS Y COSTOS'!AQ2216</f>
        <v>11499.95644892993</v>
      </c>
      <c r="P222" s="127">
        <f t="shared" si="57"/>
        <v>11879.455011744616</v>
      </c>
      <c r="Q222" s="127">
        <f t="shared" si="58"/>
        <v>12247.718117108698</v>
      </c>
      <c r="R222" s="127">
        <f t="shared" si="59"/>
        <v>12627.397378739066</v>
      </c>
      <c r="S222" s="127">
        <f t="shared" si="60"/>
        <v>13044.101492237454</v>
      </c>
      <c r="V222" s="1148"/>
      <c r="W222" s="105" t="s">
        <v>1996</v>
      </c>
      <c r="X222" s="579" t="s">
        <v>1824</v>
      </c>
      <c r="Y222" s="127">
        <f>'3. PRECIOS Y COSTOS'!AQ2251</f>
        <v>11499.95644892993</v>
      </c>
      <c r="Z222" s="127">
        <f t="shared" si="61"/>
        <v>11879.455011744616</v>
      </c>
      <c r="AA222" s="127">
        <f t="shared" si="62"/>
        <v>12247.718117108698</v>
      </c>
      <c r="AB222" s="127">
        <f t="shared" si="63"/>
        <v>12627.397378739066</v>
      </c>
      <c r="AC222" s="127">
        <f t="shared" si="64"/>
        <v>13044.101492237454</v>
      </c>
      <c r="AF222" s="1148"/>
      <c r="AG222" s="105" t="s">
        <v>1996</v>
      </c>
      <c r="AH222" s="579" t="s">
        <v>1824</v>
      </c>
      <c r="AI222" s="127">
        <f>'3. PRECIOS Y COSTOS'!AQ2283</f>
        <v>11499.95644892993</v>
      </c>
      <c r="AJ222" s="127">
        <f t="shared" si="65"/>
        <v>11879.455011744616</v>
      </c>
      <c r="AK222" s="127">
        <f t="shared" si="66"/>
        <v>12247.718117108698</v>
      </c>
      <c r="AL222" s="127">
        <f t="shared" si="67"/>
        <v>12627.397378739066</v>
      </c>
      <c r="AM222" s="127">
        <f t="shared" si="68"/>
        <v>13044.101492237454</v>
      </c>
      <c r="AP222" s="1151"/>
      <c r="AQ222" s="105" t="s">
        <v>1996</v>
      </c>
      <c r="AR222" s="579" t="s">
        <v>1824</v>
      </c>
      <c r="AS222" s="127">
        <f>'3. PRECIOS Y COSTOS'!AQ2318</f>
        <v>11499.95644892993</v>
      </c>
      <c r="AT222" s="127">
        <f t="shared" si="69"/>
        <v>11879.455011744616</v>
      </c>
      <c r="AU222" s="127">
        <f t="shared" si="70"/>
        <v>12247.718117108698</v>
      </c>
      <c r="AV222" s="127">
        <f t="shared" si="71"/>
        <v>12627.397378739066</v>
      </c>
      <c r="AW222" s="127">
        <f t="shared" si="72"/>
        <v>13044.101492237454</v>
      </c>
      <c r="AZ222" s="1148"/>
      <c r="BA222" s="105" t="s">
        <v>1996</v>
      </c>
      <c r="BB222" s="579" t="s">
        <v>1824</v>
      </c>
      <c r="BC222" s="127">
        <f>'3. PRECIOS Y COSTOS'!AQ2352</f>
        <v>11499.95644892993</v>
      </c>
      <c r="BD222" s="127">
        <f t="shared" si="73"/>
        <v>11879.455011744616</v>
      </c>
      <c r="BE222" s="127">
        <f t="shared" si="74"/>
        <v>12247.718117108698</v>
      </c>
      <c r="BF222" s="127">
        <f t="shared" si="75"/>
        <v>12627.397378739066</v>
      </c>
      <c r="BG222" s="127">
        <f t="shared" si="76"/>
        <v>13044.101492237454</v>
      </c>
      <c r="BJ222" s="1148"/>
      <c r="BK222" s="105" t="s">
        <v>1996</v>
      </c>
      <c r="BL222" s="579" t="s">
        <v>1824</v>
      </c>
      <c r="BM222" s="127">
        <f>'3. PRECIOS Y COSTOS'!AQ2385</f>
        <v>11499.95644892993</v>
      </c>
      <c r="BN222" s="127">
        <f t="shared" si="77"/>
        <v>11879.455011744616</v>
      </c>
      <c r="BO222" s="127">
        <f t="shared" si="78"/>
        <v>12247.718117108698</v>
      </c>
      <c r="BP222" s="127">
        <f t="shared" si="79"/>
        <v>12627.397378739066</v>
      </c>
      <c r="BQ222" s="127">
        <f t="shared" si="80"/>
        <v>13044.101492237454</v>
      </c>
    </row>
    <row r="223" spans="2:69" x14ac:dyDescent="0.25">
      <c r="B223" s="1148"/>
      <c r="C223" s="105" t="s">
        <v>1997</v>
      </c>
      <c r="D223" s="576" t="s">
        <v>1824</v>
      </c>
      <c r="E223" s="127">
        <f>'3. PRECIOS Y COSTOS'!AM2187</f>
        <v>7655.5020489299286</v>
      </c>
      <c r="F223" s="127">
        <f t="shared" si="53"/>
        <v>7908.1336165446155</v>
      </c>
      <c r="G223" s="127">
        <f t="shared" si="54"/>
        <v>8153.2857586574983</v>
      </c>
      <c r="H223" s="127">
        <f t="shared" si="55"/>
        <v>8406.0376171758799</v>
      </c>
      <c r="I223" s="127">
        <f t="shared" si="56"/>
        <v>8683.4368585426837</v>
      </c>
      <c r="L223" s="1148"/>
      <c r="M223" s="105" t="s">
        <v>1997</v>
      </c>
      <c r="N223" s="579" t="s">
        <v>1824</v>
      </c>
      <c r="O223" s="127">
        <f>'3. PRECIOS Y COSTOS'!AM2217</f>
        <v>7655.5020489299286</v>
      </c>
      <c r="P223" s="127">
        <f t="shared" si="57"/>
        <v>7908.1336165446155</v>
      </c>
      <c r="Q223" s="127">
        <f t="shared" si="58"/>
        <v>8153.2857586574983</v>
      </c>
      <c r="R223" s="127">
        <f t="shared" si="59"/>
        <v>8406.0376171758799</v>
      </c>
      <c r="S223" s="127">
        <f t="shared" si="60"/>
        <v>8683.4368585426837</v>
      </c>
      <c r="V223" s="1148"/>
      <c r="W223" s="105" t="s">
        <v>1997</v>
      </c>
      <c r="X223" s="579" t="s">
        <v>1824</v>
      </c>
      <c r="Y223" s="127">
        <f>'3. PRECIOS Y COSTOS'!AM2252</f>
        <v>7655.5020489299286</v>
      </c>
      <c r="Z223" s="127">
        <f t="shared" si="61"/>
        <v>7908.1336165446155</v>
      </c>
      <c r="AA223" s="127">
        <f t="shared" si="62"/>
        <v>8153.2857586574983</v>
      </c>
      <c r="AB223" s="127">
        <f t="shared" si="63"/>
        <v>8406.0376171758799</v>
      </c>
      <c r="AC223" s="127">
        <f t="shared" si="64"/>
        <v>8683.4368585426837</v>
      </c>
      <c r="AF223" s="1148"/>
      <c r="AG223" s="105" t="s">
        <v>1997</v>
      </c>
      <c r="AH223" s="579" t="s">
        <v>1824</v>
      </c>
      <c r="AI223" s="127">
        <f>'3. PRECIOS Y COSTOS'!AM2284</f>
        <v>7655.5020489299286</v>
      </c>
      <c r="AJ223" s="127">
        <f t="shared" si="65"/>
        <v>7908.1336165446155</v>
      </c>
      <c r="AK223" s="127">
        <f t="shared" si="66"/>
        <v>8153.2857586574983</v>
      </c>
      <c r="AL223" s="127">
        <f t="shared" si="67"/>
        <v>8406.0376171758799</v>
      </c>
      <c r="AM223" s="127">
        <f t="shared" si="68"/>
        <v>8683.4368585426837</v>
      </c>
      <c r="AP223" s="1151"/>
      <c r="AQ223" s="105" t="s">
        <v>1997</v>
      </c>
      <c r="AR223" s="579" t="s">
        <v>1824</v>
      </c>
      <c r="AS223" s="127">
        <f>'3. PRECIOS Y COSTOS'!AM2319</f>
        <v>7655.5020489299286</v>
      </c>
      <c r="AT223" s="127">
        <f t="shared" si="69"/>
        <v>7908.1336165446155</v>
      </c>
      <c r="AU223" s="127">
        <f t="shared" si="70"/>
        <v>8153.2857586574983</v>
      </c>
      <c r="AV223" s="127">
        <f t="shared" si="71"/>
        <v>8406.0376171758799</v>
      </c>
      <c r="AW223" s="127">
        <f t="shared" si="72"/>
        <v>8683.4368585426837</v>
      </c>
      <c r="AZ223" s="1148"/>
      <c r="BA223" s="105" t="s">
        <v>1997</v>
      </c>
      <c r="BB223" s="579" t="s">
        <v>1824</v>
      </c>
      <c r="BC223" s="127">
        <f>'3. PRECIOS Y COSTOS'!AM2353</f>
        <v>7655.5020489299286</v>
      </c>
      <c r="BD223" s="127">
        <f t="shared" si="73"/>
        <v>7908.1336165446155</v>
      </c>
      <c r="BE223" s="127">
        <f t="shared" si="74"/>
        <v>8153.2857586574983</v>
      </c>
      <c r="BF223" s="127">
        <f t="shared" si="75"/>
        <v>8406.0376171758799</v>
      </c>
      <c r="BG223" s="127">
        <f t="shared" si="76"/>
        <v>8683.4368585426837</v>
      </c>
      <c r="BJ223" s="1148"/>
      <c r="BK223" s="105" t="s">
        <v>1997</v>
      </c>
      <c r="BL223" s="579" t="s">
        <v>1824</v>
      </c>
      <c r="BM223" s="127">
        <f>'3. PRECIOS Y COSTOS'!AM2386</f>
        <v>7655.5020489299286</v>
      </c>
      <c r="BN223" s="127">
        <f t="shared" si="77"/>
        <v>7908.1336165446155</v>
      </c>
      <c r="BO223" s="127">
        <f t="shared" si="78"/>
        <v>8153.2857586574983</v>
      </c>
      <c r="BP223" s="127">
        <f t="shared" si="79"/>
        <v>8406.0376171758799</v>
      </c>
      <c r="BQ223" s="127">
        <f t="shared" si="80"/>
        <v>8683.4368585426837</v>
      </c>
    </row>
    <row r="224" spans="2:69" x14ac:dyDescent="0.25">
      <c r="B224" s="1148"/>
      <c r="C224" s="105" t="s">
        <v>1998</v>
      </c>
      <c r="D224" s="576" t="s">
        <v>1824</v>
      </c>
      <c r="E224" s="127">
        <f>'3. PRECIOS Y COSTOS'!AN2187</f>
        <v>7655.5020489299286</v>
      </c>
      <c r="F224" s="127">
        <f t="shared" si="53"/>
        <v>7908.1336165446155</v>
      </c>
      <c r="G224" s="127">
        <f t="shared" si="54"/>
        <v>8153.2857586574983</v>
      </c>
      <c r="H224" s="127">
        <f t="shared" si="55"/>
        <v>8406.0376171758799</v>
      </c>
      <c r="I224" s="127">
        <f t="shared" si="56"/>
        <v>8683.4368585426837</v>
      </c>
      <c r="L224" s="1148"/>
      <c r="M224" s="105" t="s">
        <v>1998</v>
      </c>
      <c r="N224" s="579" t="s">
        <v>1824</v>
      </c>
      <c r="O224" s="127">
        <f>'3. PRECIOS Y COSTOS'!AN2217</f>
        <v>7655.5020489299286</v>
      </c>
      <c r="P224" s="127">
        <f t="shared" si="57"/>
        <v>7908.1336165446155</v>
      </c>
      <c r="Q224" s="127">
        <f t="shared" si="58"/>
        <v>8153.2857586574983</v>
      </c>
      <c r="R224" s="127">
        <f t="shared" si="59"/>
        <v>8406.0376171758799</v>
      </c>
      <c r="S224" s="127">
        <f t="shared" si="60"/>
        <v>8683.4368585426837</v>
      </c>
      <c r="V224" s="1148"/>
      <c r="W224" s="105" t="s">
        <v>1998</v>
      </c>
      <c r="X224" s="579" t="s">
        <v>1824</v>
      </c>
      <c r="Y224" s="127">
        <f>'3. PRECIOS Y COSTOS'!AN2252</f>
        <v>7655.5020489299286</v>
      </c>
      <c r="Z224" s="127">
        <f t="shared" si="61"/>
        <v>7908.1336165446155</v>
      </c>
      <c r="AA224" s="127">
        <f t="shared" si="62"/>
        <v>8153.2857586574983</v>
      </c>
      <c r="AB224" s="127">
        <f t="shared" si="63"/>
        <v>8406.0376171758799</v>
      </c>
      <c r="AC224" s="127">
        <f t="shared" si="64"/>
        <v>8683.4368585426837</v>
      </c>
      <c r="AF224" s="1148"/>
      <c r="AG224" s="105" t="s">
        <v>1998</v>
      </c>
      <c r="AH224" s="579" t="s">
        <v>1824</v>
      </c>
      <c r="AI224" s="127">
        <f>'3. PRECIOS Y COSTOS'!AN2284</f>
        <v>7655.5020489299286</v>
      </c>
      <c r="AJ224" s="127">
        <f t="shared" si="65"/>
        <v>7908.1336165446155</v>
      </c>
      <c r="AK224" s="127">
        <f t="shared" si="66"/>
        <v>8153.2857586574983</v>
      </c>
      <c r="AL224" s="127">
        <f t="shared" si="67"/>
        <v>8406.0376171758799</v>
      </c>
      <c r="AM224" s="127">
        <f t="shared" si="68"/>
        <v>8683.4368585426837</v>
      </c>
      <c r="AP224" s="1151"/>
      <c r="AQ224" s="105" t="s">
        <v>1998</v>
      </c>
      <c r="AR224" s="579" t="s">
        <v>1824</v>
      </c>
      <c r="AS224" s="127">
        <f>'3. PRECIOS Y COSTOS'!AN2319</f>
        <v>7655.5020489299286</v>
      </c>
      <c r="AT224" s="127">
        <f t="shared" si="69"/>
        <v>7908.1336165446155</v>
      </c>
      <c r="AU224" s="127">
        <f t="shared" si="70"/>
        <v>8153.2857586574983</v>
      </c>
      <c r="AV224" s="127">
        <f t="shared" si="71"/>
        <v>8406.0376171758799</v>
      </c>
      <c r="AW224" s="127">
        <f t="shared" si="72"/>
        <v>8683.4368585426837</v>
      </c>
      <c r="AZ224" s="1148"/>
      <c r="BA224" s="105" t="s">
        <v>1998</v>
      </c>
      <c r="BB224" s="579" t="s">
        <v>1824</v>
      </c>
      <c r="BC224" s="127">
        <f>'3. PRECIOS Y COSTOS'!AN2353</f>
        <v>7655.5020489299286</v>
      </c>
      <c r="BD224" s="127">
        <f t="shared" si="73"/>
        <v>7908.1336165446155</v>
      </c>
      <c r="BE224" s="127">
        <f t="shared" si="74"/>
        <v>8153.2857586574983</v>
      </c>
      <c r="BF224" s="127">
        <f t="shared" si="75"/>
        <v>8406.0376171758799</v>
      </c>
      <c r="BG224" s="127">
        <f t="shared" si="76"/>
        <v>8683.4368585426837</v>
      </c>
      <c r="BJ224" s="1148"/>
      <c r="BK224" s="105" t="s">
        <v>1998</v>
      </c>
      <c r="BL224" s="579" t="s">
        <v>1824</v>
      </c>
      <c r="BM224" s="127">
        <f>'3. PRECIOS Y COSTOS'!AN2386</f>
        <v>7655.5020489299286</v>
      </c>
      <c r="BN224" s="127">
        <f t="shared" si="77"/>
        <v>7908.1336165446155</v>
      </c>
      <c r="BO224" s="127">
        <f t="shared" si="78"/>
        <v>8153.2857586574983</v>
      </c>
      <c r="BP224" s="127">
        <f t="shared" si="79"/>
        <v>8406.0376171758799</v>
      </c>
      <c r="BQ224" s="127">
        <f t="shared" si="80"/>
        <v>8683.4368585426837</v>
      </c>
    </row>
    <row r="225" spans="2:69" x14ac:dyDescent="0.25">
      <c r="B225" s="1148"/>
      <c r="C225" s="105" t="s">
        <v>1999</v>
      </c>
      <c r="D225" s="576" t="s">
        <v>1824</v>
      </c>
      <c r="E225" s="127">
        <f>'3. PRECIOS Y COSTOS'!AM2188</f>
        <v>5701.3491974502631</v>
      </c>
      <c r="F225" s="127">
        <f t="shared" si="53"/>
        <v>5889.4937209661211</v>
      </c>
      <c r="G225" s="127">
        <f t="shared" si="54"/>
        <v>6072.0680263160702</v>
      </c>
      <c r="H225" s="127">
        <f t="shared" si="55"/>
        <v>6260.3021351318675</v>
      </c>
      <c r="I225" s="127">
        <f t="shared" si="56"/>
        <v>6466.8921055912188</v>
      </c>
      <c r="L225" s="1148"/>
      <c r="M225" s="105" t="s">
        <v>2001</v>
      </c>
      <c r="N225" s="579" t="s">
        <v>1824</v>
      </c>
      <c r="O225" s="127">
        <f>'3. PRECIOS Y COSTOS'!AK2218</f>
        <v>6643.1107449131969</v>
      </c>
      <c r="P225" s="127">
        <f t="shared" si="57"/>
        <v>6862.3333994953318</v>
      </c>
      <c r="Q225" s="127">
        <f t="shared" si="58"/>
        <v>7075.0657348796867</v>
      </c>
      <c r="R225" s="127">
        <f t="shared" si="59"/>
        <v>7294.3927726609563</v>
      </c>
      <c r="S225" s="127">
        <f t="shared" si="60"/>
        <v>7535.107734158767</v>
      </c>
      <c r="V225" s="1148"/>
      <c r="W225" s="105" t="s">
        <v>2001</v>
      </c>
      <c r="X225" s="579" t="s">
        <v>1824</v>
      </c>
      <c r="Y225" s="127">
        <f>'3. PRECIOS Y COSTOS'!AK2253</f>
        <v>6643.1107449131969</v>
      </c>
      <c r="Z225" s="127">
        <f t="shared" si="61"/>
        <v>6862.3333994953318</v>
      </c>
      <c r="AA225" s="127">
        <f t="shared" si="62"/>
        <v>7075.0657348796867</v>
      </c>
      <c r="AB225" s="127">
        <f t="shared" si="63"/>
        <v>7294.3927726609563</v>
      </c>
      <c r="AC225" s="127">
        <f t="shared" si="64"/>
        <v>7535.107734158767</v>
      </c>
      <c r="AF225" s="1148"/>
      <c r="AG225" s="105" t="s">
        <v>2001</v>
      </c>
      <c r="AH225" s="579" t="s">
        <v>1824</v>
      </c>
      <c r="AI225" s="127">
        <f>'3. PRECIOS Y COSTOS'!AK2285</f>
        <v>6643.1107449131969</v>
      </c>
      <c r="AJ225" s="127">
        <f t="shared" si="65"/>
        <v>6862.3333994953318</v>
      </c>
      <c r="AK225" s="127">
        <f t="shared" si="66"/>
        <v>7075.0657348796867</v>
      </c>
      <c r="AL225" s="127">
        <f t="shared" si="67"/>
        <v>7294.3927726609563</v>
      </c>
      <c r="AM225" s="127">
        <f t="shared" si="68"/>
        <v>7535.107734158767</v>
      </c>
      <c r="AP225" s="1151"/>
      <c r="AQ225" s="105" t="s">
        <v>2001</v>
      </c>
      <c r="AR225" s="579" t="s">
        <v>1824</v>
      </c>
      <c r="AS225" s="127">
        <f>'3. PRECIOS Y COSTOS'!AK2320</f>
        <v>6643.1107449131969</v>
      </c>
      <c r="AT225" s="127">
        <f t="shared" si="69"/>
        <v>6862.3333994953318</v>
      </c>
      <c r="AU225" s="127">
        <f t="shared" si="70"/>
        <v>7075.0657348796867</v>
      </c>
      <c r="AV225" s="127">
        <f t="shared" si="71"/>
        <v>7294.3927726609563</v>
      </c>
      <c r="AW225" s="127">
        <f t="shared" si="72"/>
        <v>7535.107734158767</v>
      </c>
      <c r="AZ225" s="1148"/>
      <c r="BA225" s="105" t="s">
        <v>2008</v>
      </c>
      <c r="BB225" s="579" t="s">
        <v>1824</v>
      </c>
      <c r="BC225" s="127">
        <f>'3. PRECIOS Y COSTOS'!AM2354</f>
        <v>35481.223392929933</v>
      </c>
      <c r="BD225" s="127">
        <f t="shared" si="73"/>
        <v>36652.103764896616</v>
      </c>
      <c r="BE225" s="127">
        <f t="shared" si="74"/>
        <v>37788.318981608405</v>
      </c>
      <c r="BF225" s="127">
        <f t="shared" si="75"/>
        <v>38959.756870038262</v>
      </c>
      <c r="BG225" s="127">
        <f t="shared" si="76"/>
        <v>40245.428846749521</v>
      </c>
      <c r="BJ225" s="1148"/>
      <c r="BK225" s="105" t="s">
        <v>1999</v>
      </c>
      <c r="BL225" s="579" t="s">
        <v>1824</v>
      </c>
      <c r="BM225" s="127">
        <f>'3. PRECIOS Y COSTOS'!AM2387</f>
        <v>5701.3491974502631</v>
      </c>
      <c r="BN225" s="127">
        <f t="shared" si="77"/>
        <v>5889.4937209661211</v>
      </c>
      <c r="BO225" s="127">
        <f t="shared" si="78"/>
        <v>6072.0680263160702</v>
      </c>
      <c r="BP225" s="127">
        <f t="shared" si="79"/>
        <v>6260.3021351318675</v>
      </c>
      <c r="BQ225" s="127">
        <f t="shared" si="80"/>
        <v>6466.8921055912188</v>
      </c>
    </row>
    <row r="226" spans="2:69" x14ac:dyDescent="0.25">
      <c r="B226" s="1148"/>
      <c r="C226" s="105" t="s">
        <v>2000</v>
      </c>
      <c r="D226" s="576" t="s">
        <v>1824</v>
      </c>
      <c r="E226" s="127">
        <f>'3. PRECIOS Y COSTOS'!AO2188</f>
        <v>5701.3491974502631</v>
      </c>
      <c r="F226" s="127">
        <f t="shared" si="53"/>
        <v>5889.4937209661211</v>
      </c>
      <c r="G226" s="127">
        <f t="shared" si="54"/>
        <v>6072.0680263160702</v>
      </c>
      <c r="H226" s="127">
        <f t="shared" si="55"/>
        <v>6260.3021351318675</v>
      </c>
      <c r="I226" s="127">
        <f t="shared" si="56"/>
        <v>6466.8921055912188</v>
      </c>
      <c r="L226" s="1148"/>
      <c r="M226" s="105" t="s">
        <v>2002</v>
      </c>
      <c r="N226" s="579" t="s">
        <v>1824</v>
      </c>
      <c r="O226" s="127">
        <f>'3. PRECIOS Y COSTOS'!AT2218</f>
        <v>6643.1107449131969</v>
      </c>
      <c r="P226" s="127">
        <f t="shared" si="57"/>
        <v>6862.3333994953318</v>
      </c>
      <c r="Q226" s="127">
        <f t="shared" si="58"/>
        <v>7075.0657348796867</v>
      </c>
      <c r="R226" s="127">
        <f t="shared" si="59"/>
        <v>7294.3927726609563</v>
      </c>
      <c r="S226" s="127">
        <f t="shared" si="60"/>
        <v>7535.107734158767</v>
      </c>
      <c r="V226" s="1148"/>
      <c r="W226" s="105" t="s">
        <v>2002</v>
      </c>
      <c r="X226" s="579" t="s">
        <v>1824</v>
      </c>
      <c r="Y226" s="127">
        <f>'3. PRECIOS Y COSTOS'!AT2253</f>
        <v>6643.1107449131969</v>
      </c>
      <c r="Z226" s="127">
        <f t="shared" si="61"/>
        <v>6862.3333994953318</v>
      </c>
      <c r="AA226" s="127">
        <f t="shared" si="62"/>
        <v>7075.0657348796867</v>
      </c>
      <c r="AB226" s="127">
        <f t="shared" si="63"/>
        <v>7294.3927726609563</v>
      </c>
      <c r="AC226" s="127">
        <f t="shared" si="64"/>
        <v>7535.107734158767</v>
      </c>
      <c r="AF226" s="1148"/>
      <c r="AG226" s="105" t="s">
        <v>2002</v>
      </c>
      <c r="AH226" s="579" t="s">
        <v>1824</v>
      </c>
      <c r="AI226" s="127">
        <f>'3. PRECIOS Y COSTOS'!AT2285</f>
        <v>6643.1107449131969</v>
      </c>
      <c r="AJ226" s="127">
        <f t="shared" si="65"/>
        <v>6862.3333994953318</v>
      </c>
      <c r="AK226" s="127">
        <f t="shared" si="66"/>
        <v>7075.0657348796867</v>
      </c>
      <c r="AL226" s="127">
        <f t="shared" si="67"/>
        <v>7294.3927726609563</v>
      </c>
      <c r="AM226" s="127">
        <f t="shared" si="68"/>
        <v>7535.107734158767</v>
      </c>
      <c r="AP226" s="1151"/>
      <c r="AQ226" s="105" t="s">
        <v>2002</v>
      </c>
      <c r="AR226" s="579" t="s">
        <v>1824</v>
      </c>
      <c r="AS226" s="127">
        <f>'3. PRECIOS Y COSTOS'!AT2320</f>
        <v>6643.1107449131969</v>
      </c>
      <c r="AT226" s="127">
        <f t="shared" si="69"/>
        <v>6862.3333994953318</v>
      </c>
      <c r="AU226" s="127">
        <f t="shared" si="70"/>
        <v>7075.0657348796867</v>
      </c>
      <c r="AV226" s="127">
        <f t="shared" si="71"/>
        <v>7294.3927726609563</v>
      </c>
      <c r="AW226" s="127">
        <f t="shared" si="72"/>
        <v>7535.107734158767</v>
      </c>
      <c r="AZ226" s="1148"/>
      <c r="BA226" s="105" t="s">
        <v>2009</v>
      </c>
      <c r="BB226" s="579" t="s">
        <v>1824</v>
      </c>
      <c r="BC226" s="127">
        <f>'3. PRECIOS Y COSTOS'!AR2354</f>
        <v>35327.302488913207</v>
      </c>
      <c r="BD226" s="127">
        <f t="shared" si="73"/>
        <v>36493.10347104734</v>
      </c>
      <c r="BE226" s="127">
        <f t="shared" si="74"/>
        <v>37624.389678649801</v>
      </c>
      <c r="BF226" s="127">
        <f t="shared" si="75"/>
        <v>38790.745758687939</v>
      </c>
      <c r="BG226" s="127">
        <f t="shared" si="76"/>
        <v>40070.840368724639</v>
      </c>
      <c r="BJ226" s="1148"/>
      <c r="BK226" s="105" t="s">
        <v>2000</v>
      </c>
      <c r="BL226" s="579" t="s">
        <v>1824</v>
      </c>
      <c r="BM226" s="127">
        <f>'3. PRECIOS Y COSTOS'!AO2387</f>
        <v>5701.3491974502631</v>
      </c>
      <c r="BN226" s="127">
        <f t="shared" si="77"/>
        <v>5889.4937209661211</v>
      </c>
      <c r="BO226" s="127">
        <f t="shared" si="78"/>
        <v>6072.0680263160702</v>
      </c>
      <c r="BP226" s="127">
        <f t="shared" si="79"/>
        <v>6260.3021351318675</v>
      </c>
      <c r="BQ226" s="127">
        <f t="shared" si="80"/>
        <v>6466.8921055912188</v>
      </c>
    </row>
    <row r="227" spans="2:69" x14ac:dyDescent="0.25">
      <c r="B227" s="1148"/>
      <c r="C227" s="105" t="s">
        <v>2001</v>
      </c>
      <c r="D227" s="576" t="s">
        <v>1824</v>
      </c>
      <c r="E227" s="127">
        <f>'3. PRECIOS Y COSTOS'!AK2189</f>
        <v>6643.1107449131969</v>
      </c>
      <c r="F227" s="127">
        <f t="shared" si="53"/>
        <v>6862.3333994953318</v>
      </c>
      <c r="G227" s="127">
        <f t="shared" si="54"/>
        <v>7075.0657348796867</v>
      </c>
      <c r="H227" s="127">
        <f t="shared" si="55"/>
        <v>7294.3927726609563</v>
      </c>
      <c r="I227" s="127">
        <f t="shared" si="56"/>
        <v>7535.107734158767</v>
      </c>
      <c r="L227" s="1148"/>
      <c r="M227" s="105" t="s">
        <v>2003</v>
      </c>
      <c r="N227" s="579" t="s">
        <v>1824</v>
      </c>
      <c r="O227" s="127">
        <f>'3. PRECIOS Y COSTOS'!AN2218</f>
        <v>6797.0316489299285</v>
      </c>
      <c r="P227" s="127">
        <f t="shared" si="57"/>
        <v>7021.3336933446153</v>
      </c>
      <c r="Q227" s="127">
        <f t="shared" si="58"/>
        <v>7238.9950378382982</v>
      </c>
      <c r="R227" s="127">
        <f t="shared" si="59"/>
        <v>7463.4038840112853</v>
      </c>
      <c r="S227" s="127">
        <f t="shared" si="60"/>
        <v>7709.6962121836568</v>
      </c>
      <c r="V227" s="1148"/>
      <c r="W227" s="105" t="s">
        <v>2003</v>
      </c>
      <c r="X227" s="579" t="s">
        <v>1824</v>
      </c>
      <c r="Y227" s="127">
        <f>'3. PRECIOS Y COSTOS'!AN2253</f>
        <v>6797.0316489299285</v>
      </c>
      <c r="Z227" s="127">
        <f t="shared" si="61"/>
        <v>7021.3336933446153</v>
      </c>
      <c r="AA227" s="127">
        <f t="shared" si="62"/>
        <v>7238.9950378382982</v>
      </c>
      <c r="AB227" s="127">
        <f t="shared" si="63"/>
        <v>7463.4038840112853</v>
      </c>
      <c r="AC227" s="127">
        <f t="shared" si="64"/>
        <v>7709.6962121836568</v>
      </c>
      <c r="AF227" s="1148"/>
      <c r="AG227" s="105" t="s">
        <v>2003</v>
      </c>
      <c r="AH227" s="579" t="s">
        <v>1824</v>
      </c>
      <c r="AI227" s="127">
        <f>'3. PRECIOS Y COSTOS'!AN2285</f>
        <v>6797.0316489299285</v>
      </c>
      <c r="AJ227" s="127">
        <f t="shared" si="65"/>
        <v>7021.3336933446153</v>
      </c>
      <c r="AK227" s="127">
        <f t="shared" si="66"/>
        <v>7238.9950378382982</v>
      </c>
      <c r="AL227" s="127">
        <f t="shared" si="67"/>
        <v>7463.4038840112853</v>
      </c>
      <c r="AM227" s="127">
        <f t="shared" si="68"/>
        <v>7709.6962121836568</v>
      </c>
      <c r="AP227" s="1151"/>
      <c r="AQ227" s="105" t="s">
        <v>2003</v>
      </c>
      <c r="AR227" s="579" t="s">
        <v>1824</v>
      </c>
      <c r="AS227" s="127">
        <f>'3. PRECIOS Y COSTOS'!AN2320</f>
        <v>6797.0316489299285</v>
      </c>
      <c r="AT227" s="127">
        <f t="shared" si="69"/>
        <v>7021.3336933446153</v>
      </c>
      <c r="AU227" s="127">
        <f t="shared" si="70"/>
        <v>7238.9950378382982</v>
      </c>
      <c r="AV227" s="127">
        <f t="shared" si="71"/>
        <v>7463.4038840112853</v>
      </c>
      <c r="AW227" s="127">
        <f t="shared" si="72"/>
        <v>7709.6962121836568</v>
      </c>
      <c r="AZ227" s="1148"/>
      <c r="BA227" s="105" t="s">
        <v>2010</v>
      </c>
      <c r="BB227" s="579" t="s">
        <v>1824</v>
      </c>
      <c r="BC227" s="127">
        <f>'3. PRECIOS Y COSTOS'!AT2354</f>
        <v>35327.302488913207</v>
      </c>
      <c r="BD227" s="127">
        <f t="shared" si="73"/>
        <v>36493.10347104734</v>
      </c>
      <c r="BE227" s="127">
        <f t="shared" si="74"/>
        <v>37624.389678649801</v>
      </c>
      <c r="BF227" s="127">
        <f t="shared" si="75"/>
        <v>38790.745758687939</v>
      </c>
      <c r="BG227" s="127">
        <f t="shared" si="76"/>
        <v>40070.840368724639</v>
      </c>
      <c r="BJ227" s="1148"/>
      <c r="BK227" s="105" t="s">
        <v>2081</v>
      </c>
      <c r="BL227" s="105"/>
      <c r="BM227" s="127">
        <f>'3. PRECIOS Y COSTOS'!AM2388</f>
        <v>14418.313440929929</v>
      </c>
      <c r="BN227" s="127">
        <f t="shared" si="77"/>
        <v>14894.117784480615</v>
      </c>
      <c r="BO227" s="127">
        <f t="shared" si="78"/>
        <v>15355.835435799512</v>
      </c>
      <c r="BP227" s="127">
        <f t="shared" si="79"/>
        <v>15831.866334309296</v>
      </c>
      <c r="BQ227" s="127">
        <f t="shared" si="80"/>
        <v>16354.317923341501</v>
      </c>
    </row>
    <row r="228" spans="2:69" x14ac:dyDescent="0.25">
      <c r="B228" s="1148"/>
      <c r="C228" s="105" t="s">
        <v>2002</v>
      </c>
      <c r="D228" s="576" t="s">
        <v>1824</v>
      </c>
      <c r="E228" s="127">
        <f>'3. PRECIOS Y COSTOS'!AT2189</f>
        <v>6643.1107449131969</v>
      </c>
      <c r="F228" s="127">
        <f t="shared" si="53"/>
        <v>6862.3333994953318</v>
      </c>
      <c r="G228" s="127">
        <f t="shared" si="54"/>
        <v>7075.0657348796867</v>
      </c>
      <c r="H228" s="127">
        <f t="shared" si="55"/>
        <v>7294.3927726609563</v>
      </c>
      <c r="I228" s="127">
        <f t="shared" si="56"/>
        <v>7535.107734158767</v>
      </c>
      <c r="L228" s="1148"/>
      <c r="M228" s="105" t="s">
        <v>2008</v>
      </c>
      <c r="N228" s="579" t="s">
        <v>1824</v>
      </c>
      <c r="O228" s="127">
        <f>'3. PRECIOS Y COSTOS'!AM2219</f>
        <v>35481.223392929933</v>
      </c>
      <c r="P228" s="127">
        <f t="shared" si="57"/>
        <v>36652.103764896616</v>
      </c>
      <c r="Q228" s="127">
        <f t="shared" si="58"/>
        <v>37788.318981608405</v>
      </c>
      <c r="R228" s="127">
        <f t="shared" si="59"/>
        <v>38959.756870038262</v>
      </c>
      <c r="S228" s="127">
        <f t="shared" si="60"/>
        <v>40245.428846749521</v>
      </c>
      <c r="V228" s="1148"/>
      <c r="W228" s="105" t="s">
        <v>2056</v>
      </c>
      <c r="X228" s="105"/>
      <c r="Y228" s="127">
        <f>'3. PRECIOS Y COSTOS'!AM2254</f>
        <v>6945.8124489299289</v>
      </c>
      <c r="Z228" s="127">
        <f t="shared" si="61"/>
        <v>7175.0242597446158</v>
      </c>
      <c r="AA228" s="127">
        <f t="shared" si="62"/>
        <v>7397.4500117966982</v>
      </c>
      <c r="AB228" s="127">
        <f t="shared" si="63"/>
        <v>7626.7709621623953</v>
      </c>
      <c r="AC228" s="127">
        <f t="shared" si="64"/>
        <v>7878.4544039137536</v>
      </c>
      <c r="AF228" s="1148"/>
      <c r="AG228" s="105" t="s">
        <v>2065</v>
      </c>
      <c r="AH228" s="105"/>
      <c r="AI228" s="127">
        <f>'3. PRECIOS Y COSTOS'!AM2286</f>
        <v>14418.313440929929</v>
      </c>
      <c r="AJ228" s="127">
        <f t="shared" si="65"/>
        <v>14894.117784480615</v>
      </c>
      <c r="AK228" s="127">
        <f t="shared" si="66"/>
        <v>15355.835435799512</v>
      </c>
      <c r="AL228" s="127">
        <f t="shared" si="67"/>
        <v>15831.866334309296</v>
      </c>
      <c r="AM228" s="127">
        <f t="shared" si="68"/>
        <v>16354.317923341501</v>
      </c>
      <c r="AP228" s="1151"/>
      <c r="AQ228" s="105" t="s">
        <v>2065</v>
      </c>
      <c r="AR228" s="105"/>
      <c r="AS228" s="127">
        <f>'3. PRECIOS Y COSTOS'!AM2321</f>
        <v>14418.313440929929</v>
      </c>
      <c r="AT228" s="127">
        <f t="shared" si="69"/>
        <v>14894.117784480615</v>
      </c>
      <c r="AU228" s="127">
        <f t="shared" si="70"/>
        <v>15355.835435799512</v>
      </c>
      <c r="AV228" s="127">
        <f t="shared" si="71"/>
        <v>15831.866334309296</v>
      </c>
      <c r="AW228" s="127">
        <f t="shared" si="72"/>
        <v>16354.317923341501</v>
      </c>
      <c r="AZ228" s="1148"/>
      <c r="BA228" s="105" t="s">
        <v>2011</v>
      </c>
      <c r="BB228" s="579" t="s">
        <v>1824</v>
      </c>
      <c r="BC228" s="127">
        <f>'3. PRECIOS Y COSTOS'!AS2354</f>
        <v>35327.302488913207</v>
      </c>
      <c r="BD228" s="127">
        <f t="shared" si="73"/>
        <v>36493.10347104734</v>
      </c>
      <c r="BE228" s="127">
        <f t="shared" si="74"/>
        <v>37624.389678649801</v>
      </c>
      <c r="BF228" s="127">
        <f t="shared" si="75"/>
        <v>38790.745758687939</v>
      </c>
      <c r="BG228" s="127">
        <f t="shared" si="76"/>
        <v>40070.840368724639</v>
      </c>
      <c r="BJ228" s="1148"/>
      <c r="BK228" s="105" t="s">
        <v>2066</v>
      </c>
      <c r="BL228" s="105"/>
      <c r="BM228" s="127">
        <f>'3. PRECIOS Y COSTOS'!AS2388</f>
        <v>14264.392536913196</v>
      </c>
      <c r="BN228" s="127">
        <f t="shared" si="77"/>
        <v>14735.11749063133</v>
      </c>
      <c r="BO228" s="127">
        <f t="shared" si="78"/>
        <v>15191.906132840901</v>
      </c>
      <c r="BP228" s="127">
        <f t="shared" si="79"/>
        <v>15662.855222958968</v>
      </c>
      <c r="BQ228" s="127">
        <f t="shared" si="80"/>
        <v>16179.729445316612</v>
      </c>
    </row>
    <row r="229" spans="2:69" x14ac:dyDescent="0.25">
      <c r="B229" s="1148"/>
      <c r="C229" s="105" t="s">
        <v>2003</v>
      </c>
      <c r="D229" s="576" t="s">
        <v>1824</v>
      </c>
      <c r="E229" s="127">
        <f>'3. PRECIOS Y COSTOS'!AN2189</f>
        <v>6797.0316489299285</v>
      </c>
      <c r="F229" s="127">
        <f t="shared" si="53"/>
        <v>7021.3336933446153</v>
      </c>
      <c r="G229" s="127">
        <f t="shared" si="54"/>
        <v>7238.9950378382982</v>
      </c>
      <c r="H229" s="127">
        <f t="shared" si="55"/>
        <v>7463.4038840112853</v>
      </c>
      <c r="I229" s="127">
        <f t="shared" si="56"/>
        <v>7709.6962121836568</v>
      </c>
      <c r="L229" s="1148"/>
      <c r="M229" s="105" t="s">
        <v>2009</v>
      </c>
      <c r="N229" s="579" t="s">
        <v>1824</v>
      </c>
      <c r="O229" s="127">
        <f>'3. PRECIOS Y COSTOS'!AR2219</f>
        <v>35327.302488913207</v>
      </c>
      <c r="P229" s="127">
        <f t="shared" si="57"/>
        <v>36493.10347104734</v>
      </c>
      <c r="Q229" s="127">
        <f t="shared" si="58"/>
        <v>37624.389678649801</v>
      </c>
      <c r="R229" s="127">
        <f t="shared" si="59"/>
        <v>38790.745758687939</v>
      </c>
      <c r="S229" s="127">
        <f t="shared" si="60"/>
        <v>40070.840368724639</v>
      </c>
      <c r="V229" s="1148"/>
      <c r="W229" s="105" t="s">
        <v>2057</v>
      </c>
      <c r="X229" s="105"/>
      <c r="Y229" s="127">
        <f>'3. PRECIOS Y COSTOS'!AN2254</f>
        <v>6945.8124489299289</v>
      </c>
      <c r="Z229" s="127">
        <f t="shared" si="61"/>
        <v>7175.0242597446158</v>
      </c>
      <c r="AA229" s="127">
        <f t="shared" si="62"/>
        <v>7397.4500117966982</v>
      </c>
      <c r="AB229" s="127">
        <f t="shared" si="63"/>
        <v>7626.7709621623953</v>
      </c>
      <c r="AC229" s="127">
        <f t="shared" si="64"/>
        <v>7878.4544039137536</v>
      </c>
      <c r="AF229" s="1148"/>
      <c r="AG229" s="105" t="s">
        <v>2066</v>
      </c>
      <c r="AH229" s="105"/>
      <c r="AI229" s="127">
        <f>'3. PRECIOS Y COSTOS'!AS2286</f>
        <v>14264.392536913196</v>
      </c>
      <c r="AJ229" s="127">
        <f t="shared" si="65"/>
        <v>14735.11749063133</v>
      </c>
      <c r="AK229" s="127">
        <f t="shared" si="66"/>
        <v>15191.906132840901</v>
      </c>
      <c r="AL229" s="127">
        <f t="shared" si="67"/>
        <v>15662.855222958968</v>
      </c>
      <c r="AM229" s="127">
        <f t="shared" si="68"/>
        <v>16179.729445316612</v>
      </c>
      <c r="AP229" s="1151"/>
      <c r="AQ229" s="105" t="s">
        <v>2066</v>
      </c>
      <c r="AR229" s="105"/>
      <c r="AS229" s="127">
        <f>'3. PRECIOS Y COSTOS'!AS2321</f>
        <v>14264.392536913196</v>
      </c>
      <c r="AT229" s="127">
        <f t="shared" si="69"/>
        <v>14735.11749063133</v>
      </c>
      <c r="AU229" s="127">
        <f t="shared" si="70"/>
        <v>15191.906132840901</v>
      </c>
      <c r="AV229" s="127">
        <f t="shared" si="71"/>
        <v>15662.855222958968</v>
      </c>
      <c r="AW229" s="127">
        <f t="shared" si="72"/>
        <v>16179.729445316612</v>
      </c>
      <c r="AZ229" s="1148"/>
      <c r="BA229" s="105" t="s">
        <v>2012</v>
      </c>
      <c r="BB229" s="579" t="s">
        <v>1824</v>
      </c>
      <c r="BC229" s="127">
        <f>'3. PRECIOS Y COSTOS'!AK2354</f>
        <v>35327.302488913207</v>
      </c>
      <c r="BD229" s="127">
        <f t="shared" si="73"/>
        <v>36493.10347104734</v>
      </c>
      <c r="BE229" s="127">
        <f t="shared" si="74"/>
        <v>37624.389678649801</v>
      </c>
      <c r="BF229" s="127">
        <f t="shared" si="75"/>
        <v>38790.745758687939</v>
      </c>
      <c r="BG229" s="127">
        <f t="shared" si="76"/>
        <v>40070.840368724639</v>
      </c>
      <c r="BJ229" s="1148"/>
      <c r="BK229" s="105" t="s">
        <v>2008</v>
      </c>
      <c r="BL229" s="579" t="s">
        <v>1824</v>
      </c>
      <c r="BM229" s="127">
        <f>'3. PRECIOS Y COSTOS'!AM2389</f>
        <v>35481.223392929933</v>
      </c>
      <c r="BN229" s="127">
        <f t="shared" si="77"/>
        <v>36652.103764896616</v>
      </c>
      <c r="BO229" s="127">
        <f t="shared" si="78"/>
        <v>37788.318981608405</v>
      </c>
      <c r="BP229" s="127">
        <f t="shared" si="79"/>
        <v>38959.756870038262</v>
      </c>
      <c r="BQ229" s="127">
        <f>BP229*(1+$I$201)</f>
        <v>40245.428846749521</v>
      </c>
    </row>
    <row r="230" spans="2:69" x14ac:dyDescent="0.25">
      <c r="B230" s="1148"/>
      <c r="C230" s="105" t="s">
        <v>2004</v>
      </c>
      <c r="D230" s="576" t="s">
        <v>1824</v>
      </c>
      <c r="E230" s="127">
        <f>'3. PRECIOS Y COSTOS'!AM2190</f>
        <v>8808.5964489299295</v>
      </c>
      <c r="F230" s="127">
        <f t="shared" si="53"/>
        <v>9099.2801317446156</v>
      </c>
      <c r="G230" s="127">
        <f t="shared" si="54"/>
        <v>9381.3578158286982</v>
      </c>
      <c r="H230" s="127">
        <f t="shared" si="55"/>
        <v>9672.1799081193876</v>
      </c>
      <c r="I230" s="127">
        <f t="shared" si="56"/>
        <v>9991.3618450873273</v>
      </c>
      <c r="L230" s="1148"/>
      <c r="M230" s="105" t="s">
        <v>2010</v>
      </c>
      <c r="N230" s="579" t="s">
        <v>1824</v>
      </c>
      <c r="O230" s="127">
        <f>'3. PRECIOS Y COSTOS'!AT2219</f>
        <v>35327.302488913207</v>
      </c>
      <c r="P230" s="127">
        <f t="shared" si="57"/>
        <v>36493.10347104734</v>
      </c>
      <c r="Q230" s="127">
        <f t="shared" si="58"/>
        <v>37624.389678649801</v>
      </c>
      <c r="R230" s="127">
        <f t="shared" si="59"/>
        <v>38790.745758687939</v>
      </c>
      <c r="S230" s="127">
        <f t="shared" si="60"/>
        <v>40070.840368724639</v>
      </c>
      <c r="V230" s="1148"/>
      <c r="W230" s="105" t="s">
        <v>2008</v>
      </c>
      <c r="X230" s="579" t="s">
        <v>1824</v>
      </c>
      <c r="Y230" s="127">
        <f>'3. PRECIOS Y COSTOS'!AM2255</f>
        <v>35481.223392929933</v>
      </c>
      <c r="Z230" s="127">
        <f t="shared" si="61"/>
        <v>36652.103764896616</v>
      </c>
      <c r="AA230" s="127">
        <f t="shared" si="62"/>
        <v>37788.318981608405</v>
      </c>
      <c r="AB230" s="127">
        <f t="shared" si="63"/>
        <v>38959.756870038262</v>
      </c>
      <c r="AC230" s="127">
        <f t="shared" si="64"/>
        <v>40245.428846749521</v>
      </c>
      <c r="AF230" s="1148"/>
      <c r="AG230" s="105" t="s">
        <v>2008</v>
      </c>
      <c r="AH230" s="579" t="s">
        <v>1824</v>
      </c>
      <c r="AI230" s="127">
        <f>'3. PRECIOS Y COSTOS'!AM2287</f>
        <v>35481.223392929933</v>
      </c>
      <c r="AJ230" s="127">
        <f t="shared" si="65"/>
        <v>36652.103764896616</v>
      </c>
      <c r="AK230" s="127">
        <f t="shared" si="66"/>
        <v>37788.318981608405</v>
      </c>
      <c r="AL230" s="127">
        <f t="shared" si="67"/>
        <v>38959.756870038262</v>
      </c>
      <c r="AM230" s="127">
        <f t="shared" si="68"/>
        <v>40245.428846749521</v>
      </c>
      <c r="AP230" s="1151"/>
      <c r="AQ230" s="105" t="s">
        <v>2008</v>
      </c>
      <c r="AR230" s="579" t="s">
        <v>1824</v>
      </c>
      <c r="AS230" s="127">
        <f>'3. PRECIOS Y COSTOS'!AM2322</f>
        <v>35481.223392929933</v>
      </c>
      <c r="AT230" s="127">
        <f t="shared" si="69"/>
        <v>36652.103764896616</v>
      </c>
      <c r="AU230" s="127">
        <f t="shared" si="70"/>
        <v>37788.318981608405</v>
      </c>
      <c r="AV230" s="127">
        <f t="shared" si="71"/>
        <v>38959.756870038262</v>
      </c>
      <c r="AW230" s="127">
        <f t="shared" si="72"/>
        <v>40245.428846749521</v>
      </c>
      <c r="AZ230" s="1148"/>
      <c r="BA230" s="105" t="s">
        <v>2077</v>
      </c>
      <c r="BB230" s="105"/>
      <c r="BC230" s="127">
        <f>'3. PRECIOS Y COSTOS'!AK2355</f>
        <v>28859.661144913192</v>
      </c>
      <c r="BD230" s="127">
        <f t="shared" si="73"/>
        <v>29812.029962695324</v>
      </c>
      <c r="BE230" s="127">
        <f t="shared" si="74"/>
        <v>30736.202891538876</v>
      </c>
      <c r="BF230" s="127">
        <f t="shared" si="75"/>
        <v>31689.025181176577</v>
      </c>
      <c r="BG230" s="127">
        <f t="shared" si="76"/>
        <v>32734.763012155403</v>
      </c>
      <c r="BJ230" s="1148"/>
      <c r="BK230" s="105" t="s">
        <v>2009</v>
      </c>
      <c r="BL230" s="579" t="s">
        <v>1824</v>
      </c>
      <c r="BM230" s="127">
        <f>'3. PRECIOS Y COSTOS'!AR2389</f>
        <v>35327.302488913207</v>
      </c>
      <c r="BN230" s="127">
        <f t="shared" si="77"/>
        <v>36493.10347104734</v>
      </c>
      <c r="BO230" s="127">
        <f t="shared" si="78"/>
        <v>37624.389678649801</v>
      </c>
      <c r="BP230" s="127">
        <f t="shared" si="79"/>
        <v>38790.745758687939</v>
      </c>
      <c r="BQ230" s="127">
        <f t="shared" si="80"/>
        <v>40070.840368724639</v>
      </c>
    </row>
    <row r="231" spans="2:69" x14ac:dyDescent="0.25">
      <c r="B231" s="1148"/>
      <c r="C231" s="105" t="s">
        <v>2005</v>
      </c>
      <c r="D231" s="576" t="s">
        <v>1824</v>
      </c>
      <c r="E231" s="127">
        <f>'3. PRECIOS Y COSTOS'!AN2190</f>
        <v>8808.5964489299295</v>
      </c>
      <c r="F231" s="127">
        <f t="shared" si="53"/>
        <v>9099.2801317446156</v>
      </c>
      <c r="G231" s="127">
        <f t="shared" si="54"/>
        <v>9381.3578158286982</v>
      </c>
      <c r="H231" s="127">
        <f t="shared" si="55"/>
        <v>9672.1799081193876</v>
      </c>
      <c r="I231" s="127">
        <f t="shared" si="56"/>
        <v>9991.3618450873273</v>
      </c>
      <c r="L231" s="1148"/>
      <c r="M231" s="105" t="s">
        <v>2011</v>
      </c>
      <c r="N231" s="579" t="s">
        <v>1824</v>
      </c>
      <c r="O231" s="127">
        <f>'3. PRECIOS Y COSTOS'!AS2219</f>
        <v>35327.302488913207</v>
      </c>
      <c r="P231" s="127">
        <f t="shared" si="57"/>
        <v>36493.10347104734</v>
      </c>
      <c r="Q231" s="127">
        <f t="shared" si="58"/>
        <v>37624.389678649801</v>
      </c>
      <c r="R231" s="127">
        <f t="shared" si="59"/>
        <v>38790.745758687939</v>
      </c>
      <c r="S231" s="127">
        <f t="shared" si="60"/>
        <v>40070.840368724639</v>
      </c>
      <c r="V231" s="1148"/>
      <c r="W231" s="105" t="s">
        <v>2009</v>
      </c>
      <c r="X231" s="579" t="s">
        <v>1824</v>
      </c>
      <c r="Y231" s="127">
        <f>'3. PRECIOS Y COSTOS'!AR2255</f>
        <v>35327.302488913207</v>
      </c>
      <c r="Z231" s="127">
        <f t="shared" si="61"/>
        <v>36493.10347104734</v>
      </c>
      <c r="AA231" s="127">
        <f t="shared" si="62"/>
        <v>37624.389678649801</v>
      </c>
      <c r="AB231" s="127">
        <f t="shared" si="63"/>
        <v>38790.745758687939</v>
      </c>
      <c r="AC231" s="127">
        <f t="shared" si="64"/>
        <v>40070.840368724639</v>
      </c>
      <c r="AF231" s="1148"/>
      <c r="AG231" s="105" t="s">
        <v>2009</v>
      </c>
      <c r="AH231" s="579" t="s">
        <v>1824</v>
      </c>
      <c r="AI231" s="127">
        <f>'3. PRECIOS Y COSTOS'!AR2287</f>
        <v>35327.302488913207</v>
      </c>
      <c r="AJ231" s="127">
        <f t="shared" si="65"/>
        <v>36493.10347104734</v>
      </c>
      <c r="AK231" s="127">
        <f t="shared" si="66"/>
        <v>37624.389678649801</v>
      </c>
      <c r="AL231" s="127">
        <f t="shared" si="67"/>
        <v>38790.745758687939</v>
      </c>
      <c r="AM231" s="127">
        <f t="shared" si="68"/>
        <v>40070.840368724639</v>
      </c>
      <c r="AP231" s="1151"/>
      <c r="AQ231" s="105" t="s">
        <v>2009</v>
      </c>
      <c r="AR231" s="579" t="s">
        <v>1824</v>
      </c>
      <c r="AS231" s="127">
        <f>'3. PRECIOS Y COSTOS'!AR2322</f>
        <v>35327.302488913207</v>
      </c>
      <c r="AT231" s="127">
        <f t="shared" si="69"/>
        <v>36493.10347104734</v>
      </c>
      <c r="AU231" s="127">
        <f t="shared" si="70"/>
        <v>37624.389678649801</v>
      </c>
      <c r="AV231" s="127">
        <f t="shared" si="71"/>
        <v>38790.745758687939</v>
      </c>
      <c r="AW231" s="127">
        <f t="shared" si="72"/>
        <v>40070.840368724639</v>
      </c>
      <c r="AZ231" s="1148"/>
      <c r="BA231" s="105" t="s">
        <v>2078</v>
      </c>
      <c r="BB231" s="105"/>
      <c r="BC231" s="127">
        <f>'3. PRECIOS Y COSTOS'!AN2355</f>
        <v>29013.582048929926</v>
      </c>
      <c r="BD231" s="127">
        <f t="shared" si="73"/>
        <v>29971.030256544611</v>
      </c>
      <c r="BE231" s="127">
        <f t="shared" si="74"/>
        <v>30900.132194497492</v>
      </c>
      <c r="BF231" s="127">
        <f t="shared" si="75"/>
        <v>31858.036292526911</v>
      </c>
      <c r="BG231" s="127">
        <f t="shared" si="76"/>
        <v>32909.351490180299</v>
      </c>
      <c r="BJ231" s="1148"/>
      <c r="BK231" s="105" t="s">
        <v>2010</v>
      </c>
      <c r="BL231" s="579" t="s">
        <v>1824</v>
      </c>
      <c r="BM231" s="127">
        <f>'3. PRECIOS Y COSTOS'!AT2389</f>
        <v>35327.302488913207</v>
      </c>
      <c r="BN231" s="127">
        <f t="shared" si="77"/>
        <v>36493.10347104734</v>
      </c>
      <c r="BO231" s="127">
        <f t="shared" si="78"/>
        <v>37624.389678649801</v>
      </c>
      <c r="BP231" s="127">
        <f t="shared" si="79"/>
        <v>38790.745758687939</v>
      </c>
      <c r="BQ231" s="127">
        <f t="shared" si="80"/>
        <v>40070.840368724639</v>
      </c>
    </row>
    <row r="232" spans="2:69" x14ac:dyDescent="0.25">
      <c r="B232" s="1148"/>
      <c r="C232" s="105" t="s">
        <v>2006</v>
      </c>
      <c r="D232" s="576" t="s">
        <v>1824</v>
      </c>
      <c r="E232" s="127">
        <f>'3. PRECIOS Y COSTOS'!AM2191</f>
        <v>6945.8124489299289</v>
      </c>
      <c r="F232" s="127">
        <f t="shared" si="53"/>
        <v>7175.0242597446158</v>
      </c>
      <c r="G232" s="127">
        <f t="shared" si="54"/>
        <v>7397.4500117966982</v>
      </c>
      <c r="H232" s="127">
        <f t="shared" si="55"/>
        <v>7626.7709621623953</v>
      </c>
      <c r="I232" s="127">
        <f t="shared" si="56"/>
        <v>7878.4544039137536</v>
      </c>
      <c r="L232" s="1148"/>
      <c r="M232" s="105" t="s">
        <v>2012</v>
      </c>
      <c r="N232" s="579" t="s">
        <v>1824</v>
      </c>
      <c r="O232" s="127">
        <f>'3. PRECIOS Y COSTOS'!AK2219</f>
        <v>35327.302488913207</v>
      </c>
      <c r="P232" s="127">
        <f t="shared" si="57"/>
        <v>36493.10347104734</v>
      </c>
      <c r="Q232" s="127">
        <f t="shared" si="58"/>
        <v>37624.389678649801</v>
      </c>
      <c r="R232" s="127">
        <f t="shared" si="59"/>
        <v>38790.745758687939</v>
      </c>
      <c r="S232" s="127">
        <f t="shared" si="60"/>
        <v>40070.840368724639</v>
      </c>
      <c r="V232" s="1148"/>
      <c r="W232" s="105" t="s">
        <v>2010</v>
      </c>
      <c r="X232" s="579" t="s">
        <v>1824</v>
      </c>
      <c r="Y232" s="127">
        <f>'3. PRECIOS Y COSTOS'!AT2255</f>
        <v>35327.302488913207</v>
      </c>
      <c r="Z232" s="127">
        <f t="shared" si="61"/>
        <v>36493.10347104734</v>
      </c>
      <c r="AA232" s="127">
        <f t="shared" si="62"/>
        <v>37624.389678649801</v>
      </c>
      <c r="AB232" s="127">
        <f t="shared" si="63"/>
        <v>38790.745758687939</v>
      </c>
      <c r="AC232" s="127">
        <f t="shared" si="64"/>
        <v>40070.840368724639</v>
      </c>
      <c r="AF232" s="1148"/>
      <c r="AG232" s="105" t="s">
        <v>2010</v>
      </c>
      <c r="AH232" s="579" t="s">
        <v>1824</v>
      </c>
      <c r="AI232" s="127">
        <f>'3. PRECIOS Y COSTOS'!AT2287</f>
        <v>35327.302488913207</v>
      </c>
      <c r="AJ232" s="127">
        <f t="shared" si="65"/>
        <v>36493.10347104734</v>
      </c>
      <c r="AK232" s="127">
        <f t="shared" si="66"/>
        <v>37624.389678649801</v>
      </c>
      <c r="AL232" s="127">
        <f t="shared" si="67"/>
        <v>38790.745758687939</v>
      </c>
      <c r="AM232" s="127">
        <f t="shared" si="68"/>
        <v>40070.840368724639</v>
      </c>
      <c r="AP232" s="1151"/>
      <c r="AQ232" s="105" t="s">
        <v>2010</v>
      </c>
      <c r="AR232" s="579" t="s">
        <v>1824</v>
      </c>
      <c r="AS232" s="127">
        <f>'3. PRECIOS Y COSTOS'!AT2322</f>
        <v>35327.302488913207</v>
      </c>
      <c r="AT232" s="127">
        <f t="shared" si="69"/>
        <v>36493.10347104734</v>
      </c>
      <c r="AU232" s="127">
        <f t="shared" si="70"/>
        <v>37624.389678649801</v>
      </c>
      <c r="AV232" s="127">
        <f t="shared" si="71"/>
        <v>38790.745758687939</v>
      </c>
      <c r="AW232" s="127">
        <f t="shared" si="72"/>
        <v>40070.840368724639</v>
      </c>
      <c r="AZ232" s="1148"/>
      <c r="BA232" s="105" t="s">
        <v>2079</v>
      </c>
      <c r="BB232" s="105"/>
      <c r="BC232" s="127">
        <f>'3. PRECIOS Y COSTOS'!AT2355</f>
        <v>28859.661144913192</v>
      </c>
      <c r="BD232" s="127">
        <f t="shared" si="73"/>
        <v>29812.029962695324</v>
      </c>
      <c r="BE232" s="127">
        <f t="shared" si="74"/>
        <v>30736.202891538876</v>
      </c>
      <c r="BF232" s="127">
        <f t="shared" si="75"/>
        <v>31689.025181176577</v>
      </c>
      <c r="BG232" s="127">
        <f t="shared" si="76"/>
        <v>32734.763012155403</v>
      </c>
      <c r="BJ232" s="1148"/>
      <c r="BK232" s="105" t="s">
        <v>2011</v>
      </c>
      <c r="BL232" s="579" t="s">
        <v>1824</v>
      </c>
      <c r="BM232" s="127">
        <f>'3. PRECIOS Y COSTOS'!AS2389</f>
        <v>35327.302488913207</v>
      </c>
      <c r="BN232" s="127">
        <f t="shared" si="77"/>
        <v>36493.10347104734</v>
      </c>
      <c r="BO232" s="127">
        <f t="shared" si="78"/>
        <v>37624.389678649801</v>
      </c>
      <c r="BP232" s="127">
        <f t="shared" si="79"/>
        <v>38790.745758687939</v>
      </c>
      <c r="BQ232" s="127">
        <f t="shared" si="80"/>
        <v>40070.840368724639</v>
      </c>
    </row>
    <row r="233" spans="2:69" x14ac:dyDescent="0.25">
      <c r="B233" s="1148"/>
      <c r="C233" s="105" t="s">
        <v>2007</v>
      </c>
      <c r="D233" s="576" t="s">
        <v>1824</v>
      </c>
      <c r="E233" s="127">
        <f>'3. PRECIOS Y COSTOS'!AN2191</f>
        <v>6945.8124489299289</v>
      </c>
      <c r="F233" s="127">
        <f t="shared" si="53"/>
        <v>7175.0242597446158</v>
      </c>
      <c r="G233" s="127">
        <f t="shared" si="54"/>
        <v>7397.4500117966982</v>
      </c>
      <c r="H233" s="127">
        <f t="shared" si="55"/>
        <v>7626.7709621623953</v>
      </c>
      <c r="I233" s="127">
        <f t="shared" si="56"/>
        <v>7878.4544039137536</v>
      </c>
      <c r="L233" s="1148"/>
      <c r="M233" s="105" t="s">
        <v>1999</v>
      </c>
      <c r="N233" s="579" t="s">
        <v>1824</v>
      </c>
      <c r="O233" s="127">
        <f>'3. PRECIOS Y COSTOS'!AM2220</f>
        <v>5701.3491974502631</v>
      </c>
      <c r="P233" s="127">
        <f t="shared" si="57"/>
        <v>5889.4937209661211</v>
      </c>
      <c r="Q233" s="127">
        <f t="shared" si="58"/>
        <v>6072.0680263160702</v>
      </c>
      <c r="R233" s="127">
        <f t="shared" si="59"/>
        <v>6260.3021351318675</v>
      </c>
      <c r="S233" s="127">
        <f t="shared" si="60"/>
        <v>6466.8921055912188</v>
      </c>
      <c r="V233" s="1148"/>
      <c r="W233" s="105" t="s">
        <v>2011</v>
      </c>
      <c r="X233" s="579" t="s">
        <v>1824</v>
      </c>
      <c r="Y233" s="127">
        <f>'3. PRECIOS Y COSTOS'!AS2255</f>
        <v>35327.302488913207</v>
      </c>
      <c r="Z233" s="127">
        <f t="shared" si="61"/>
        <v>36493.10347104734</v>
      </c>
      <c r="AA233" s="127">
        <f t="shared" si="62"/>
        <v>37624.389678649801</v>
      </c>
      <c r="AB233" s="127">
        <f t="shared" si="63"/>
        <v>38790.745758687939</v>
      </c>
      <c r="AC233" s="127">
        <f t="shared" si="64"/>
        <v>40070.840368724639</v>
      </c>
      <c r="AF233" s="1148"/>
      <c r="AG233" s="105" t="s">
        <v>2011</v>
      </c>
      <c r="AH233" s="579" t="s">
        <v>1824</v>
      </c>
      <c r="AI233" s="127">
        <f>'3. PRECIOS Y COSTOS'!AS2287</f>
        <v>35327.302488913207</v>
      </c>
      <c r="AJ233" s="127">
        <f t="shared" si="65"/>
        <v>36493.10347104734</v>
      </c>
      <c r="AK233" s="127">
        <f t="shared" si="66"/>
        <v>37624.389678649801</v>
      </c>
      <c r="AL233" s="127">
        <f t="shared" si="67"/>
        <v>38790.745758687939</v>
      </c>
      <c r="AM233" s="127">
        <f t="shared" si="68"/>
        <v>40070.840368724639</v>
      </c>
      <c r="AP233" s="1151"/>
      <c r="AQ233" s="105" t="s">
        <v>2011</v>
      </c>
      <c r="AR233" s="579" t="s">
        <v>1824</v>
      </c>
      <c r="AS233" s="127">
        <f>'3. PRECIOS Y COSTOS'!AS2322</f>
        <v>35327.302488913207</v>
      </c>
      <c r="AT233" s="127">
        <f t="shared" si="69"/>
        <v>36493.10347104734</v>
      </c>
      <c r="AU233" s="127">
        <f t="shared" si="70"/>
        <v>37624.389678649801</v>
      </c>
      <c r="AV233" s="127">
        <f t="shared" si="71"/>
        <v>38790.745758687939</v>
      </c>
      <c r="AW233" s="127">
        <f t="shared" si="72"/>
        <v>40070.840368724639</v>
      </c>
      <c r="AZ233" s="1148"/>
      <c r="BA233" s="105" t="s">
        <v>1999</v>
      </c>
      <c r="BB233" s="579" t="s">
        <v>1824</v>
      </c>
      <c r="BC233" s="127">
        <f>'3. PRECIOS Y COSTOS'!AM2356</f>
        <v>5701.3491974502631</v>
      </c>
      <c r="BD233" s="127">
        <f t="shared" si="73"/>
        <v>5889.4937209661211</v>
      </c>
      <c r="BE233" s="127">
        <f t="shared" si="74"/>
        <v>6072.0680263160702</v>
      </c>
      <c r="BF233" s="127">
        <f t="shared" si="75"/>
        <v>6260.3021351318675</v>
      </c>
      <c r="BG233" s="127">
        <f t="shared" si="76"/>
        <v>6466.8921055912188</v>
      </c>
      <c r="BJ233" s="1148"/>
      <c r="BK233" s="105" t="s">
        <v>2012</v>
      </c>
      <c r="BL233" s="579" t="s">
        <v>1824</v>
      </c>
      <c r="BM233" s="127">
        <f>'3. PRECIOS Y COSTOS'!AK2389</f>
        <v>35327.302488913207</v>
      </c>
      <c r="BN233" s="127">
        <f t="shared" si="77"/>
        <v>36493.10347104734</v>
      </c>
      <c r="BO233" s="127">
        <f t="shared" si="78"/>
        <v>37624.389678649801</v>
      </c>
      <c r="BP233" s="127">
        <f t="shared" si="79"/>
        <v>38790.745758687939</v>
      </c>
      <c r="BQ233" s="127">
        <f t="shared" si="80"/>
        <v>40070.840368724639</v>
      </c>
    </row>
    <row r="234" spans="2:69" x14ac:dyDescent="0.25">
      <c r="B234" s="1148"/>
      <c r="C234" s="105" t="s">
        <v>2008</v>
      </c>
      <c r="D234" s="576" t="s">
        <v>1824</v>
      </c>
      <c r="E234" s="127">
        <f>'3. PRECIOS Y COSTOS'!AM2192</f>
        <v>35481.223392929933</v>
      </c>
      <c r="F234" s="127">
        <f t="shared" si="53"/>
        <v>36652.103764896616</v>
      </c>
      <c r="G234" s="127">
        <f t="shared" si="54"/>
        <v>37788.318981608405</v>
      </c>
      <c r="H234" s="127">
        <f t="shared" si="55"/>
        <v>38959.756870038262</v>
      </c>
      <c r="I234" s="127">
        <f t="shared" si="56"/>
        <v>40245.428846749521</v>
      </c>
      <c r="L234" s="1148"/>
      <c r="M234" s="105" t="s">
        <v>2000</v>
      </c>
      <c r="N234" s="579" t="s">
        <v>1824</v>
      </c>
      <c r="O234" s="127">
        <f>'3. PRECIOS Y COSTOS'!AO2220</f>
        <v>5701.3491974502631</v>
      </c>
      <c r="P234" s="127">
        <f t="shared" si="57"/>
        <v>5889.4937209661211</v>
      </c>
      <c r="Q234" s="127">
        <f t="shared" si="58"/>
        <v>6072.0680263160702</v>
      </c>
      <c r="R234" s="127">
        <f t="shared" si="59"/>
        <v>6260.3021351318675</v>
      </c>
      <c r="S234" s="127">
        <f t="shared" si="60"/>
        <v>6466.8921055912188</v>
      </c>
      <c r="V234" s="1148"/>
      <c r="W234" s="105" t="s">
        <v>2012</v>
      </c>
      <c r="X234" s="579" t="s">
        <v>1824</v>
      </c>
      <c r="Y234" s="127">
        <f>'3. PRECIOS Y COSTOS'!AK2255</f>
        <v>35327.302488913207</v>
      </c>
      <c r="Z234" s="127">
        <f t="shared" si="61"/>
        <v>36493.10347104734</v>
      </c>
      <c r="AA234" s="127">
        <f t="shared" si="62"/>
        <v>37624.389678649801</v>
      </c>
      <c r="AB234" s="127">
        <f t="shared" si="63"/>
        <v>38790.745758687939</v>
      </c>
      <c r="AC234" s="127">
        <f t="shared" si="64"/>
        <v>40070.840368724639</v>
      </c>
      <c r="AF234" s="1148"/>
      <c r="AG234" s="105" t="s">
        <v>2012</v>
      </c>
      <c r="AH234" s="579" t="s">
        <v>1824</v>
      </c>
      <c r="AI234" s="127">
        <f>'3. PRECIOS Y COSTOS'!AK2287</f>
        <v>35327.302488913207</v>
      </c>
      <c r="AJ234" s="127">
        <f t="shared" si="65"/>
        <v>36493.10347104734</v>
      </c>
      <c r="AK234" s="127">
        <f t="shared" si="66"/>
        <v>37624.389678649801</v>
      </c>
      <c r="AL234" s="127">
        <f t="shared" si="67"/>
        <v>38790.745758687939</v>
      </c>
      <c r="AM234" s="127">
        <f t="shared" si="68"/>
        <v>40070.840368724639</v>
      </c>
      <c r="AP234" s="1151"/>
      <c r="AQ234" s="105" t="s">
        <v>2012</v>
      </c>
      <c r="AR234" s="579" t="s">
        <v>1824</v>
      </c>
      <c r="AS234" s="127">
        <f>'3. PRECIOS Y COSTOS'!AK2322</f>
        <v>35327.302488913207</v>
      </c>
      <c r="AT234" s="127">
        <f t="shared" si="69"/>
        <v>36493.10347104734</v>
      </c>
      <c r="AU234" s="127">
        <f t="shared" si="70"/>
        <v>37624.389678649801</v>
      </c>
      <c r="AV234" s="127">
        <f t="shared" si="71"/>
        <v>38790.745758687939</v>
      </c>
      <c r="AW234" s="127">
        <f t="shared" si="72"/>
        <v>40070.840368724639</v>
      </c>
      <c r="AZ234" s="1148"/>
      <c r="BA234" s="105" t="s">
        <v>2000</v>
      </c>
      <c r="BB234" s="579" t="s">
        <v>1824</v>
      </c>
      <c r="BC234" s="127">
        <f>'3. PRECIOS Y COSTOS'!AO2356</f>
        <v>5701.3491974502631</v>
      </c>
      <c r="BD234" s="127">
        <f t="shared" si="73"/>
        <v>5889.4937209661211</v>
      </c>
      <c r="BE234" s="127">
        <f t="shared" si="74"/>
        <v>6072.0680263160702</v>
      </c>
      <c r="BF234" s="127">
        <f t="shared" si="75"/>
        <v>6260.3021351318675</v>
      </c>
      <c r="BG234" s="127">
        <f t="shared" si="76"/>
        <v>6466.8921055912188</v>
      </c>
      <c r="BJ234" s="1148"/>
      <c r="BK234" s="105" t="s">
        <v>2077</v>
      </c>
      <c r="BL234" s="105"/>
      <c r="BM234" s="127">
        <f>'3. PRECIOS Y COSTOS'!AK2390</f>
        <v>28859.661144913192</v>
      </c>
      <c r="BN234" s="127">
        <f t="shared" si="77"/>
        <v>29812.029962695324</v>
      </c>
      <c r="BO234" s="127">
        <f t="shared" si="78"/>
        <v>30736.202891538876</v>
      </c>
      <c r="BP234" s="127">
        <f t="shared" si="79"/>
        <v>31689.025181176577</v>
      </c>
      <c r="BQ234" s="127">
        <f t="shared" si="80"/>
        <v>32734.763012155403</v>
      </c>
    </row>
    <row r="235" spans="2:69" x14ac:dyDescent="0.25">
      <c r="B235" s="1148"/>
      <c r="C235" s="105" t="s">
        <v>2009</v>
      </c>
      <c r="D235" s="576" t="s">
        <v>1824</v>
      </c>
      <c r="E235" s="127">
        <f>'3. PRECIOS Y COSTOS'!AR2192</f>
        <v>35327.302488913207</v>
      </c>
      <c r="F235" s="127">
        <f t="shared" si="53"/>
        <v>36493.10347104734</v>
      </c>
      <c r="G235" s="127">
        <f t="shared" si="54"/>
        <v>37624.389678649801</v>
      </c>
      <c r="H235" s="127">
        <f t="shared" si="55"/>
        <v>38790.745758687939</v>
      </c>
      <c r="I235" s="127">
        <f t="shared" si="56"/>
        <v>40070.840368724639</v>
      </c>
      <c r="L235" s="1148"/>
      <c r="M235" s="105" t="s">
        <v>2013</v>
      </c>
      <c r="N235" s="579" t="s">
        <v>1824</v>
      </c>
      <c r="O235" s="127">
        <f>'3. PRECIOS Y COSTOS'!AS2221</f>
        <v>3992.0131449131968</v>
      </c>
      <c r="P235" s="127">
        <f t="shared" si="57"/>
        <v>4123.7495786953323</v>
      </c>
      <c r="Q235" s="127">
        <f t="shared" si="58"/>
        <v>4251.5858156348868</v>
      </c>
      <c r="R235" s="127">
        <f t="shared" si="59"/>
        <v>4383.3849759195682</v>
      </c>
      <c r="S235" s="127">
        <f t="shared" si="60"/>
        <v>4528.0366801249138</v>
      </c>
      <c r="V235" s="1148"/>
      <c r="W235" s="105" t="s">
        <v>1999</v>
      </c>
      <c r="X235" s="579" t="s">
        <v>1824</v>
      </c>
      <c r="Y235" s="127">
        <f>'3. PRECIOS Y COSTOS'!AM2256</f>
        <v>5701.3491974502631</v>
      </c>
      <c r="Z235" s="127">
        <f t="shared" si="61"/>
        <v>5889.4937209661211</v>
      </c>
      <c r="AA235" s="127">
        <f t="shared" si="62"/>
        <v>6072.0680263160702</v>
      </c>
      <c r="AB235" s="127">
        <f t="shared" si="63"/>
        <v>6260.3021351318675</v>
      </c>
      <c r="AC235" s="127">
        <f t="shared" si="64"/>
        <v>6466.8921055912188</v>
      </c>
      <c r="AF235" s="1148"/>
      <c r="AG235" s="105" t="s">
        <v>2004</v>
      </c>
      <c r="AH235" s="105"/>
      <c r="AI235" s="127">
        <f>'3. PRECIOS Y COSTOS'!AM2288</f>
        <v>8808.5964489299295</v>
      </c>
      <c r="AJ235" s="127">
        <f t="shared" si="65"/>
        <v>9099.2801317446156</v>
      </c>
      <c r="AK235" s="127">
        <f t="shared" si="66"/>
        <v>9381.3578158286982</v>
      </c>
      <c r="AL235" s="127">
        <f t="shared" si="67"/>
        <v>9672.1799081193876</v>
      </c>
      <c r="AM235" s="127">
        <f t="shared" si="68"/>
        <v>9991.3618450873273</v>
      </c>
      <c r="AP235" s="1151"/>
      <c r="AQ235" s="105" t="s">
        <v>1999</v>
      </c>
      <c r="AR235" s="579" t="s">
        <v>1824</v>
      </c>
      <c r="AS235" s="127">
        <f>'3. PRECIOS Y COSTOS'!AM2323</f>
        <v>5701.3491974502631</v>
      </c>
      <c r="AT235" s="127">
        <f t="shared" si="69"/>
        <v>5889.4937209661211</v>
      </c>
      <c r="AU235" s="127">
        <f t="shared" si="70"/>
        <v>6072.0680263160702</v>
      </c>
      <c r="AV235" s="127">
        <f t="shared" si="71"/>
        <v>6260.3021351318675</v>
      </c>
      <c r="AW235" s="127">
        <f t="shared" si="72"/>
        <v>6466.8921055912188</v>
      </c>
      <c r="AZ235" s="1148"/>
      <c r="BA235" s="105" t="s">
        <v>2056</v>
      </c>
      <c r="BB235" s="105"/>
      <c r="BC235" s="127">
        <f>'3. PRECIOS Y COSTOS'!AM2357</f>
        <v>6945.8124489299289</v>
      </c>
      <c r="BD235" s="127">
        <f t="shared" si="73"/>
        <v>7175.0242597446158</v>
      </c>
      <c r="BE235" s="127">
        <f t="shared" si="74"/>
        <v>7397.4500117966982</v>
      </c>
      <c r="BF235" s="127">
        <f t="shared" si="75"/>
        <v>7626.7709621623953</v>
      </c>
      <c r="BG235" s="127">
        <f t="shared" si="76"/>
        <v>7878.4544039137536</v>
      </c>
      <c r="BJ235" s="1148"/>
      <c r="BK235" s="105" t="s">
        <v>2078</v>
      </c>
      <c r="BL235" s="105"/>
      <c r="BM235" s="127">
        <f>'3. PRECIOS Y COSTOS'!AN2390</f>
        <v>29013.582048929926</v>
      </c>
      <c r="BN235" s="127">
        <f t="shared" si="77"/>
        <v>29971.030256544611</v>
      </c>
      <c r="BO235" s="127">
        <f t="shared" si="78"/>
        <v>30900.132194497492</v>
      </c>
      <c r="BP235" s="127">
        <f t="shared" si="79"/>
        <v>31858.036292526911</v>
      </c>
      <c r="BQ235" s="127">
        <f t="shared" si="80"/>
        <v>32909.351490180299</v>
      </c>
    </row>
    <row r="236" spans="2:69" x14ac:dyDescent="0.25">
      <c r="B236" s="1148"/>
      <c r="C236" s="105" t="s">
        <v>2010</v>
      </c>
      <c r="D236" s="576" t="s">
        <v>1824</v>
      </c>
      <c r="E236" s="127">
        <f>'3. PRECIOS Y COSTOS'!AT2192</f>
        <v>35327.302488913207</v>
      </c>
      <c r="F236" s="127">
        <f t="shared" si="53"/>
        <v>36493.10347104734</v>
      </c>
      <c r="G236" s="127">
        <f t="shared" si="54"/>
        <v>37624.389678649801</v>
      </c>
      <c r="H236" s="127">
        <f t="shared" si="55"/>
        <v>38790.745758687939</v>
      </c>
      <c r="I236" s="127">
        <f t="shared" si="56"/>
        <v>40070.840368724639</v>
      </c>
      <c r="L236" s="1148"/>
      <c r="M236" s="105" t="s">
        <v>2015</v>
      </c>
      <c r="N236" s="579" t="s">
        <v>1824</v>
      </c>
      <c r="O236" s="127">
        <f>'3. PRECIOS Y COSTOS'!AT2221</f>
        <v>3992.0131449131968</v>
      </c>
      <c r="P236" s="127">
        <f t="shared" si="57"/>
        <v>4123.7495786953323</v>
      </c>
      <c r="Q236" s="127">
        <f t="shared" si="58"/>
        <v>4251.5858156348868</v>
      </c>
      <c r="R236" s="127">
        <f t="shared" si="59"/>
        <v>4383.3849759195682</v>
      </c>
      <c r="S236" s="127">
        <f t="shared" si="60"/>
        <v>4528.0366801249138</v>
      </c>
      <c r="V236" s="1148"/>
      <c r="W236" s="105" t="s">
        <v>2000</v>
      </c>
      <c r="X236" s="579" t="s">
        <v>1824</v>
      </c>
      <c r="Y236" s="127">
        <f>'3. PRECIOS Y COSTOS'!AO2256</f>
        <v>5701.3491974502631</v>
      </c>
      <c r="Z236" s="127">
        <f t="shared" si="61"/>
        <v>5889.4937209661211</v>
      </c>
      <c r="AA236" s="127">
        <f t="shared" si="62"/>
        <v>6072.0680263160702</v>
      </c>
      <c r="AB236" s="127">
        <f t="shared" si="63"/>
        <v>6260.3021351318675</v>
      </c>
      <c r="AC236" s="127">
        <f t="shared" si="64"/>
        <v>6466.8921055912188</v>
      </c>
      <c r="AF236" s="1148"/>
      <c r="AG236" s="105" t="s">
        <v>2005</v>
      </c>
      <c r="AH236" s="105"/>
      <c r="AI236" s="127">
        <f>'3. PRECIOS Y COSTOS'!AN2288</f>
        <v>8808.5964489299295</v>
      </c>
      <c r="AJ236" s="127">
        <f t="shared" si="65"/>
        <v>9099.2801317446156</v>
      </c>
      <c r="AK236" s="127">
        <f t="shared" si="66"/>
        <v>9381.3578158286982</v>
      </c>
      <c r="AL236" s="127">
        <f t="shared" si="67"/>
        <v>9672.1799081193876</v>
      </c>
      <c r="AM236" s="127">
        <f t="shared" si="68"/>
        <v>9991.3618450873273</v>
      </c>
      <c r="AP236" s="1151"/>
      <c r="AQ236" s="105" t="s">
        <v>2000</v>
      </c>
      <c r="AR236" s="579" t="s">
        <v>1824</v>
      </c>
      <c r="AS236" s="127">
        <f>'3. PRECIOS Y COSTOS'!AO2323</f>
        <v>5701.3491974502631</v>
      </c>
      <c r="AT236" s="127">
        <f t="shared" si="69"/>
        <v>5889.4937209661211</v>
      </c>
      <c r="AU236" s="127">
        <f t="shared" si="70"/>
        <v>6072.0680263160702</v>
      </c>
      <c r="AV236" s="127">
        <f t="shared" si="71"/>
        <v>6260.3021351318675</v>
      </c>
      <c r="AW236" s="127">
        <f t="shared" si="72"/>
        <v>6466.8921055912188</v>
      </c>
      <c r="AZ236" s="1148"/>
      <c r="BA236" s="105" t="s">
        <v>2057</v>
      </c>
      <c r="BB236" s="105"/>
      <c r="BC236" s="127">
        <f>'3. PRECIOS Y COSTOS'!AN2357</f>
        <v>6945.8124489299289</v>
      </c>
      <c r="BD236" s="127">
        <f t="shared" si="73"/>
        <v>7175.0242597446158</v>
      </c>
      <c r="BE236" s="127">
        <f t="shared" si="74"/>
        <v>7397.4500117966982</v>
      </c>
      <c r="BF236" s="127">
        <f t="shared" si="75"/>
        <v>7626.7709621623953</v>
      </c>
      <c r="BG236" s="127">
        <f t="shared" si="76"/>
        <v>7878.4544039137536</v>
      </c>
      <c r="BJ236" s="1148"/>
      <c r="BK236" s="105" t="s">
        <v>2079</v>
      </c>
      <c r="BL236" s="105"/>
      <c r="BM236" s="127">
        <f>'3. PRECIOS Y COSTOS'!AT2390</f>
        <v>28859.661144913192</v>
      </c>
      <c r="BN236" s="127">
        <f t="shared" si="77"/>
        <v>29812.029962695324</v>
      </c>
      <c r="BO236" s="127">
        <f t="shared" si="78"/>
        <v>30736.202891538876</v>
      </c>
      <c r="BP236" s="127">
        <f t="shared" si="79"/>
        <v>31689.025181176577</v>
      </c>
      <c r="BQ236" s="127">
        <f t="shared" si="80"/>
        <v>32734.763012155403</v>
      </c>
    </row>
    <row r="237" spans="2:69" x14ac:dyDescent="0.25">
      <c r="B237" s="1148"/>
      <c r="C237" s="105" t="s">
        <v>2011</v>
      </c>
      <c r="D237" s="576" t="s">
        <v>1824</v>
      </c>
      <c r="E237" s="127">
        <f>'3. PRECIOS Y COSTOS'!AS2192</f>
        <v>35327.302488913207</v>
      </c>
      <c r="F237" s="127">
        <f t="shared" si="53"/>
        <v>36493.10347104734</v>
      </c>
      <c r="G237" s="127">
        <f t="shared" si="54"/>
        <v>37624.389678649801</v>
      </c>
      <c r="H237" s="127">
        <f t="shared" si="55"/>
        <v>38790.745758687939</v>
      </c>
      <c r="I237" s="127">
        <f t="shared" si="56"/>
        <v>40070.840368724639</v>
      </c>
      <c r="L237" s="1148"/>
      <c r="M237" s="105" t="s">
        <v>2014</v>
      </c>
      <c r="N237" s="579" t="s">
        <v>1824</v>
      </c>
      <c r="O237" s="127">
        <f>'3. PRECIOS Y COSTOS'!AM2222</f>
        <v>8115.3651974502618</v>
      </c>
      <c r="P237" s="127">
        <f t="shared" si="57"/>
        <v>8383.1722489661206</v>
      </c>
      <c r="Q237" s="127">
        <f t="shared" si="58"/>
        <v>8643.0505886840692</v>
      </c>
      <c r="R237" s="127">
        <f t="shared" si="59"/>
        <v>8910.985156933275</v>
      </c>
      <c r="S237" s="127">
        <f t="shared" si="60"/>
        <v>9205.0476671120723</v>
      </c>
      <c r="V237" s="1148"/>
      <c r="W237" s="105" t="s">
        <v>2013</v>
      </c>
      <c r="X237" s="579" t="s">
        <v>1824</v>
      </c>
      <c r="Y237" s="127">
        <f>'3. PRECIOS Y COSTOS'!AS2257</f>
        <v>3992.0131449131968</v>
      </c>
      <c r="Z237" s="127">
        <f t="shared" si="61"/>
        <v>4123.7495786953323</v>
      </c>
      <c r="AA237" s="127">
        <f t="shared" si="62"/>
        <v>4251.5858156348868</v>
      </c>
      <c r="AB237" s="127">
        <f t="shared" si="63"/>
        <v>4383.3849759195682</v>
      </c>
      <c r="AC237" s="127">
        <f t="shared" si="64"/>
        <v>4528.0366801249138</v>
      </c>
      <c r="AF237" s="1148"/>
      <c r="AG237" s="105" t="s">
        <v>2006</v>
      </c>
      <c r="AH237" s="105"/>
      <c r="AI237" s="127">
        <f>'3. PRECIOS Y COSTOS'!AM2289</f>
        <v>6945.8124489299289</v>
      </c>
      <c r="AJ237" s="127">
        <f t="shared" si="65"/>
        <v>7175.0242597446158</v>
      </c>
      <c r="AK237" s="127">
        <f t="shared" si="66"/>
        <v>7397.4500117966982</v>
      </c>
      <c r="AL237" s="127">
        <f t="shared" si="67"/>
        <v>7626.7709621623953</v>
      </c>
      <c r="AM237" s="127">
        <f t="shared" si="68"/>
        <v>7878.4544039137536</v>
      </c>
      <c r="AP237" s="1151"/>
      <c r="AQ237" s="105" t="s">
        <v>2013</v>
      </c>
      <c r="AR237" s="579" t="s">
        <v>1824</v>
      </c>
      <c r="AS237" s="127">
        <f>'3. PRECIOS Y COSTOS'!AS2324</f>
        <v>3992.0131449131968</v>
      </c>
      <c r="AT237" s="127">
        <f t="shared" si="69"/>
        <v>4123.7495786953323</v>
      </c>
      <c r="AU237" s="127">
        <f t="shared" si="70"/>
        <v>4251.5858156348868</v>
      </c>
      <c r="AV237" s="127">
        <f t="shared" si="71"/>
        <v>4383.3849759195682</v>
      </c>
      <c r="AW237" s="127">
        <f t="shared" si="72"/>
        <v>4528.0366801249138</v>
      </c>
      <c r="AZ237" s="1148"/>
      <c r="BA237" s="105" t="s">
        <v>2004</v>
      </c>
      <c r="BB237" s="105"/>
      <c r="BC237" s="127">
        <f>'3. PRECIOS Y COSTOS'!AM2358</f>
        <v>8808.5964489299295</v>
      </c>
      <c r="BD237" s="127">
        <f t="shared" si="73"/>
        <v>9099.2801317446156</v>
      </c>
      <c r="BE237" s="127">
        <f t="shared" si="74"/>
        <v>9381.3578158286982</v>
      </c>
      <c r="BF237" s="127">
        <f t="shared" si="75"/>
        <v>9672.1799081193876</v>
      </c>
      <c r="BG237" s="127">
        <f t="shared" si="76"/>
        <v>9991.3618450873273</v>
      </c>
      <c r="BJ237" s="1148"/>
      <c r="BK237" s="105" t="s">
        <v>2082</v>
      </c>
      <c r="BL237" s="105"/>
      <c r="BM237" s="127">
        <f>'3. PRECIOS Y COSTOS'!AK2391</f>
        <v>6643.1107449131969</v>
      </c>
      <c r="BN237" s="127">
        <f t="shared" si="77"/>
        <v>6862.3333994953318</v>
      </c>
      <c r="BO237" s="127">
        <f t="shared" si="78"/>
        <v>7075.0657348796867</v>
      </c>
      <c r="BP237" s="127">
        <f t="shared" si="79"/>
        <v>7294.3927726609563</v>
      </c>
      <c r="BQ237" s="127">
        <f t="shared" si="80"/>
        <v>7535.107734158767</v>
      </c>
    </row>
    <row r="238" spans="2:69" x14ac:dyDescent="0.25">
      <c r="B238" s="1148"/>
      <c r="C238" s="105" t="s">
        <v>2012</v>
      </c>
      <c r="D238" s="576" t="s">
        <v>1824</v>
      </c>
      <c r="E238" s="127">
        <f>'3. PRECIOS Y COSTOS'!AK2192</f>
        <v>35327.302488913207</v>
      </c>
      <c r="F238" s="127">
        <f t="shared" si="53"/>
        <v>36493.10347104734</v>
      </c>
      <c r="G238" s="127">
        <f t="shared" si="54"/>
        <v>37624.389678649801</v>
      </c>
      <c r="H238" s="127">
        <f t="shared" si="55"/>
        <v>38790.745758687939</v>
      </c>
      <c r="I238" s="127">
        <f t="shared" si="56"/>
        <v>40070.840368724639</v>
      </c>
      <c r="L238" s="1148"/>
      <c r="M238" s="105" t="s">
        <v>2016</v>
      </c>
      <c r="N238" s="579" t="s">
        <v>1824</v>
      </c>
      <c r="O238" s="127">
        <f>'3. PRECIOS Y COSTOS'!AO2222</f>
        <v>8115.3651974502618</v>
      </c>
      <c r="P238" s="127">
        <f t="shared" si="57"/>
        <v>8383.1722489661206</v>
      </c>
      <c r="Q238" s="127">
        <f t="shared" si="58"/>
        <v>8643.0505886840692</v>
      </c>
      <c r="R238" s="127">
        <f t="shared" si="59"/>
        <v>8910.985156933275</v>
      </c>
      <c r="S238" s="127">
        <f t="shared" si="60"/>
        <v>9205.0476671120723</v>
      </c>
      <c r="V238" s="1148"/>
      <c r="W238" s="105" t="s">
        <v>2015</v>
      </c>
      <c r="X238" s="579" t="s">
        <v>1824</v>
      </c>
      <c r="Y238" s="127">
        <f>'3. PRECIOS Y COSTOS'!AT2257</f>
        <v>3992.0131449131968</v>
      </c>
      <c r="Z238" s="127">
        <f t="shared" si="61"/>
        <v>4123.7495786953323</v>
      </c>
      <c r="AA238" s="127">
        <f t="shared" si="62"/>
        <v>4251.5858156348868</v>
      </c>
      <c r="AB238" s="127">
        <f t="shared" si="63"/>
        <v>4383.3849759195682</v>
      </c>
      <c r="AC238" s="127">
        <f t="shared" si="64"/>
        <v>4528.0366801249138</v>
      </c>
      <c r="AF238" s="1148"/>
      <c r="AG238" s="105" t="s">
        <v>2007</v>
      </c>
      <c r="AH238" s="105"/>
      <c r="AI238" s="127">
        <f>'3. PRECIOS Y COSTOS'!AN2289</f>
        <v>6945.8124489299289</v>
      </c>
      <c r="AJ238" s="127">
        <f t="shared" si="65"/>
        <v>7175.0242597446158</v>
      </c>
      <c r="AK238" s="127">
        <f t="shared" si="66"/>
        <v>7397.4500117966982</v>
      </c>
      <c r="AL238" s="127">
        <f t="shared" si="67"/>
        <v>7626.7709621623953</v>
      </c>
      <c r="AM238" s="127">
        <f t="shared" si="68"/>
        <v>7878.4544039137536</v>
      </c>
      <c r="AP238" s="1151"/>
      <c r="AQ238" s="105" t="s">
        <v>2015</v>
      </c>
      <c r="AR238" s="579" t="s">
        <v>1824</v>
      </c>
      <c r="AS238" s="127">
        <f>'3. PRECIOS Y COSTOS'!AT2324</f>
        <v>3992.0131449131968</v>
      </c>
      <c r="AT238" s="127">
        <f t="shared" si="69"/>
        <v>4123.7495786953323</v>
      </c>
      <c r="AU238" s="127">
        <f t="shared" si="70"/>
        <v>4251.5858156348868</v>
      </c>
      <c r="AV238" s="127">
        <f t="shared" si="71"/>
        <v>4383.3849759195682</v>
      </c>
      <c r="AW238" s="127">
        <f t="shared" si="72"/>
        <v>4528.0366801249138</v>
      </c>
      <c r="AZ238" s="1148"/>
      <c r="BA238" s="105" t="s">
        <v>2005</v>
      </c>
      <c r="BB238" s="105"/>
      <c r="BC238" s="127">
        <f>'3. PRECIOS Y COSTOS'!AN2358</f>
        <v>8808.5964489299295</v>
      </c>
      <c r="BD238" s="127">
        <f t="shared" si="73"/>
        <v>9099.2801317446156</v>
      </c>
      <c r="BE238" s="127">
        <f t="shared" si="74"/>
        <v>9381.3578158286982</v>
      </c>
      <c r="BF238" s="127">
        <f t="shared" si="75"/>
        <v>9672.1799081193876</v>
      </c>
      <c r="BG238" s="127">
        <f t="shared" si="76"/>
        <v>9991.3618450873273</v>
      </c>
      <c r="BJ238" s="1148"/>
      <c r="BK238" s="105" t="s">
        <v>2083</v>
      </c>
      <c r="BL238" s="105"/>
      <c r="BM238" s="127">
        <f>'3. PRECIOS Y COSTOS'!AN2391</f>
        <v>6797.0316489299285</v>
      </c>
      <c r="BN238" s="127">
        <f t="shared" si="77"/>
        <v>7021.3336933446153</v>
      </c>
      <c r="BO238" s="127">
        <f t="shared" si="78"/>
        <v>7238.9950378382982</v>
      </c>
      <c r="BP238" s="127">
        <f t="shared" si="79"/>
        <v>7463.4038840112853</v>
      </c>
      <c r="BQ238" s="127">
        <f t="shared" si="80"/>
        <v>7709.6962121836568</v>
      </c>
    </row>
    <row r="239" spans="2:69" x14ac:dyDescent="0.25">
      <c r="B239" s="1148"/>
      <c r="C239" s="105" t="s">
        <v>2013</v>
      </c>
      <c r="D239" s="576" t="s">
        <v>1824</v>
      </c>
      <c r="E239" s="127">
        <f>'3. PRECIOS Y COSTOS'!AS2193</f>
        <v>3992.0131449131968</v>
      </c>
      <c r="F239" s="127">
        <f t="shared" si="53"/>
        <v>4123.7495786953323</v>
      </c>
      <c r="G239" s="127">
        <f t="shared" si="54"/>
        <v>4251.5858156348868</v>
      </c>
      <c r="H239" s="127">
        <f t="shared" si="55"/>
        <v>4383.3849759195682</v>
      </c>
      <c r="I239" s="127">
        <f t="shared" si="56"/>
        <v>4528.0366801249138</v>
      </c>
      <c r="L239" s="1148"/>
      <c r="M239" s="105" t="s">
        <v>2019</v>
      </c>
      <c r="N239" s="579" t="s">
        <v>1824</v>
      </c>
      <c r="O239" s="127">
        <f>'3. PRECIOS Y COSTOS'!AL2223</f>
        <v>4242.3564489299279</v>
      </c>
      <c r="P239" s="127">
        <f t="shared" si="57"/>
        <v>4382.354211744615</v>
      </c>
      <c r="Q239" s="127">
        <f t="shared" si="58"/>
        <v>4518.2071923086978</v>
      </c>
      <c r="R239" s="127">
        <f t="shared" si="59"/>
        <v>4658.2716152702669</v>
      </c>
      <c r="S239" s="127">
        <f t="shared" si="60"/>
        <v>4811.9945785741857</v>
      </c>
      <c r="V239" s="1148"/>
      <c r="W239" s="105" t="s">
        <v>2014</v>
      </c>
      <c r="X239" s="579" t="s">
        <v>1824</v>
      </c>
      <c r="Y239" s="127">
        <f>'3. PRECIOS Y COSTOS'!AM2258</f>
        <v>8115.3651974502618</v>
      </c>
      <c r="Z239" s="127">
        <f t="shared" si="61"/>
        <v>8383.1722489661206</v>
      </c>
      <c r="AA239" s="127">
        <f t="shared" si="62"/>
        <v>8643.0505886840692</v>
      </c>
      <c r="AB239" s="127">
        <f t="shared" si="63"/>
        <v>8910.985156933275</v>
      </c>
      <c r="AC239" s="127">
        <f t="shared" si="64"/>
        <v>9205.0476671120723</v>
      </c>
      <c r="AF239" s="1148"/>
      <c r="AG239" s="105" t="s">
        <v>1999</v>
      </c>
      <c r="AH239" s="579" t="s">
        <v>1824</v>
      </c>
      <c r="AI239" s="127">
        <f>'3. PRECIOS Y COSTOS'!AM2290</f>
        <v>5701.3491974502631</v>
      </c>
      <c r="AJ239" s="127">
        <f t="shared" si="65"/>
        <v>5889.4937209661211</v>
      </c>
      <c r="AK239" s="127">
        <f t="shared" si="66"/>
        <v>6072.0680263160702</v>
      </c>
      <c r="AL239" s="127">
        <f t="shared" si="67"/>
        <v>6260.3021351318675</v>
      </c>
      <c r="AM239" s="127">
        <f t="shared" si="68"/>
        <v>6466.8921055912188</v>
      </c>
      <c r="AP239" s="1151"/>
      <c r="AQ239" s="105" t="s">
        <v>2014</v>
      </c>
      <c r="AR239" s="579" t="s">
        <v>1824</v>
      </c>
      <c r="AS239" s="127">
        <f>'3. PRECIOS Y COSTOS'!AM2325</f>
        <v>8115.3651974502618</v>
      </c>
      <c r="AT239" s="127">
        <f t="shared" si="69"/>
        <v>8383.1722489661206</v>
      </c>
      <c r="AU239" s="127">
        <f t="shared" si="70"/>
        <v>8643.0505886840692</v>
      </c>
      <c r="AV239" s="127">
        <f t="shared" si="71"/>
        <v>8910.985156933275</v>
      </c>
      <c r="AW239" s="127">
        <f t="shared" si="72"/>
        <v>9205.0476671120723</v>
      </c>
      <c r="AZ239" s="1148"/>
      <c r="BA239" s="105" t="s">
        <v>2013</v>
      </c>
      <c r="BB239" s="579" t="s">
        <v>1824</v>
      </c>
      <c r="BC239" s="127">
        <f>'3. PRECIOS Y COSTOS'!AS2359</f>
        <v>3992.0131449131968</v>
      </c>
      <c r="BD239" s="127">
        <f t="shared" si="73"/>
        <v>4123.7495786953323</v>
      </c>
      <c r="BE239" s="127">
        <f t="shared" si="74"/>
        <v>4251.5858156348868</v>
      </c>
      <c r="BF239" s="127">
        <f t="shared" si="75"/>
        <v>4383.3849759195682</v>
      </c>
      <c r="BG239" s="127">
        <f t="shared" si="76"/>
        <v>4528.0366801249138</v>
      </c>
      <c r="BJ239" s="1148"/>
      <c r="BK239" s="105" t="s">
        <v>2002</v>
      </c>
      <c r="BL239" s="105"/>
      <c r="BM239" s="127">
        <f>'3. PRECIOS Y COSTOS'!AT2391</f>
        <v>6643.1107449131969</v>
      </c>
      <c r="BN239" s="127">
        <f t="shared" si="77"/>
        <v>6862.3333994953318</v>
      </c>
      <c r="BO239" s="127">
        <f t="shared" si="78"/>
        <v>7075.0657348796867</v>
      </c>
      <c r="BP239" s="127">
        <f t="shared" si="79"/>
        <v>7294.3927726609563</v>
      </c>
      <c r="BQ239" s="127">
        <f t="shared" si="80"/>
        <v>7535.107734158767</v>
      </c>
    </row>
    <row r="240" spans="2:69" x14ac:dyDescent="0.25">
      <c r="B240" s="1148"/>
      <c r="C240" s="105" t="s">
        <v>2015</v>
      </c>
      <c r="D240" s="576" t="s">
        <v>1824</v>
      </c>
      <c r="E240" s="127">
        <f>'3. PRECIOS Y COSTOS'!AT2193</f>
        <v>3992.0131449131968</v>
      </c>
      <c r="F240" s="127">
        <f t="shared" si="53"/>
        <v>4123.7495786953323</v>
      </c>
      <c r="G240" s="127">
        <f t="shared" si="54"/>
        <v>4251.5858156348868</v>
      </c>
      <c r="H240" s="127">
        <f t="shared" si="55"/>
        <v>4383.3849759195682</v>
      </c>
      <c r="I240" s="127">
        <f t="shared" si="56"/>
        <v>4528.0366801249138</v>
      </c>
      <c r="L240" s="1148"/>
      <c r="M240" s="105" t="s">
        <v>2020</v>
      </c>
      <c r="N240" s="579" t="s">
        <v>1824</v>
      </c>
      <c r="O240" s="127">
        <f>'3. PRECIOS Y COSTOS'!AS2223</f>
        <v>4088.4355449131967</v>
      </c>
      <c r="P240" s="127">
        <f t="shared" si="57"/>
        <v>4223.3539178953315</v>
      </c>
      <c r="Q240" s="127">
        <f t="shared" si="58"/>
        <v>4354.2778893500863</v>
      </c>
      <c r="R240" s="127">
        <f t="shared" si="59"/>
        <v>4489.2605039199389</v>
      </c>
      <c r="S240" s="127">
        <f t="shared" si="60"/>
        <v>4637.4061005492968</v>
      </c>
      <c r="V240" s="1148"/>
      <c r="W240" s="105" t="s">
        <v>2016</v>
      </c>
      <c r="X240" s="579" t="s">
        <v>1824</v>
      </c>
      <c r="Y240" s="127">
        <f>'3. PRECIOS Y COSTOS'!AO2258</f>
        <v>8115.3651974502618</v>
      </c>
      <c r="Z240" s="127">
        <f t="shared" si="61"/>
        <v>8383.1722489661206</v>
      </c>
      <c r="AA240" s="127">
        <f t="shared" si="62"/>
        <v>8643.0505886840692</v>
      </c>
      <c r="AB240" s="127">
        <f t="shared" si="63"/>
        <v>8910.985156933275</v>
      </c>
      <c r="AC240" s="127">
        <f t="shared" si="64"/>
        <v>9205.0476671120723</v>
      </c>
      <c r="AF240" s="1148"/>
      <c r="AG240" s="105" t="s">
        <v>2000</v>
      </c>
      <c r="AH240" s="579" t="s">
        <v>1824</v>
      </c>
      <c r="AI240" s="127">
        <f>'3. PRECIOS Y COSTOS'!AO2290</f>
        <v>5701.3491974502631</v>
      </c>
      <c r="AJ240" s="127">
        <f t="shared" si="65"/>
        <v>5889.4937209661211</v>
      </c>
      <c r="AK240" s="127">
        <f t="shared" si="66"/>
        <v>6072.0680263160702</v>
      </c>
      <c r="AL240" s="127">
        <f t="shared" si="67"/>
        <v>6260.3021351318675</v>
      </c>
      <c r="AM240" s="127">
        <f t="shared" si="68"/>
        <v>6466.8921055912188</v>
      </c>
      <c r="AP240" s="1151"/>
      <c r="AQ240" s="105" t="s">
        <v>2016</v>
      </c>
      <c r="AR240" s="579" t="s">
        <v>1824</v>
      </c>
      <c r="AS240" s="127">
        <f>'3. PRECIOS Y COSTOS'!AO2325</f>
        <v>8115.3651974502618</v>
      </c>
      <c r="AT240" s="127">
        <f t="shared" si="69"/>
        <v>8383.1722489661206</v>
      </c>
      <c r="AU240" s="127">
        <f t="shared" si="70"/>
        <v>8643.0505886840692</v>
      </c>
      <c r="AV240" s="127">
        <f t="shared" si="71"/>
        <v>8910.985156933275</v>
      </c>
      <c r="AW240" s="127">
        <f t="shared" si="72"/>
        <v>9205.0476671120723</v>
      </c>
      <c r="AZ240" s="1148"/>
      <c r="BA240" s="105" t="s">
        <v>2015</v>
      </c>
      <c r="BB240" s="579" t="s">
        <v>1824</v>
      </c>
      <c r="BC240" s="127">
        <f>'3. PRECIOS Y COSTOS'!AT2359</f>
        <v>3992.0131449131968</v>
      </c>
      <c r="BD240" s="127">
        <f t="shared" si="73"/>
        <v>4123.7495786953323</v>
      </c>
      <c r="BE240" s="127">
        <f t="shared" si="74"/>
        <v>4251.5858156348868</v>
      </c>
      <c r="BF240" s="127">
        <f t="shared" si="75"/>
        <v>4383.3849759195682</v>
      </c>
      <c r="BG240" s="127">
        <f t="shared" si="76"/>
        <v>4528.0366801249138</v>
      </c>
      <c r="BJ240" s="1148"/>
      <c r="BK240" s="105" t="s">
        <v>2013</v>
      </c>
      <c r="BL240" s="579" t="s">
        <v>1824</v>
      </c>
      <c r="BM240" s="127">
        <f>'3. PRECIOS Y COSTOS'!AS2392</f>
        <v>3992.0131449131968</v>
      </c>
      <c r="BN240" s="127">
        <f t="shared" si="77"/>
        <v>4123.7495786953323</v>
      </c>
      <c r="BO240" s="127">
        <f t="shared" si="78"/>
        <v>4251.5858156348868</v>
      </c>
      <c r="BP240" s="127">
        <f t="shared" si="79"/>
        <v>4383.3849759195682</v>
      </c>
      <c r="BQ240" s="127">
        <f t="shared" si="80"/>
        <v>4528.0366801249138</v>
      </c>
    </row>
    <row r="241" spans="2:69" x14ac:dyDescent="0.25">
      <c r="B241" s="1148"/>
      <c r="C241" s="105" t="s">
        <v>2014</v>
      </c>
      <c r="D241" s="576" t="s">
        <v>1824</v>
      </c>
      <c r="E241" s="127">
        <f>'3. PRECIOS Y COSTOS'!AM2194</f>
        <v>8115.3651974502618</v>
      </c>
      <c r="F241" s="127">
        <f t="shared" si="53"/>
        <v>8383.1722489661206</v>
      </c>
      <c r="G241" s="127">
        <f t="shared" si="54"/>
        <v>8643.0505886840692</v>
      </c>
      <c r="H241" s="127">
        <f t="shared" si="55"/>
        <v>8910.985156933275</v>
      </c>
      <c r="I241" s="127">
        <f t="shared" si="56"/>
        <v>9205.0476671120723</v>
      </c>
      <c r="L241" s="1148"/>
      <c r="M241" s="105" t="s">
        <v>2025</v>
      </c>
      <c r="N241" s="579" t="s">
        <v>1824</v>
      </c>
      <c r="O241" s="127">
        <f>'3. PRECIOS Y COSTOS'!AS2224</f>
        <v>3322.0675449131973</v>
      </c>
      <c r="P241" s="127">
        <f t="shared" si="57"/>
        <v>3431.6957738953324</v>
      </c>
      <c r="Q241" s="127">
        <f t="shared" si="58"/>
        <v>3538.0783428860873</v>
      </c>
      <c r="R241" s="127">
        <f t="shared" si="59"/>
        <v>3647.7587715155555</v>
      </c>
      <c r="S241" s="127">
        <f t="shared" si="60"/>
        <v>3768.1348109755686</v>
      </c>
      <c r="V241" s="1148"/>
      <c r="W241" s="105" t="s">
        <v>2058</v>
      </c>
      <c r="X241" s="105"/>
      <c r="Y241" s="127">
        <f>'3. PRECIOS Y COSTOS'!AS2259</f>
        <v>3545.6707449131973</v>
      </c>
      <c r="Z241" s="127">
        <f t="shared" si="61"/>
        <v>3662.6778794953325</v>
      </c>
      <c r="AA241" s="127">
        <f t="shared" si="62"/>
        <v>3776.2208937596874</v>
      </c>
      <c r="AB241" s="127">
        <f t="shared" si="63"/>
        <v>3893.2837414662376</v>
      </c>
      <c r="AC241" s="127">
        <f t="shared" si="64"/>
        <v>4021.762104934623</v>
      </c>
      <c r="AF241" s="1148"/>
      <c r="AG241" s="105" t="s">
        <v>2013</v>
      </c>
      <c r="AH241" s="579" t="s">
        <v>1824</v>
      </c>
      <c r="AI241" s="127">
        <f>'3. PRECIOS Y COSTOS'!AS2291</f>
        <v>3992.0131449131968</v>
      </c>
      <c r="AJ241" s="127">
        <f t="shared" si="65"/>
        <v>4123.7495786953323</v>
      </c>
      <c r="AK241" s="127">
        <f t="shared" si="66"/>
        <v>4251.5858156348868</v>
      </c>
      <c r="AL241" s="127">
        <f t="shared" si="67"/>
        <v>4383.3849759195682</v>
      </c>
      <c r="AM241" s="127">
        <f t="shared" si="68"/>
        <v>4528.0366801249138</v>
      </c>
      <c r="AP241" s="1151"/>
      <c r="AQ241" s="105" t="s">
        <v>2058</v>
      </c>
      <c r="AR241" s="105"/>
      <c r="AS241" s="127">
        <f>'3. PRECIOS Y COSTOS'!AS2326</f>
        <v>3545.6707449131973</v>
      </c>
      <c r="AT241" s="127">
        <f t="shared" si="69"/>
        <v>3662.6778794953325</v>
      </c>
      <c r="AU241" s="127">
        <f t="shared" si="70"/>
        <v>3776.2208937596874</v>
      </c>
      <c r="AV241" s="127">
        <f t="shared" si="71"/>
        <v>3893.2837414662376</v>
      </c>
      <c r="AW241" s="127">
        <f t="shared" si="72"/>
        <v>4021.762104934623</v>
      </c>
      <c r="AZ241" s="1148"/>
      <c r="BA241" s="105" t="s">
        <v>2014</v>
      </c>
      <c r="BB241" s="579" t="s">
        <v>1824</v>
      </c>
      <c r="BC241" s="127">
        <f>'3. PRECIOS Y COSTOS'!AM2360</f>
        <v>8115.3651974502618</v>
      </c>
      <c r="BD241" s="127">
        <f t="shared" si="73"/>
        <v>8383.1722489661206</v>
      </c>
      <c r="BE241" s="127">
        <f t="shared" si="74"/>
        <v>8643.0505886840692</v>
      </c>
      <c r="BF241" s="127">
        <f t="shared" si="75"/>
        <v>8910.985156933275</v>
      </c>
      <c r="BG241" s="127">
        <f t="shared" si="76"/>
        <v>9205.0476671120723</v>
      </c>
      <c r="BJ241" s="1148"/>
      <c r="BK241" s="105" t="s">
        <v>2015</v>
      </c>
      <c r="BL241" s="579" t="s">
        <v>1824</v>
      </c>
      <c r="BM241" s="127">
        <f>'3. PRECIOS Y COSTOS'!AT2392</f>
        <v>3992.0131449131968</v>
      </c>
      <c r="BN241" s="127">
        <f t="shared" si="77"/>
        <v>4123.7495786953323</v>
      </c>
      <c r="BO241" s="127">
        <f t="shared" si="78"/>
        <v>4251.5858156348868</v>
      </c>
      <c r="BP241" s="127">
        <f t="shared" si="79"/>
        <v>4383.3849759195682</v>
      </c>
      <c r="BQ241" s="127">
        <f t="shared" si="80"/>
        <v>4528.0366801249138</v>
      </c>
    </row>
    <row r="242" spans="2:69" x14ac:dyDescent="0.25">
      <c r="B242" s="1148"/>
      <c r="C242" s="105" t="s">
        <v>2016</v>
      </c>
      <c r="D242" s="576" t="s">
        <v>1824</v>
      </c>
      <c r="E242" s="127">
        <f>'3. PRECIOS Y COSTOS'!AO2194</f>
        <v>8115.3651974502618</v>
      </c>
      <c r="F242" s="127">
        <f t="shared" si="53"/>
        <v>8383.1722489661206</v>
      </c>
      <c r="G242" s="127">
        <f t="shared" si="54"/>
        <v>8643.0505886840692</v>
      </c>
      <c r="H242" s="127">
        <f t="shared" si="55"/>
        <v>8910.985156933275</v>
      </c>
      <c r="I242" s="127">
        <f t="shared" si="56"/>
        <v>9205.0476671120723</v>
      </c>
      <c r="L242" s="1148"/>
      <c r="M242" s="105" t="s">
        <v>2026</v>
      </c>
      <c r="N242" s="579" t="s">
        <v>1824</v>
      </c>
      <c r="O242" s="127">
        <f>'3. PRECIOS Y COSTOS'!AT2224</f>
        <v>3322.0675449131973</v>
      </c>
      <c r="P242" s="127">
        <f t="shared" si="57"/>
        <v>3431.6957738953324</v>
      </c>
      <c r="Q242" s="127">
        <f t="shared" si="58"/>
        <v>3538.0783428860873</v>
      </c>
      <c r="R242" s="127">
        <f t="shared" si="59"/>
        <v>3647.7587715155555</v>
      </c>
      <c r="S242" s="127">
        <f t="shared" si="60"/>
        <v>3768.1348109755686</v>
      </c>
      <c r="V242" s="1148"/>
      <c r="W242" s="105" t="s">
        <v>2059</v>
      </c>
      <c r="X242" s="105"/>
      <c r="Y242" s="127">
        <f>'3. PRECIOS Y COSTOS'!AT2259</f>
        <v>3545.6707449131973</v>
      </c>
      <c r="Z242" s="127">
        <f t="shared" si="61"/>
        <v>3662.6778794953325</v>
      </c>
      <c r="AA242" s="127">
        <f t="shared" si="62"/>
        <v>3776.2208937596874</v>
      </c>
      <c r="AB242" s="127">
        <f t="shared" si="63"/>
        <v>3893.2837414662376</v>
      </c>
      <c r="AC242" s="127">
        <f t="shared" si="64"/>
        <v>4021.762104934623</v>
      </c>
      <c r="AF242" s="1148"/>
      <c r="AG242" s="105" t="s">
        <v>2015</v>
      </c>
      <c r="AH242" s="579" t="s">
        <v>1824</v>
      </c>
      <c r="AI242" s="127">
        <f>'3. PRECIOS Y COSTOS'!AT2291</f>
        <v>3992.0131449131968</v>
      </c>
      <c r="AJ242" s="127">
        <f t="shared" si="65"/>
        <v>4123.7495786953323</v>
      </c>
      <c r="AK242" s="127">
        <f t="shared" si="66"/>
        <v>4251.5858156348868</v>
      </c>
      <c r="AL242" s="127">
        <f t="shared" si="67"/>
        <v>4383.3849759195682</v>
      </c>
      <c r="AM242" s="127">
        <f t="shared" si="68"/>
        <v>4528.0366801249138</v>
      </c>
      <c r="AP242" s="1151"/>
      <c r="AQ242" s="105" t="s">
        <v>2059</v>
      </c>
      <c r="AR242" s="105"/>
      <c r="AS242" s="127">
        <f>'3. PRECIOS Y COSTOS'!AT2326</f>
        <v>3545.6707449131973</v>
      </c>
      <c r="AT242" s="127">
        <f t="shared" si="69"/>
        <v>3662.6778794953325</v>
      </c>
      <c r="AU242" s="127">
        <f t="shared" si="70"/>
        <v>3776.2208937596874</v>
      </c>
      <c r="AV242" s="127">
        <f t="shared" si="71"/>
        <v>3893.2837414662376</v>
      </c>
      <c r="AW242" s="127">
        <f t="shared" si="72"/>
        <v>4021.762104934623</v>
      </c>
      <c r="AZ242" s="1148"/>
      <c r="BA242" s="105" t="s">
        <v>2016</v>
      </c>
      <c r="BB242" s="579" t="s">
        <v>1824</v>
      </c>
      <c r="BC242" s="127">
        <f>'3. PRECIOS Y COSTOS'!AO2360</f>
        <v>8115.3651974502618</v>
      </c>
      <c r="BD242" s="127">
        <f t="shared" si="73"/>
        <v>8383.1722489661206</v>
      </c>
      <c r="BE242" s="127">
        <f t="shared" si="74"/>
        <v>8643.0505886840692</v>
      </c>
      <c r="BF242" s="127">
        <f t="shared" si="75"/>
        <v>8910.985156933275</v>
      </c>
      <c r="BG242" s="127">
        <f t="shared" si="76"/>
        <v>9205.0476671120723</v>
      </c>
      <c r="BJ242" s="1148"/>
      <c r="BK242" s="105" t="s">
        <v>2014</v>
      </c>
      <c r="BL242" s="579" t="s">
        <v>1824</v>
      </c>
      <c r="BM242" s="127">
        <f>'3. PRECIOS Y COSTOS'!AM2393</f>
        <v>8115.3651974502618</v>
      </c>
      <c r="BN242" s="127">
        <f t="shared" si="77"/>
        <v>8383.1722489661206</v>
      </c>
      <c r="BO242" s="127">
        <f t="shared" si="78"/>
        <v>8643.0505886840692</v>
      </c>
      <c r="BP242" s="127">
        <f t="shared" si="79"/>
        <v>8910.985156933275</v>
      </c>
      <c r="BQ242" s="127">
        <f t="shared" si="80"/>
        <v>9205.0476671120723</v>
      </c>
    </row>
    <row r="243" spans="2:69" x14ac:dyDescent="0.25">
      <c r="B243" s="1148"/>
      <c r="C243" s="105" t="s">
        <v>2017</v>
      </c>
      <c r="D243" s="576" t="s">
        <v>1824</v>
      </c>
      <c r="E243" s="127">
        <f>'3. PRECIOS Y COSTOS'!AS2195</f>
        <v>3545.6707449131973</v>
      </c>
      <c r="F243" s="127">
        <f t="shared" si="53"/>
        <v>3662.6778794953325</v>
      </c>
      <c r="G243" s="127">
        <f t="shared" si="54"/>
        <v>3776.2208937596874</v>
      </c>
      <c r="H243" s="127">
        <f t="shared" si="55"/>
        <v>3893.2837414662376</v>
      </c>
      <c r="I243" s="127">
        <f t="shared" si="56"/>
        <v>4021.762104934623</v>
      </c>
      <c r="L243" s="1148"/>
      <c r="M243" s="105" t="s">
        <v>2031</v>
      </c>
      <c r="N243" s="579" t="s">
        <v>1824</v>
      </c>
      <c r="O243" s="127">
        <f>'3. PRECIOS Y COSTOS'!AS2225</f>
        <v>3258.3907449131971</v>
      </c>
      <c r="P243" s="127">
        <f t="shared" si="57"/>
        <v>3365.9176394953324</v>
      </c>
      <c r="Q243" s="127">
        <f t="shared" si="58"/>
        <v>3470.2610863196874</v>
      </c>
      <c r="R243" s="127">
        <f t="shared" si="59"/>
        <v>3577.8391799955975</v>
      </c>
      <c r="S243" s="127">
        <f t="shared" si="60"/>
        <v>3695.9078729354519</v>
      </c>
      <c r="V243" s="1148"/>
      <c r="W243" s="105" t="s">
        <v>2028</v>
      </c>
      <c r="X243" s="105"/>
      <c r="Y243" s="127">
        <f>'3. PRECIOS Y COSTOS'!AS2260</f>
        <v>3152.5507449131969</v>
      </c>
      <c r="Z243" s="127">
        <f t="shared" si="61"/>
        <v>3256.5849194953321</v>
      </c>
      <c r="AA243" s="127">
        <f t="shared" si="62"/>
        <v>3357.5390519996872</v>
      </c>
      <c r="AB243" s="127">
        <f t="shared" si="63"/>
        <v>3461.6227626116774</v>
      </c>
      <c r="AC243" s="127">
        <f t="shared" si="64"/>
        <v>3575.8563137778624</v>
      </c>
      <c r="AF243" s="1148"/>
      <c r="AG243" s="105" t="s">
        <v>2014</v>
      </c>
      <c r="AH243" s="579" t="s">
        <v>1824</v>
      </c>
      <c r="AI243" s="127">
        <f>'3. PRECIOS Y COSTOS'!AM2292</f>
        <v>8115.3651974502618</v>
      </c>
      <c r="AJ243" s="127">
        <f t="shared" si="65"/>
        <v>8383.1722489661206</v>
      </c>
      <c r="AK243" s="127">
        <f t="shared" si="66"/>
        <v>8643.0505886840692</v>
      </c>
      <c r="AL243" s="127">
        <f t="shared" si="67"/>
        <v>8910.985156933275</v>
      </c>
      <c r="AM243" s="127">
        <f t="shared" si="68"/>
        <v>9205.0476671120723</v>
      </c>
      <c r="AP243" s="1151"/>
      <c r="AQ243" s="29" t="s">
        <v>2062</v>
      </c>
      <c r="AS243" s="286">
        <f>'3. PRECIOS Y COSTOS'!AS2327</f>
        <v>3295.5427449131967</v>
      </c>
      <c r="AT243" s="127">
        <f t="shared" si="69"/>
        <v>3404.2956554953321</v>
      </c>
      <c r="AU243" s="127">
        <f t="shared" si="70"/>
        <v>3509.8288208156873</v>
      </c>
      <c r="AV243" s="127">
        <f t="shared" si="71"/>
        <v>3618.6335142609732</v>
      </c>
      <c r="AW243" s="127">
        <f t="shared" si="72"/>
        <v>3738.0484202315852</v>
      </c>
      <c r="AZ243" s="1148"/>
      <c r="BA243" s="105" t="s">
        <v>2058</v>
      </c>
      <c r="BB243" s="105"/>
      <c r="BC243" s="127">
        <f>'3. PRECIOS Y COSTOS'!AS2361</f>
        <v>3545.6707449131973</v>
      </c>
      <c r="BD243" s="127">
        <f t="shared" si="73"/>
        <v>3662.6778794953325</v>
      </c>
      <c r="BE243" s="127">
        <f t="shared" si="74"/>
        <v>3776.2208937596874</v>
      </c>
      <c r="BF243" s="127">
        <f t="shared" si="75"/>
        <v>3893.2837414662376</v>
      </c>
      <c r="BG243" s="127">
        <f t="shared" si="76"/>
        <v>4021.762104934623</v>
      </c>
      <c r="BJ243" s="1148"/>
      <c r="BK243" s="105" t="s">
        <v>2016</v>
      </c>
      <c r="BL243" s="579" t="s">
        <v>1824</v>
      </c>
      <c r="BM243" s="127">
        <f>'3. PRECIOS Y COSTOS'!AO2393</f>
        <v>8115.3651974502618</v>
      </c>
      <c r="BN243" s="127">
        <f t="shared" si="77"/>
        <v>8383.1722489661206</v>
      </c>
      <c r="BO243" s="127">
        <f t="shared" si="78"/>
        <v>8643.0505886840692</v>
      </c>
      <c r="BP243" s="127">
        <f t="shared" si="79"/>
        <v>8910.985156933275</v>
      </c>
      <c r="BQ243" s="127">
        <f t="shared" si="80"/>
        <v>9205.0476671120723</v>
      </c>
    </row>
    <row r="244" spans="2:69" x14ac:dyDescent="0.25">
      <c r="B244" s="1148"/>
      <c r="C244" s="105" t="s">
        <v>2018</v>
      </c>
      <c r="D244" s="576" t="s">
        <v>1824</v>
      </c>
      <c r="E244" s="127">
        <f>'3. PRECIOS Y COSTOS'!AT2195</f>
        <v>3545.6707449131973</v>
      </c>
      <c r="F244" s="127">
        <f t="shared" si="53"/>
        <v>3662.6778794953325</v>
      </c>
      <c r="G244" s="127">
        <f t="shared" si="54"/>
        <v>3776.2208937596874</v>
      </c>
      <c r="H244" s="127">
        <f t="shared" si="55"/>
        <v>3893.2837414662376</v>
      </c>
      <c r="I244" s="127">
        <f t="shared" si="56"/>
        <v>4021.762104934623</v>
      </c>
      <c r="L244" s="1148"/>
      <c r="M244" s="105" t="s">
        <v>2032</v>
      </c>
      <c r="N244" s="579" t="s">
        <v>1824</v>
      </c>
      <c r="O244" s="127">
        <f>'3. PRECIOS Y COSTOS'!AT2225</f>
        <v>3258.3907449131971</v>
      </c>
      <c r="P244" s="127">
        <f t="shared" si="57"/>
        <v>3365.9176394953324</v>
      </c>
      <c r="Q244" s="127">
        <f t="shared" si="58"/>
        <v>3470.2610863196874</v>
      </c>
      <c r="R244" s="127">
        <f t="shared" si="59"/>
        <v>3577.8391799955975</v>
      </c>
      <c r="S244" s="127">
        <f t="shared" si="60"/>
        <v>3695.9078729354519</v>
      </c>
      <c r="V244" s="1148"/>
      <c r="W244" s="105" t="s">
        <v>2021</v>
      </c>
      <c r="X244" s="105"/>
      <c r="Y244" s="127">
        <f>'3. PRECIOS Y COSTOS'!AL2262</f>
        <v>3914.7276489299284</v>
      </c>
      <c r="Z244" s="127">
        <f t="shared" si="61"/>
        <v>4043.9136613446158</v>
      </c>
      <c r="AA244" s="127">
        <f t="shared" si="62"/>
        <v>4169.2749848462981</v>
      </c>
      <c r="AB244" s="127">
        <f t="shared" si="63"/>
        <v>4298.522509376533</v>
      </c>
      <c r="AC244" s="127">
        <f t="shared" si="64"/>
        <v>4440.3737521859584</v>
      </c>
      <c r="AF244" s="1148"/>
      <c r="AG244" s="105" t="s">
        <v>2016</v>
      </c>
      <c r="AH244" s="579" t="s">
        <v>1824</v>
      </c>
      <c r="AI244" s="127">
        <f>'3. PRECIOS Y COSTOS'!AO2292</f>
        <v>8115.3651974502618</v>
      </c>
      <c r="AJ244" s="127">
        <f t="shared" si="65"/>
        <v>8383.1722489661206</v>
      </c>
      <c r="AK244" s="127">
        <f t="shared" si="66"/>
        <v>8643.0505886840692</v>
      </c>
      <c r="AL244" s="127">
        <f t="shared" si="67"/>
        <v>8910.985156933275</v>
      </c>
      <c r="AM244" s="127">
        <f t="shared" si="68"/>
        <v>9205.0476671120723</v>
      </c>
      <c r="AP244" s="1151"/>
      <c r="AQ244" s="29" t="s">
        <v>2073</v>
      </c>
      <c r="AS244" s="286">
        <f>'3. PRECIOS Y COSTOS'!AT2327</f>
        <v>3295.5427449131967</v>
      </c>
      <c r="AT244" s="127">
        <f t="shared" si="69"/>
        <v>3404.2956554953321</v>
      </c>
      <c r="AU244" s="127">
        <f t="shared" si="70"/>
        <v>3509.8288208156873</v>
      </c>
      <c r="AV244" s="127">
        <f t="shared" si="71"/>
        <v>3618.6335142609732</v>
      </c>
      <c r="AW244" s="127">
        <f t="shared" si="72"/>
        <v>3738.0484202315852</v>
      </c>
      <c r="AZ244" s="1148"/>
      <c r="BA244" s="105" t="s">
        <v>2059</v>
      </c>
      <c r="BB244" s="105"/>
      <c r="BC244" s="127">
        <f>'3. PRECIOS Y COSTOS'!AT2361</f>
        <v>3545.6707449131973</v>
      </c>
      <c r="BD244" s="127">
        <f t="shared" si="73"/>
        <v>3662.6778794953325</v>
      </c>
      <c r="BE244" s="127">
        <f t="shared" si="74"/>
        <v>3776.2208937596874</v>
      </c>
      <c r="BF244" s="127">
        <f t="shared" si="75"/>
        <v>3893.2837414662376</v>
      </c>
      <c r="BG244" s="127">
        <f t="shared" si="76"/>
        <v>4021.762104934623</v>
      </c>
      <c r="BJ244" s="1148"/>
      <c r="BK244" s="105" t="s">
        <v>2058</v>
      </c>
      <c r="BL244" s="105"/>
      <c r="BM244" s="127">
        <f>'3. PRECIOS Y COSTOS'!AS2394</f>
        <v>3545.6707449131973</v>
      </c>
      <c r="BN244" s="127">
        <f t="shared" si="77"/>
        <v>3662.6778794953325</v>
      </c>
      <c r="BO244" s="127">
        <f t="shared" si="78"/>
        <v>3776.2208937596874</v>
      </c>
      <c r="BP244" s="127">
        <f t="shared" si="79"/>
        <v>3893.2837414662376</v>
      </c>
      <c r="BQ244" s="127">
        <f t="shared" si="80"/>
        <v>4021.762104934623</v>
      </c>
    </row>
    <row r="245" spans="2:69" x14ac:dyDescent="0.25">
      <c r="B245" s="1148"/>
      <c r="C245" s="105" t="s">
        <v>2019</v>
      </c>
      <c r="D245" s="576" t="s">
        <v>1824</v>
      </c>
      <c r="E245" s="127">
        <f>'3. PRECIOS Y COSTOS'!AL2196</f>
        <v>4242.3564489299279</v>
      </c>
      <c r="F245" s="127">
        <f t="shared" si="53"/>
        <v>4382.354211744615</v>
      </c>
      <c r="G245" s="127">
        <f t="shared" si="54"/>
        <v>4518.2071923086978</v>
      </c>
      <c r="H245" s="127">
        <f t="shared" si="55"/>
        <v>4658.2716152702669</v>
      </c>
      <c r="I245" s="127">
        <f t="shared" si="56"/>
        <v>4811.9945785741857</v>
      </c>
      <c r="L245" s="1148"/>
      <c r="M245" s="105" t="s">
        <v>2023</v>
      </c>
      <c r="N245" s="579" t="s">
        <v>1824</v>
      </c>
      <c r="O245" s="127">
        <f>'3. PRECIOS Y COSTOS'!AS2226</f>
        <v>3705.4416249131968</v>
      </c>
      <c r="P245" s="127">
        <f t="shared" si="57"/>
        <v>3827.721198535332</v>
      </c>
      <c r="Q245" s="127">
        <f t="shared" si="58"/>
        <v>3946.380555689927</v>
      </c>
      <c r="R245" s="127">
        <f t="shared" si="59"/>
        <v>4068.7183529163144</v>
      </c>
      <c r="S245" s="127">
        <f t="shared" si="60"/>
        <v>4202.9860585625529</v>
      </c>
      <c r="V245" s="1148"/>
      <c r="W245" s="105" t="s">
        <v>2022</v>
      </c>
      <c r="X245" s="105"/>
      <c r="Y245" s="127">
        <f>'3. PRECIOS Y COSTOS'!AS2262</f>
        <v>3760.8067449131968</v>
      </c>
      <c r="Z245" s="127">
        <f t="shared" si="61"/>
        <v>3884.9133674953318</v>
      </c>
      <c r="AA245" s="127">
        <f t="shared" si="62"/>
        <v>4005.3456818876866</v>
      </c>
      <c r="AB245" s="127">
        <f t="shared" si="63"/>
        <v>4129.5113980262049</v>
      </c>
      <c r="AC245" s="127">
        <f t="shared" si="64"/>
        <v>4265.7852741610695</v>
      </c>
      <c r="AF245" s="1148"/>
      <c r="AG245" s="105" t="s">
        <v>2058</v>
      </c>
      <c r="AH245" s="105"/>
      <c r="AI245" s="127">
        <f>'3. PRECIOS Y COSTOS'!AS2293</f>
        <v>3545.6707449131973</v>
      </c>
      <c r="AJ245" s="127">
        <f t="shared" si="65"/>
        <v>3662.6778794953325</v>
      </c>
      <c r="AK245" s="127">
        <f t="shared" si="66"/>
        <v>3776.2208937596874</v>
      </c>
      <c r="AL245" s="127">
        <f t="shared" si="67"/>
        <v>3893.2837414662376</v>
      </c>
      <c r="AM245" s="127">
        <f t="shared" si="68"/>
        <v>4021.762104934623</v>
      </c>
      <c r="AP245" s="1151"/>
      <c r="AQ245" s="105" t="s">
        <v>2060</v>
      </c>
      <c r="AR245" s="105"/>
      <c r="AS245" s="127">
        <f>'3. PRECIOS Y COSTOS'!AS2328</f>
        <v>3395.3347449131966</v>
      </c>
      <c r="AT245" s="127">
        <f t="shared" si="69"/>
        <v>3507.3807914953318</v>
      </c>
      <c r="AU245" s="127">
        <f t="shared" si="70"/>
        <v>3616.1095960316866</v>
      </c>
      <c r="AV245" s="127">
        <f t="shared" si="71"/>
        <v>3728.2089935086688</v>
      </c>
      <c r="AW245" s="127">
        <f t="shared" si="72"/>
        <v>3851.2398902944547</v>
      </c>
      <c r="AZ245" s="1148"/>
      <c r="BA245" s="105" t="s">
        <v>2060</v>
      </c>
      <c r="BB245" s="105"/>
      <c r="BC245" s="127">
        <f>'3. PRECIOS Y COSTOS'!AS2362</f>
        <v>3395.3347449131966</v>
      </c>
      <c r="BD245" s="127">
        <f t="shared" si="73"/>
        <v>3507.3807914953318</v>
      </c>
      <c r="BE245" s="127">
        <f t="shared" si="74"/>
        <v>3616.1095960316866</v>
      </c>
      <c r="BF245" s="127">
        <f t="shared" si="75"/>
        <v>3728.2089935086688</v>
      </c>
      <c r="BG245" s="127">
        <f t="shared" si="76"/>
        <v>3851.2398902944547</v>
      </c>
      <c r="BJ245" s="1148"/>
      <c r="BK245" s="105" t="s">
        <v>2059</v>
      </c>
      <c r="BL245" s="105"/>
      <c r="BM245" s="127">
        <f>'3. PRECIOS Y COSTOS'!AT2394</f>
        <v>3545.6707449131973</v>
      </c>
      <c r="BN245" s="127">
        <f t="shared" si="77"/>
        <v>3662.6778794953325</v>
      </c>
      <c r="BO245" s="127">
        <f t="shared" si="78"/>
        <v>3776.2208937596874</v>
      </c>
      <c r="BP245" s="127">
        <f t="shared" si="79"/>
        <v>3893.2837414662376</v>
      </c>
      <c r="BQ245" s="127">
        <f t="shared" si="80"/>
        <v>4021.762104934623</v>
      </c>
    </row>
    <row r="246" spans="2:69" x14ac:dyDescent="0.25">
      <c r="B246" s="1148"/>
      <c r="C246" s="105" t="s">
        <v>2020</v>
      </c>
      <c r="D246" s="576" t="s">
        <v>1824</v>
      </c>
      <c r="E246" s="127">
        <f>'3. PRECIOS Y COSTOS'!AS2196</f>
        <v>4088.4355449131967</v>
      </c>
      <c r="F246" s="127">
        <f t="shared" si="53"/>
        <v>4223.3539178953315</v>
      </c>
      <c r="G246" s="127">
        <f t="shared" si="54"/>
        <v>4354.2778893500863</v>
      </c>
      <c r="H246" s="127">
        <f t="shared" si="55"/>
        <v>4489.2605039199389</v>
      </c>
      <c r="I246" s="127">
        <f t="shared" si="56"/>
        <v>4637.4061005492968</v>
      </c>
      <c r="L246" s="1148"/>
      <c r="M246" s="105" t="s">
        <v>2024</v>
      </c>
      <c r="N246" s="579" t="s">
        <v>1824</v>
      </c>
      <c r="O246" s="127">
        <f>'3. PRECIOS Y COSTOS'!AT2226</f>
        <v>3705.4416249131968</v>
      </c>
      <c r="P246" s="127">
        <f t="shared" si="57"/>
        <v>3827.721198535332</v>
      </c>
      <c r="Q246" s="127">
        <f t="shared" si="58"/>
        <v>3946.380555689927</v>
      </c>
      <c r="R246" s="127">
        <f t="shared" si="59"/>
        <v>4068.7183529163144</v>
      </c>
      <c r="S246" s="127">
        <f t="shared" si="60"/>
        <v>4202.9860585625529</v>
      </c>
      <c r="V246" s="1148"/>
      <c r="W246" s="105" t="s">
        <v>2047</v>
      </c>
      <c r="X246" s="579" t="s">
        <v>1824</v>
      </c>
      <c r="Y246" s="127">
        <f>'3. PRECIOS Y COSTOS'!AL2263</f>
        <v>3582.9516489299285</v>
      </c>
      <c r="Z246" s="127">
        <f t="shared" si="61"/>
        <v>3701.1890533446158</v>
      </c>
      <c r="AA246" s="127">
        <f t="shared" si="62"/>
        <v>3815.9259139982987</v>
      </c>
      <c r="AB246" s="127">
        <f t="shared" si="63"/>
        <v>3934.2196173322454</v>
      </c>
      <c r="AC246" s="127">
        <f t="shared" si="64"/>
        <v>4064.0488647042093</v>
      </c>
      <c r="AF246" s="1148"/>
      <c r="AG246" s="105" t="s">
        <v>2059</v>
      </c>
      <c r="AH246" s="105"/>
      <c r="AI246" s="127">
        <f>'3. PRECIOS Y COSTOS'!AT2293</f>
        <v>3545.6707449131973</v>
      </c>
      <c r="AJ246" s="127">
        <f t="shared" si="65"/>
        <v>3662.6778794953325</v>
      </c>
      <c r="AK246" s="127">
        <f t="shared" si="66"/>
        <v>3776.2208937596874</v>
      </c>
      <c r="AL246" s="127">
        <f t="shared" si="67"/>
        <v>3893.2837414662376</v>
      </c>
      <c r="AM246" s="127">
        <f t="shared" si="68"/>
        <v>4021.762104934623</v>
      </c>
      <c r="AP246" s="1151"/>
      <c r="AQ246" s="105" t="s">
        <v>2061</v>
      </c>
      <c r="AR246" s="105"/>
      <c r="AS246" s="127">
        <f>'3. PRECIOS Y COSTOS'!AT2328</f>
        <v>3395.3347449131966</v>
      </c>
      <c r="AT246" s="127">
        <f t="shared" si="69"/>
        <v>3507.3807914953318</v>
      </c>
      <c r="AU246" s="127">
        <f t="shared" si="70"/>
        <v>3616.1095960316866</v>
      </c>
      <c r="AV246" s="127">
        <f t="shared" si="71"/>
        <v>3728.2089935086688</v>
      </c>
      <c r="AW246" s="127">
        <f t="shared" si="72"/>
        <v>3851.2398902944547</v>
      </c>
      <c r="AZ246" s="1148"/>
      <c r="BA246" s="105" t="s">
        <v>2061</v>
      </c>
      <c r="BB246" s="105"/>
      <c r="BC246" s="127">
        <f>'3. PRECIOS Y COSTOS'!AT2362</f>
        <v>3395.3347449131966</v>
      </c>
      <c r="BD246" s="127">
        <f t="shared" si="73"/>
        <v>3507.3807914953318</v>
      </c>
      <c r="BE246" s="127">
        <f t="shared" si="74"/>
        <v>3616.1095960316866</v>
      </c>
      <c r="BF246" s="127">
        <f t="shared" si="75"/>
        <v>3728.2089935086688</v>
      </c>
      <c r="BG246" s="127">
        <f t="shared" si="76"/>
        <v>3851.2398902944547</v>
      </c>
      <c r="BJ246" s="1148"/>
      <c r="BK246" s="105" t="s">
        <v>2023</v>
      </c>
      <c r="BL246" s="579" t="s">
        <v>1824</v>
      </c>
      <c r="BM246" s="127">
        <f>'3. PRECIOS Y COSTOS'!AS2395</f>
        <v>3705.4416249131968</v>
      </c>
      <c r="BN246" s="127">
        <f t="shared" si="77"/>
        <v>3827.721198535332</v>
      </c>
      <c r="BO246" s="127">
        <f t="shared" si="78"/>
        <v>3946.380555689927</v>
      </c>
      <c r="BP246" s="127">
        <f t="shared" si="79"/>
        <v>4068.7183529163144</v>
      </c>
      <c r="BQ246" s="127">
        <f t="shared" si="80"/>
        <v>4202.9860585625529</v>
      </c>
    </row>
    <row r="247" spans="2:69" x14ac:dyDescent="0.25">
      <c r="B247" s="1148"/>
      <c r="C247" s="105" t="s">
        <v>2021</v>
      </c>
      <c r="D247" s="576" t="s">
        <v>1824</v>
      </c>
      <c r="E247" s="127">
        <f>'3. PRECIOS Y COSTOS'!AL2197</f>
        <v>3914.7276489299284</v>
      </c>
      <c r="F247" s="127">
        <f t="shared" si="53"/>
        <v>4043.9136613446158</v>
      </c>
      <c r="G247" s="127">
        <f t="shared" si="54"/>
        <v>4169.2749848462981</v>
      </c>
      <c r="H247" s="127">
        <f t="shared" si="55"/>
        <v>4298.522509376533</v>
      </c>
      <c r="I247" s="127">
        <f t="shared" si="56"/>
        <v>4440.3737521859584</v>
      </c>
      <c r="L247" s="1148"/>
      <c r="M247" s="105" t="s">
        <v>2028</v>
      </c>
      <c r="N247" s="579" t="s">
        <v>1824</v>
      </c>
      <c r="O247" s="127">
        <f>'3. PRECIOS Y COSTOS'!AS2227</f>
        <v>3152.5507449131969</v>
      </c>
      <c r="P247" s="127">
        <f t="shared" si="57"/>
        <v>3256.5849194953321</v>
      </c>
      <c r="Q247" s="127">
        <f t="shared" si="58"/>
        <v>3357.5390519996872</v>
      </c>
      <c r="R247" s="127">
        <f t="shared" si="59"/>
        <v>3461.6227626116774</v>
      </c>
      <c r="S247" s="127">
        <f t="shared" si="60"/>
        <v>3575.8563137778624</v>
      </c>
      <c r="V247" s="1148"/>
      <c r="W247" s="105" t="s">
        <v>2048</v>
      </c>
      <c r="X247" s="579" t="s">
        <v>1824</v>
      </c>
      <c r="Y247" s="127">
        <f>'3. PRECIOS Y COSTOS'!AS2263</f>
        <v>3429.0307449131969</v>
      </c>
      <c r="Z247" s="127">
        <f t="shared" si="61"/>
        <v>3542.1887594953323</v>
      </c>
      <c r="AA247" s="127">
        <f t="shared" si="62"/>
        <v>3651.9966110396872</v>
      </c>
      <c r="AB247" s="127">
        <f t="shared" si="63"/>
        <v>3765.2085059819174</v>
      </c>
      <c r="AC247" s="127">
        <f t="shared" si="64"/>
        <v>3889.4603866793204</v>
      </c>
      <c r="AF247" s="1148"/>
      <c r="AG247" s="105" t="s">
        <v>2019</v>
      </c>
      <c r="AH247" s="105"/>
      <c r="AI247" s="127">
        <f>'3. PRECIOS Y COSTOS'!AL2294</f>
        <v>4242.3564489299279</v>
      </c>
      <c r="AJ247" s="127">
        <f t="shared" si="65"/>
        <v>4382.354211744615</v>
      </c>
      <c r="AK247" s="127">
        <f t="shared" si="66"/>
        <v>4518.2071923086978</v>
      </c>
      <c r="AL247" s="127">
        <f t="shared" si="67"/>
        <v>4658.2716152702669</v>
      </c>
      <c r="AM247" s="127">
        <f t="shared" si="68"/>
        <v>4811.9945785741857</v>
      </c>
      <c r="AP247" s="1151"/>
      <c r="AQ247" s="105" t="s">
        <v>2051</v>
      </c>
      <c r="AR247" s="579" t="s">
        <v>1824</v>
      </c>
      <c r="AS247" s="127">
        <f>'3. PRECIOS Y COSTOS'!AS2329</f>
        <v>4265.2963449131967</v>
      </c>
      <c r="AT247" s="127">
        <f t="shared" si="69"/>
        <v>4406.0511242953316</v>
      </c>
      <c r="AU247" s="127">
        <f t="shared" si="70"/>
        <v>4542.6387091484867</v>
      </c>
      <c r="AV247" s="127">
        <f t="shared" si="71"/>
        <v>4683.4605091320891</v>
      </c>
      <c r="AW247" s="127">
        <f t="shared" si="72"/>
        <v>4838.0147059334477</v>
      </c>
      <c r="AZ247" s="1148"/>
      <c r="BA247" s="105" t="s">
        <v>2068</v>
      </c>
      <c r="BB247" s="105"/>
      <c r="BC247" s="127">
        <f>'3. PRECIOS Y COSTOS'!AL2363</f>
        <v>3582.9516489299285</v>
      </c>
      <c r="BD247" s="127">
        <f t="shared" si="73"/>
        <v>3701.1890533446158</v>
      </c>
      <c r="BE247" s="127">
        <f t="shared" si="74"/>
        <v>3815.9259139982987</v>
      </c>
      <c r="BF247" s="127">
        <f t="shared" si="75"/>
        <v>3934.2196173322454</v>
      </c>
      <c r="BG247" s="127">
        <f t="shared" si="76"/>
        <v>4064.0488647042093</v>
      </c>
      <c r="BJ247" s="1148"/>
      <c r="BK247" s="105" t="s">
        <v>2024</v>
      </c>
      <c r="BL247" s="579" t="s">
        <v>1824</v>
      </c>
      <c r="BM247" s="127">
        <f>'3. PRECIOS Y COSTOS'!AT2395</f>
        <v>3705.4416249131968</v>
      </c>
      <c r="BN247" s="127">
        <f t="shared" si="77"/>
        <v>3827.721198535332</v>
      </c>
      <c r="BO247" s="127">
        <f t="shared" si="78"/>
        <v>3946.380555689927</v>
      </c>
      <c r="BP247" s="127">
        <f t="shared" si="79"/>
        <v>4068.7183529163144</v>
      </c>
      <c r="BQ247" s="127">
        <f t="shared" si="80"/>
        <v>4202.9860585625529</v>
      </c>
    </row>
    <row r="248" spans="2:69" x14ac:dyDescent="0.25">
      <c r="B248" s="1148"/>
      <c r="C248" s="105" t="s">
        <v>2022</v>
      </c>
      <c r="D248" s="576" t="s">
        <v>1824</v>
      </c>
      <c r="E248" s="127">
        <f>'3. PRECIOS Y COSTOS'!AS2197</f>
        <v>3760.8067449131968</v>
      </c>
      <c r="F248" s="127">
        <f t="shared" si="53"/>
        <v>3884.9133674953318</v>
      </c>
      <c r="G248" s="127">
        <f t="shared" si="54"/>
        <v>4005.3456818876866</v>
      </c>
      <c r="H248" s="127">
        <f t="shared" si="55"/>
        <v>4129.5113980262049</v>
      </c>
      <c r="I248" s="127">
        <f t="shared" si="56"/>
        <v>4265.7852741610695</v>
      </c>
      <c r="L248" s="1148"/>
      <c r="M248" s="105" t="s">
        <v>2047</v>
      </c>
      <c r="N248" s="579" t="s">
        <v>1824</v>
      </c>
      <c r="O248" s="127">
        <f>'3. PRECIOS Y COSTOS'!AL2228</f>
        <v>3582.9516489299285</v>
      </c>
      <c r="P248" s="127">
        <f t="shared" si="57"/>
        <v>3701.1890533446158</v>
      </c>
      <c r="Q248" s="127">
        <f t="shared" si="58"/>
        <v>3815.9259139982987</v>
      </c>
      <c r="R248" s="127">
        <f t="shared" si="59"/>
        <v>3934.2196173322454</v>
      </c>
      <c r="S248" s="127">
        <f t="shared" si="60"/>
        <v>4064.0488647042093</v>
      </c>
      <c r="V248" s="1148"/>
      <c r="W248" s="105" t="s">
        <v>2023</v>
      </c>
      <c r="X248" s="579" t="s">
        <v>1824</v>
      </c>
      <c r="Y248" s="127">
        <f>'3. PRECIOS Y COSTOS'!AS2264</f>
        <v>3705.4416249131968</v>
      </c>
      <c r="Z248" s="127">
        <f t="shared" si="61"/>
        <v>3827.721198535332</v>
      </c>
      <c r="AA248" s="127">
        <f t="shared" si="62"/>
        <v>3946.380555689927</v>
      </c>
      <c r="AB248" s="127">
        <f t="shared" si="63"/>
        <v>4068.7183529163144</v>
      </c>
      <c r="AC248" s="127">
        <f t="shared" si="64"/>
        <v>4202.9860585625529</v>
      </c>
      <c r="AF248" s="1148"/>
      <c r="AG248" s="105" t="s">
        <v>2020</v>
      </c>
      <c r="AH248" s="105"/>
      <c r="AI248" s="127">
        <f>'3. PRECIOS Y COSTOS'!AS2294</f>
        <v>4088.4355449131967</v>
      </c>
      <c r="AJ248" s="127">
        <f t="shared" si="65"/>
        <v>4223.3539178953315</v>
      </c>
      <c r="AK248" s="127">
        <f t="shared" si="66"/>
        <v>4354.2778893500863</v>
      </c>
      <c r="AL248" s="127">
        <f t="shared" si="67"/>
        <v>4489.2605039199389</v>
      </c>
      <c r="AM248" s="127">
        <f t="shared" si="68"/>
        <v>4637.4061005492968</v>
      </c>
      <c r="AP248" s="1151"/>
      <c r="AQ248" s="105" t="s">
        <v>2052</v>
      </c>
      <c r="AR248" s="579" t="s">
        <v>1824</v>
      </c>
      <c r="AS248" s="127">
        <f>'3. PRECIOS Y COSTOS'!AT2329</f>
        <v>4265.2963449131967</v>
      </c>
      <c r="AT248" s="127">
        <f t="shared" si="69"/>
        <v>4406.0511242953316</v>
      </c>
      <c r="AU248" s="127">
        <f t="shared" si="70"/>
        <v>4542.6387091484867</v>
      </c>
      <c r="AV248" s="127">
        <f t="shared" si="71"/>
        <v>4683.4605091320891</v>
      </c>
      <c r="AW248" s="127">
        <f t="shared" si="72"/>
        <v>4838.0147059334477</v>
      </c>
      <c r="AZ248" s="1148"/>
      <c r="BA248" s="105" t="s">
        <v>2048</v>
      </c>
      <c r="BB248" s="105"/>
      <c r="BC248" s="127">
        <f>'3. PRECIOS Y COSTOS'!AS2363</f>
        <v>3429.0307449131969</v>
      </c>
      <c r="BD248" s="127">
        <f t="shared" si="73"/>
        <v>3542.1887594953323</v>
      </c>
      <c r="BE248" s="127">
        <f t="shared" si="74"/>
        <v>3651.9966110396872</v>
      </c>
      <c r="BF248" s="127">
        <f t="shared" si="75"/>
        <v>3765.2085059819174</v>
      </c>
      <c r="BG248" s="127">
        <f t="shared" si="76"/>
        <v>3889.4603866793204</v>
      </c>
      <c r="BJ248" s="1148"/>
      <c r="BK248" s="105" t="s">
        <v>2025</v>
      </c>
      <c r="BL248" s="105"/>
      <c r="BM248" s="127">
        <f>'3. PRECIOS Y COSTOS'!AS2396</f>
        <v>3322.0675449131973</v>
      </c>
      <c r="BN248" s="127">
        <f t="shared" si="77"/>
        <v>3431.6957738953324</v>
      </c>
      <c r="BO248" s="127">
        <f t="shared" si="78"/>
        <v>3538.0783428860873</v>
      </c>
      <c r="BP248" s="127">
        <f t="shared" si="79"/>
        <v>3647.7587715155555</v>
      </c>
      <c r="BQ248" s="127">
        <f t="shared" si="80"/>
        <v>3768.1348109755686</v>
      </c>
    </row>
    <row r="249" spans="2:69" x14ac:dyDescent="0.25">
      <c r="B249" s="1148"/>
      <c r="C249" s="105" t="s">
        <v>2023</v>
      </c>
      <c r="D249" s="576" t="s">
        <v>1824</v>
      </c>
      <c r="E249" s="127">
        <f>'3. PRECIOS Y COSTOS'!AS2198</f>
        <v>3705.4416249131968</v>
      </c>
      <c r="F249" s="127">
        <f t="shared" si="53"/>
        <v>3827.721198535332</v>
      </c>
      <c r="G249" s="127">
        <f t="shared" si="54"/>
        <v>3946.380555689927</v>
      </c>
      <c r="H249" s="127">
        <f t="shared" si="55"/>
        <v>4068.7183529163144</v>
      </c>
      <c r="I249" s="127">
        <f t="shared" si="56"/>
        <v>4202.9860585625529</v>
      </c>
      <c r="L249" s="1148"/>
      <c r="M249" s="105" t="s">
        <v>2048</v>
      </c>
      <c r="N249" s="579" t="s">
        <v>1824</v>
      </c>
      <c r="O249" s="127">
        <f>'3. PRECIOS Y COSTOS'!AS2228</f>
        <v>3429.0307449131969</v>
      </c>
      <c r="P249" s="127">
        <f t="shared" si="57"/>
        <v>3542.1887594953323</v>
      </c>
      <c r="Q249" s="127">
        <f t="shared" si="58"/>
        <v>3651.9966110396872</v>
      </c>
      <c r="R249" s="127">
        <f t="shared" si="59"/>
        <v>3765.2085059819174</v>
      </c>
      <c r="S249" s="127">
        <f t="shared" si="60"/>
        <v>3889.4603866793204</v>
      </c>
      <c r="V249" s="1148"/>
      <c r="W249" s="105" t="s">
        <v>2024</v>
      </c>
      <c r="X249" s="579" t="s">
        <v>1824</v>
      </c>
      <c r="Y249" s="127">
        <f>'3. PRECIOS Y COSTOS'!AT2264</f>
        <v>3705.4416249131968</v>
      </c>
      <c r="Z249" s="127">
        <f t="shared" si="61"/>
        <v>3827.721198535332</v>
      </c>
      <c r="AA249" s="127">
        <f t="shared" si="62"/>
        <v>3946.380555689927</v>
      </c>
      <c r="AB249" s="127">
        <f t="shared" si="63"/>
        <v>4068.7183529163144</v>
      </c>
      <c r="AC249" s="127">
        <f t="shared" si="64"/>
        <v>4202.9860585625529</v>
      </c>
      <c r="AF249" s="1148"/>
      <c r="AG249" s="105" t="s">
        <v>2021</v>
      </c>
      <c r="AH249" s="105"/>
      <c r="AI249" s="127">
        <f>'3. PRECIOS Y COSTOS'!AL2295</f>
        <v>3914.7276489299284</v>
      </c>
      <c r="AJ249" s="127">
        <f t="shared" si="65"/>
        <v>4043.9136613446158</v>
      </c>
      <c r="AK249" s="127">
        <f t="shared" si="66"/>
        <v>4169.2749848462981</v>
      </c>
      <c r="AL249" s="127">
        <f t="shared" si="67"/>
        <v>4298.522509376533</v>
      </c>
      <c r="AM249" s="127">
        <f t="shared" si="68"/>
        <v>4440.3737521859584</v>
      </c>
      <c r="AP249" s="1151"/>
      <c r="AQ249" s="105" t="s">
        <v>2068</v>
      </c>
      <c r="AR249" s="105"/>
      <c r="AS249" s="127">
        <f>'3. PRECIOS Y COSTOS'!AL2330</f>
        <v>3582.9516489299285</v>
      </c>
      <c r="AT249" s="127">
        <f t="shared" si="69"/>
        <v>3701.1890533446158</v>
      </c>
      <c r="AU249" s="127">
        <f t="shared" si="70"/>
        <v>3815.9259139982987</v>
      </c>
      <c r="AV249" s="127">
        <f t="shared" si="71"/>
        <v>3934.2196173322454</v>
      </c>
      <c r="AW249" s="127">
        <f t="shared" si="72"/>
        <v>4064.0488647042093</v>
      </c>
      <c r="AZ249" s="1148"/>
      <c r="BA249" s="105" t="s">
        <v>2051</v>
      </c>
      <c r="BB249" s="579" t="s">
        <v>1824</v>
      </c>
      <c r="BC249" s="127">
        <f>'3. PRECIOS Y COSTOS'!AS2364</f>
        <v>4265.2963449131967</v>
      </c>
      <c r="BD249" s="127">
        <f t="shared" si="73"/>
        <v>4406.0511242953316</v>
      </c>
      <c r="BE249" s="127">
        <f t="shared" si="74"/>
        <v>4542.6387091484867</v>
      </c>
      <c r="BF249" s="127">
        <f t="shared" si="75"/>
        <v>4683.4605091320891</v>
      </c>
      <c r="BG249" s="127">
        <f t="shared" si="76"/>
        <v>4838.0147059334477</v>
      </c>
      <c r="BJ249" s="1148"/>
      <c r="BK249" s="105" t="s">
        <v>2026</v>
      </c>
      <c r="BL249" s="105"/>
      <c r="BM249" s="127">
        <f>'3. PRECIOS Y COSTOS'!AT2396</f>
        <v>3322.0675449131973</v>
      </c>
      <c r="BN249" s="127">
        <f t="shared" si="77"/>
        <v>3431.6957738953324</v>
      </c>
      <c r="BO249" s="127">
        <f t="shared" si="78"/>
        <v>3538.0783428860873</v>
      </c>
      <c r="BP249" s="127">
        <f t="shared" si="79"/>
        <v>3647.7587715155555</v>
      </c>
      <c r="BQ249" s="127">
        <f t="shared" si="80"/>
        <v>3768.1348109755686</v>
      </c>
    </row>
    <row r="250" spans="2:69" x14ac:dyDescent="0.25">
      <c r="B250" s="1148"/>
      <c r="C250" s="105" t="s">
        <v>2024</v>
      </c>
      <c r="D250" s="576" t="s">
        <v>1824</v>
      </c>
      <c r="E250" s="127">
        <f>'3. PRECIOS Y COSTOS'!AT2198</f>
        <v>3705.4416249131968</v>
      </c>
      <c r="F250" s="127">
        <f t="shared" si="53"/>
        <v>3827.721198535332</v>
      </c>
      <c r="G250" s="127">
        <f t="shared" si="54"/>
        <v>3946.380555689927</v>
      </c>
      <c r="H250" s="127">
        <f t="shared" si="55"/>
        <v>4068.7183529163144</v>
      </c>
      <c r="I250" s="127">
        <f t="shared" si="56"/>
        <v>4202.9860585625529</v>
      </c>
      <c r="L250" s="1148"/>
      <c r="M250" s="105" t="s">
        <v>2029</v>
      </c>
      <c r="N250" s="579" t="s">
        <v>1824</v>
      </c>
      <c r="O250" s="127">
        <f>'3. PRECIOS Y COSTOS'!AS2229</f>
        <v>5019.9312249131972</v>
      </c>
      <c r="P250" s="127">
        <f t="shared" si="57"/>
        <v>5185.5889553353327</v>
      </c>
      <c r="Q250" s="127">
        <f t="shared" si="58"/>
        <v>5346.3422129507271</v>
      </c>
      <c r="R250" s="127">
        <f t="shared" si="59"/>
        <v>5512.0788215521989</v>
      </c>
      <c r="S250" s="127">
        <f t="shared" si="60"/>
        <v>5693.9774226634208</v>
      </c>
      <c r="V250" s="1148"/>
      <c r="W250" s="105" t="s">
        <v>2053</v>
      </c>
      <c r="X250" s="105"/>
      <c r="Y250" s="127">
        <f>'3. PRECIOS Y COSTOS'!AS2265</f>
        <v>3325.3507449131971</v>
      </c>
      <c r="Z250" s="127">
        <f t="shared" si="61"/>
        <v>3435.0873194953324</v>
      </c>
      <c r="AA250" s="127">
        <f t="shared" si="62"/>
        <v>3541.5750263996874</v>
      </c>
      <c r="AB250" s="127">
        <f t="shared" si="63"/>
        <v>3651.3638522180772</v>
      </c>
      <c r="AC250" s="127">
        <f t="shared" si="64"/>
        <v>3771.8588593412733</v>
      </c>
      <c r="AF250" s="1148"/>
      <c r="AG250" s="105" t="s">
        <v>2022</v>
      </c>
      <c r="AH250" s="105"/>
      <c r="AI250" s="127">
        <f>'3. PRECIOS Y COSTOS'!AS2295</f>
        <v>3760.8067449131968</v>
      </c>
      <c r="AJ250" s="127">
        <f t="shared" si="65"/>
        <v>3884.9133674953318</v>
      </c>
      <c r="AK250" s="127">
        <f t="shared" si="66"/>
        <v>4005.3456818876866</v>
      </c>
      <c r="AL250" s="127">
        <f t="shared" si="67"/>
        <v>4129.5113980262049</v>
      </c>
      <c r="AM250" s="127">
        <f t="shared" si="68"/>
        <v>4265.7852741610695</v>
      </c>
      <c r="AP250" s="1151"/>
      <c r="AQ250" s="105" t="s">
        <v>2048</v>
      </c>
      <c r="AR250" s="105"/>
      <c r="AS250" s="127">
        <f>'3. PRECIOS Y COSTOS'!AS2330</f>
        <v>3429.0307449131969</v>
      </c>
      <c r="AT250" s="127">
        <f t="shared" si="69"/>
        <v>3542.1887594953323</v>
      </c>
      <c r="AU250" s="127">
        <f t="shared" si="70"/>
        <v>3651.9966110396872</v>
      </c>
      <c r="AV250" s="127">
        <f t="shared" si="71"/>
        <v>3765.2085059819174</v>
      </c>
      <c r="AW250" s="127">
        <f t="shared" si="72"/>
        <v>3889.4603866793204</v>
      </c>
      <c r="AZ250" s="1148"/>
      <c r="BA250" s="105" t="s">
        <v>2052</v>
      </c>
      <c r="BB250" s="579" t="s">
        <v>1824</v>
      </c>
      <c r="BC250" s="127">
        <f>'3. PRECIOS Y COSTOS'!AT2364</f>
        <v>4265.2963449131967</v>
      </c>
      <c r="BD250" s="127">
        <f t="shared" si="73"/>
        <v>4406.0511242953316</v>
      </c>
      <c r="BE250" s="127">
        <f t="shared" si="74"/>
        <v>4542.6387091484867</v>
      </c>
      <c r="BF250" s="127">
        <f t="shared" si="75"/>
        <v>4683.4605091320891</v>
      </c>
      <c r="BG250" s="127">
        <f t="shared" si="76"/>
        <v>4838.0147059334477</v>
      </c>
      <c r="BJ250" s="1148"/>
      <c r="BK250" s="105" t="s">
        <v>2069</v>
      </c>
      <c r="BL250" s="579" t="s">
        <v>1824</v>
      </c>
      <c r="BM250" s="127">
        <f>'3. PRECIOS Y COSTOS'!AS2397</f>
        <v>3641.0563449131969</v>
      </c>
      <c r="BN250" s="127">
        <f t="shared" si="77"/>
        <v>3761.2112042953322</v>
      </c>
      <c r="BO250" s="127">
        <f t="shared" si="78"/>
        <v>3877.8087516284872</v>
      </c>
      <c r="BP250" s="127">
        <f t="shared" si="79"/>
        <v>3998.0208229289701</v>
      </c>
      <c r="BQ250" s="127">
        <f t="shared" si="80"/>
        <v>4129.955510085626</v>
      </c>
    </row>
    <row r="251" spans="2:69" x14ac:dyDescent="0.25">
      <c r="B251" s="1148"/>
      <c r="C251" s="105" t="s">
        <v>2025</v>
      </c>
      <c r="D251" s="576" t="s">
        <v>1824</v>
      </c>
      <c r="E251" s="127">
        <f>'3. PRECIOS Y COSTOS'!AS2199</f>
        <v>3322.0675449131973</v>
      </c>
      <c r="F251" s="127">
        <f t="shared" si="53"/>
        <v>3431.6957738953324</v>
      </c>
      <c r="G251" s="127">
        <f t="shared" si="54"/>
        <v>3538.0783428860873</v>
      </c>
      <c r="H251" s="127">
        <f t="shared" si="55"/>
        <v>3647.7587715155555</v>
      </c>
      <c r="I251" s="127">
        <f t="shared" si="56"/>
        <v>3768.1348109755686</v>
      </c>
      <c r="L251" s="1148"/>
      <c r="M251" s="105" t="s">
        <v>2030</v>
      </c>
      <c r="N251" s="579" t="s">
        <v>1824</v>
      </c>
      <c r="O251" s="127">
        <f>'3. PRECIOS Y COSTOS'!AT2229</f>
        <v>5019.9312249131972</v>
      </c>
      <c r="P251" s="127">
        <f t="shared" si="57"/>
        <v>5185.5889553353327</v>
      </c>
      <c r="Q251" s="127">
        <f t="shared" si="58"/>
        <v>5346.3422129507271</v>
      </c>
      <c r="R251" s="127">
        <f t="shared" si="59"/>
        <v>5512.0788215521989</v>
      </c>
      <c r="S251" s="127">
        <f t="shared" si="60"/>
        <v>5693.9774226634208</v>
      </c>
      <c r="V251" s="1148"/>
      <c r="W251" s="105" t="s">
        <v>2054</v>
      </c>
      <c r="X251" s="105"/>
      <c r="Y251" s="127">
        <f>'3. PRECIOS Y COSTOS'!AT2265</f>
        <v>3325.3507449131971</v>
      </c>
      <c r="Z251" s="127">
        <f t="shared" si="61"/>
        <v>3435.0873194953324</v>
      </c>
      <c r="AA251" s="127">
        <f t="shared" si="62"/>
        <v>3541.5750263996874</v>
      </c>
      <c r="AB251" s="127">
        <f t="shared" si="63"/>
        <v>3651.3638522180772</v>
      </c>
      <c r="AC251" s="127">
        <f t="shared" si="64"/>
        <v>3771.8588593412733</v>
      </c>
      <c r="AF251" s="1148"/>
      <c r="AG251" s="105" t="s">
        <v>2029</v>
      </c>
      <c r="AH251" s="579" t="s">
        <v>1824</v>
      </c>
      <c r="AI251" s="127">
        <f>'3. PRECIOS Y COSTOS'!AS2296</f>
        <v>5019.9312249131972</v>
      </c>
      <c r="AJ251" s="127">
        <f t="shared" si="65"/>
        <v>5185.5889553353327</v>
      </c>
      <c r="AK251" s="127">
        <f t="shared" si="66"/>
        <v>5346.3422129507271</v>
      </c>
      <c r="AL251" s="127">
        <f t="shared" si="67"/>
        <v>5512.0788215521989</v>
      </c>
      <c r="AM251" s="127">
        <f t="shared" si="68"/>
        <v>5693.9774226634208</v>
      </c>
      <c r="AP251" s="1151"/>
      <c r="AQ251" s="105" t="s">
        <v>2028</v>
      </c>
      <c r="AR251" s="105"/>
      <c r="AS251" s="127">
        <f>'3. PRECIOS Y COSTOS'!AS2331</f>
        <v>3152.5507449131969</v>
      </c>
      <c r="AT251" s="127">
        <f t="shared" si="69"/>
        <v>3256.5849194953321</v>
      </c>
      <c r="AU251" s="127">
        <f t="shared" si="70"/>
        <v>3357.5390519996872</v>
      </c>
      <c r="AV251" s="127">
        <f t="shared" si="71"/>
        <v>3461.6227626116774</v>
      </c>
      <c r="AW251" s="127">
        <f t="shared" si="72"/>
        <v>3575.8563137778624</v>
      </c>
      <c r="AZ251" s="1148"/>
      <c r="BA251" s="105" t="s">
        <v>2023</v>
      </c>
      <c r="BB251" s="579" t="s">
        <v>1824</v>
      </c>
      <c r="BC251" s="127">
        <f>'3. PRECIOS Y COSTOS'!AS2365</f>
        <v>3705.4416249131968</v>
      </c>
      <c r="BD251" s="127">
        <f t="shared" si="73"/>
        <v>3827.721198535332</v>
      </c>
      <c r="BE251" s="127">
        <f t="shared" si="74"/>
        <v>3946.380555689927</v>
      </c>
      <c r="BF251" s="127">
        <f t="shared" si="75"/>
        <v>4068.7183529163144</v>
      </c>
      <c r="BG251" s="127">
        <f t="shared" si="76"/>
        <v>4202.9860585625529</v>
      </c>
      <c r="BJ251" s="1148"/>
      <c r="BK251" s="105" t="s">
        <v>2028</v>
      </c>
      <c r="BL251" s="105"/>
      <c r="BM251" s="127">
        <f>'3. PRECIOS Y COSTOS'!AS2398</f>
        <v>3152.5507449131969</v>
      </c>
      <c r="BN251" s="127">
        <f t="shared" si="77"/>
        <v>3256.5849194953321</v>
      </c>
      <c r="BO251" s="127">
        <f t="shared" si="78"/>
        <v>3357.5390519996872</v>
      </c>
      <c r="BP251" s="127">
        <f t="shared" si="79"/>
        <v>3461.6227626116774</v>
      </c>
      <c r="BQ251" s="127">
        <f t="shared" si="80"/>
        <v>3575.8563137778624</v>
      </c>
    </row>
    <row r="252" spans="2:69" x14ac:dyDescent="0.25">
      <c r="B252" s="1148"/>
      <c r="C252" s="105" t="s">
        <v>2026</v>
      </c>
      <c r="D252" s="576" t="s">
        <v>1824</v>
      </c>
      <c r="E252" s="127">
        <f>'3. PRECIOS Y COSTOS'!AT2199</f>
        <v>3322.0675449131973</v>
      </c>
      <c r="F252" s="127">
        <f t="shared" si="53"/>
        <v>3431.6957738953324</v>
      </c>
      <c r="G252" s="127">
        <f t="shared" si="54"/>
        <v>3538.0783428860873</v>
      </c>
      <c r="H252" s="127">
        <f t="shared" si="55"/>
        <v>3647.7587715155555</v>
      </c>
      <c r="I252" s="127">
        <f t="shared" si="56"/>
        <v>3768.1348109755686</v>
      </c>
      <c r="L252" s="1148"/>
      <c r="M252" s="105" t="s">
        <v>2049</v>
      </c>
      <c r="N252" s="105"/>
      <c r="O252" s="127">
        <f>'3. PRECIOS Y COSTOS'!AS2230</f>
        <v>3033.5034681131965</v>
      </c>
      <c r="P252" s="127">
        <f t="shared" si="57"/>
        <v>3133.6090825609317</v>
      </c>
      <c r="Q252" s="127">
        <f t="shared" si="58"/>
        <v>3230.7509641203205</v>
      </c>
      <c r="R252" s="127">
        <f t="shared" si="59"/>
        <v>3330.9042440080502</v>
      </c>
      <c r="S252" s="127">
        <f t="shared" si="60"/>
        <v>3440.8240840603157</v>
      </c>
      <c r="V252" s="1148"/>
      <c r="W252" s="105" t="s">
        <v>2060</v>
      </c>
      <c r="X252" s="105"/>
      <c r="Y252" s="127">
        <f>'3. PRECIOS Y COSTOS'!AS2266</f>
        <v>3395.3347449131966</v>
      </c>
      <c r="Z252" s="127">
        <f t="shared" si="61"/>
        <v>3507.3807914953318</v>
      </c>
      <c r="AA252" s="127">
        <f t="shared" si="62"/>
        <v>3616.1095960316866</v>
      </c>
      <c r="AB252" s="127">
        <f t="shared" si="63"/>
        <v>3728.2089935086688</v>
      </c>
      <c r="AC252" s="127">
        <f t="shared" si="64"/>
        <v>3851.2398902944547</v>
      </c>
      <c r="AF252" s="1148"/>
      <c r="AG252" s="105" t="s">
        <v>2030</v>
      </c>
      <c r="AH252" s="579" t="s">
        <v>1824</v>
      </c>
      <c r="AI252" s="127">
        <f>'3. PRECIOS Y COSTOS'!AT2296</f>
        <v>5019.9312249131972</v>
      </c>
      <c r="AJ252" s="127">
        <f t="shared" si="65"/>
        <v>5185.5889553353327</v>
      </c>
      <c r="AK252" s="127">
        <f t="shared" si="66"/>
        <v>5346.3422129507271</v>
      </c>
      <c r="AL252" s="127">
        <f t="shared" si="67"/>
        <v>5512.0788215521989</v>
      </c>
      <c r="AM252" s="127">
        <f t="shared" si="68"/>
        <v>5693.9774226634208</v>
      </c>
      <c r="AP252" s="1151"/>
      <c r="AQ252" s="29" t="s">
        <v>2074</v>
      </c>
      <c r="AS252" s="286">
        <f>'3. PRECIOS Y COSTOS'!AS2332</f>
        <v>3567.2707449131972</v>
      </c>
      <c r="AT252" s="127">
        <f t="shared" si="69"/>
        <v>3684.9906794953322</v>
      </c>
      <c r="AU252" s="127">
        <f t="shared" si="70"/>
        <v>3799.2253905596872</v>
      </c>
      <c r="AV252" s="127">
        <f t="shared" si="71"/>
        <v>3917.0013776670371</v>
      </c>
      <c r="AW252" s="127">
        <f t="shared" si="72"/>
        <v>4046.2624231300492</v>
      </c>
      <c r="AZ252" s="1148"/>
      <c r="BA252" s="105" t="s">
        <v>2024</v>
      </c>
      <c r="BB252" s="579" t="s">
        <v>1824</v>
      </c>
      <c r="BC252" s="127">
        <f>'3. PRECIOS Y COSTOS'!AT2365</f>
        <v>3705.4416249131968</v>
      </c>
      <c r="BD252" s="127">
        <f t="shared" si="73"/>
        <v>3827.721198535332</v>
      </c>
      <c r="BE252" s="127">
        <f t="shared" si="74"/>
        <v>3946.380555689927</v>
      </c>
      <c r="BF252" s="127">
        <f t="shared" si="75"/>
        <v>4068.7183529163144</v>
      </c>
      <c r="BG252" s="127">
        <f t="shared" si="76"/>
        <v>4202.9860585625529</v>
      </c>
      <c r="BJ252" s="1148"/>
      <c r="BK252" s="105" t="s">
        <v>2051</v>
      </c>
      <c r="BL252" s="579" t="s">
        <v>1824</v>
      </c>
      <c r="BM252" s="127">
        <f>'3. PRECIOS Y COSTOS'!AS2399</f>
        <v>4265.2963449131967</v>
      </c>
      <c r="BN252" s="127">
        <f t="shared" si="77"/>
        <v>4406.0511242953316</v>
      </c>
      <c r="BO252" s="127">
        <f t="shared" si="78"/>
        <v>4542.6387091484867</v>
      </c>
      <c r="BP252" s="127">
        <f t="shared" si="79"/>
        <v>4683.4605091320891</v>
      </c>
      <c r="BQ252" s="127">
        <f t="shared" si="80"/>
        <v>4838.0147059334477</v>
      </c>
    </row>
    <row r="253" spans="2:69" x14ac:dyDescent="0.25">
      <c r="B253" s="1148"/>
      <c r="C253" s="105" t="s">
        <v>2027</v>
      </c>
      <c r="D253" s="576" t="s">
        <v>1824</v>
      </c>
      <c r="E253" s="127">
        <f>'3. PRECIOS Y COSTOS'!AS2200</f>
        <v>3641.0563449131969</v>
      </c>
      <c r="F253" s="127">
        <f t="shared" si="53"/>
        <v>3761.2112042953322</v>
      </c>
      <c r="G253" s="127">
        <f t="shared" si="54"/>
        <v>3877.8087516284872</v>
      </c>
      <c r="H253" s="127">
        <f t="shared" si="55"/>
        <v>3998.0208229289701</v>
      </c>
      <c r="I253" s="127">
        <f t="shared" si="56"/>
        <v>4129.955510085626</v>
      </c>
      <c r="L253" s="1148"/>
      <c r="M253" s="105" t="s">
        <v>2050</v>
      </c>
      <c r="N253" s="105"/>
      <c r="O253" s="127">
        <f>'3. PRECIOS Y COSTOS'!AT2230</f>
        <v>3033.5034681131965</v>
      </c>
      <c r="P253" s="127">
        <f t="shared" si="57"/>
        <v>3133.6090825609317</v>
      </c>
      <c r="Q253" s="127">
        <f t="shared" si="58"/>
        <v>3230.7509641203205</v>
      </c>
      <c r="R253" s="127">
        <f t="shared" si="59"/>
        <v>3330.9042440080502</v>
      </c>
      <c r="S253" s="127">
        <f t="shared" si="60"/>
        <v>3440.8240840603157</v>
      </c>
      <c r="V253" s="1148"/>
      <c r="W253" s="105" t="s">
        <v>2061</v>
      </c>
      <c r="X253" s="105"/>
      <c r="Y253" s="127">
        <f>'3. PRECIOS Y COSTOS'!AT2266</f>
        <v>3395.3347449131966</v>
      </c>
      <c r="Z253" s="127">
        <f t="shared" si="61"/>
        <v>3507.3807914953318</v>
      </c>
      <c r="AA253" s="127">
        <f t="shared" si="62"/>
        <v>3616.1095960316866</v>
      </c>
      <c r="AB253" s="127">
        <f t="shared" si="63"/>
        <v>3728.2089935086688</v>
      </c>
      <c r="AC253" s="127">
        <f t="shared" si="64"/>
        <v>3851.2398902944547</v>
      </c>
      <c r="AF253" s="1148"/>
      <c r="AG253" s="105" t="s">
        <v>2031</v>
      </c>
      <c r="AH253" s="105"/>
      <c r="AI253" s="127">
        <f>'3. PRECIOS Y COSTOS'!AS2297</f>
        <v>3258.3907449131971</v>
      </c>
      <c r="AJ253" s="127">
        <f t="shared" si="65"/>
        <v>3365.9176394953324</v>
      </c>
      <c r="AK253" s="127">
        <f t="shared" si="66"/>
        <v>3470.2610863196874</v>
      </c>
      <c r="AL253" s="127">
        <f t="shared" si="67"/>
        <v>3577.8391799955975</v>
      </c>
      <c r="AM253" s="127">
        <f t="shared" si="68"/>
        <v>3695.9078729354519</v>
      </c>
      <c r="AP253" s="1151"/>
      <c r="AQ253" s="29" t="s">
        <v>2075</v>
      </c>
      <c r="AS253" s="286">
        <f>'3. PRECIOS Y COSTOS'!AT2332</f>
        <v>3567.2707449131972</v>
      </c>
      <c r="AT253" s="127">
        <f t="shared" si="69"/>
        <v>3684.9906794953322</v>
      </c>
      <c r="AU253" s="127">
        <f t="shared" si="70"/>
        <v>3799.2253905596872</v>
      </c>
      <c r="AV253" s="127">
        <f t="shared" si="71"/>
        <v>3917.0013776670371</v>
      </c>
      <c r="AW253" s="127">
        <f t="shared" si="72"/>
        <v>4046.2624231300492</v>
      </c>
      <c r="AZ253" s="1148"/>
      <c r="BA253" s="105" t="s">
        <v>2025</v>
      </c>
      <c r="BB253" s="105"/>
      <c r="BC253" s="127">
        <f>'3. PRECIOS Y COSTOS'!AS2366</f>
        <v>3322.0675449131973</v>
      </c>
      <c r="BD253" s="127">
        <f t="shared" si="73"/>
        <v>3431.6957738953324</v>
      </c>
      <c r="BE253" s="127">
        <f t="shared" si="74"/>
        <v>3538.0783428860873</v>
      </c>
      <c r="BF253" s="127">
        <f t="shared" si="75"/>
        <v>3647.7587715155555</v>
      </c>
      <c r="BG253" s="127">
        <f t="shared" si="76"/>
        <v>3768.1348109755686</v>
      </c>
      <c r="BJ253" s="1148"/>
      <c r="BK253" s="105" t="s">
        <v>2052</v>
      </c>
      <c r="BL253" s="579" t="s">
        <v>1824</v>
      </c>
      <c r="BM253" s="127">
        <f>'3. PRECIOS Y COSTOS'!AT2399</f>
        <v>4265.2963449131967</v>
      </c>
      <c r="BN253" s="127">
        <f t="shared" si="77"/>
        <v>4406.0511242953316</v>
      </c>
      <c r="BO253" s="127">
        <f t="shared" si="78"/>
        <v>4542.6387091484867</v>
      </c>
      <c r="BP253" s="127">
        <f t="shared" si="79"/>
        <v>4683.4605091320891</v>
      </c>
      <c r="BQ253" s="127">
        <f t="shared" si="80"/>
        <v>4838.0147059334477</v>
      </c>
    </row>
    <row r="254" spans="2:69" x14ac:dyDescent="0.25">
      <c r="B254" s="1148"/>
      <c r="C254" s="105" t="s">
        <v>2028</v>
      </c>
      <c r="D254" s="576" t="s">
        <v>1824</v>
      </c>
      <c r="E254" s="127">
        <f>'3. PRECIOS Y COSTOS'!AS2201</f>
        <v>3152.5507449131969</v>
      </c>
      <c r="F254" s="127">
        <f t="shared" si="53"/>
        <v>3256.5849194953321</v>
      </c>
      <c r="G254" s="127">
        <f t="shared" si="54"/>
        <v>3357.5390519996872</v>
      </c>
      <c r="H254" s="127">
        <f t="shared" si="55"/>
        <v>3461.6227626116774</v>
      </c>
      <c r="I254" s="127">
        <f t="shared" si="56"/>
        <v>3575.8563137778624</v>
      </c>
      <c r="L254" s="1148"/>
      <c r="M254" s="105" t="s">
        <v>2017</v>
      </c>
      <c r="N254" s="105"/>
      <c r="O254" s="127">
        <f>'3. PRECIOS Y COSTOS'!AS2231</f>
        <v>3545.6707449131973</v>
      </c>
      <c r="P254" s="127">
        <f t="shared" si="57"/>
        <v>3662.6778794953325</v>
      </c>
      <c r="Q254" s="127">
        <f t="shared" si="58"/>
        <v>3776.2208937596874</v>
      </c>
      <c r="R254" s="127">
        <f t="shared" si="59"/>
        <v>3893.2837414662376</v>
      </c>
      <c r="S254" s="127">
        <f t="shared" si="60"/>
        <v>4021.762104934623</v>
      </c>
      <c r="V254" s="1148"/>
      <c r="W254" s="105" t="s">
        <v>2062</v>
      </c>
      <c r="X254" s="105"/>
      <c r="Y254" s="127">
        <f>'3. PRECIOS Y COSTOS'!AS2267</f>
        <v>3295.5427449131967</v>
      </c>
      <c r="Z254" s="127">
        <f t="shared" si="61"/>
        <v>3404.2956554953321</v>
      </c>
      <c r="AA254" s="127">
        <f t="shared" si="62"/>
        <v>3509.8288208156873</v>
      </c>
      <c r="AB254" s="127">
        <f t="shared" si="63"/>
        <v>3618.6335142609732</v>
      </c>
      <c r="AC254" s="127">
        <f t="shared" si="64"/>
        <v>3738.0484202315852</v>
      </c>
      <c r="AF254" s="1148"/>
      <c r="AG254" s="105" t="s">
        <v>2032</v>
      </c>
      <c r="AH254" s="105"/>
      <c r="AI254" s="127">
        <f>'3. PRECIOS Y COSTOS'!AT2297</f>
        <v>3258.3907449131971</v>
      </c>
      <c r="AJ254" s="127">
        <f t="shared" si="65"/>
        <v>3365.9176394953324</v>
      </c>
      <c r="AK254" s="127">
        <f t="shared" si="66"/>
        <v>3470.2610863196874</v>
      </c>
      <c r="AL254" s="127">
        <f t="shared" si="67"/>
        <v>3577.8391799955975</v>
      </c>
      <c r="AM254" s="127">
        <f t="shared" si="68"/>
        <v>3695.9078729354519</v>
      </c>
      <c r="AP254" s="1151"/>
      <c r="AQ254" s="105" t="s">
        <v>2019</v>
      </c>
      <c r="AR254" s="105"/>
      <c r="AS254" s="127">
        <f>'3. PRECIOS Y COSTOS'!AL2333</f>
        <v>4242.3564489299279</v>
      </c>
      <c r="AT254" s="127">
        <f t="shared" si="69"/>
        <v>4382.354211744615</v>
      </c>
      <c r="AU254" s="127">
        <f t="shared" si="70"/>
        <v>4518.2071923086978</v>
      </c>
      <c r="AV254" s="127">
        <f t="shared" si="71"/>
        <v>4658.2716152702669</v>
      </c>
      <c r="AW254" s="127">
        <f t="shared" si="72"/>
        <v>4811.9945785741857</v>
      </c>
      <c r="AZ254" s="1148"/>
      <c r="BA254" s="105" t="s">
        <v>2026</v>
      </c>
      <c r="BB254" s="105"/>
      <c r="BC254" s="127">
        <f>'3. PRECIOS Y COSTOS'!AT2366</f>
        <v>3322.0675449131973</v>
      </c>
      <c r="BD254" s="127">
        <f t="shared" si="73"/>
        <v>3431.6957738953324</v>
      </c>
      <c r="BE254" s="127">
        <f t="shared" si="74"/>
        <v>3538.0783428860873</v>
      </c>
      <c r="BF254" s="127">
        <f t="shared" si="75"/>
        <v>3647.7587715155555</v>
      </c>
      <c r="BG254" s="127">
        <f t="shared" si="76"/>
        <v>3768.1348109755686</v>
      </c>
      <c r="BJ254" s="1148"/>
      <c r="BK254" s="105" t="s">
        <v>2084</v>
      </c>
      <c r="BL254" s="105"/>
      <c r="BM254" s="127">
        <f>'3. PRECIOS Y COSTOS'!AS2400</f>
        <v>3073.4947449131969</v>
      </c>
      <c r="BN254" s="127">
        <f t="shared" si="77"/>
        <v>3174.9200714953322</v>
      </c>
      <c r="BO254" s="127">
        <f t="shared" si="78"/>
        <v>3273.3425937116872</v>
      </c>
      <c r="BP254" s="127">
        <f t="shared" si="79"/>
        <v>3374.8162141167491</v>
      </c>
      <c r="BQ254" s="127">
        <f t="shared" si="80"/>
        <v>3486.1851491826014</v>
      </c>
    </row>
    <row r="255" spans="2:69" x14ac:dyDescent="0.25">
      <c r="B255" s="1148"/>
      <c r="C255" s="105" t="s">
        <v>2029</v>
      </c>
      <c r="D255" s="576" t="s">
        <v>1824</v>
      </c>
      <c r="E255" s="127">
        <f>'3. PRECIOS Y COSTOS'!AS2202</f>
        <v>5019.9312249131972</v>
      </c>
      <c r="F255" s="127">
        <f t="shared" si="53"/>
        <v>5185.5889553353327</v>
      </c>
      <c r="G255" s="127">
        <f t="shared" si="54"/>
        <v>5346.3422129507271</v>
      </c>
      <c r="H255" s="127">
        <f t="shared" si="55"/>
        <v>5512.0788215521989</v>
      </c>
      <c r="I255" s="127">
        <f t="shared" si="56"/>
        <v>5693.9774226634208</v>
      </c>
      <c r="L255" s="1148"/>
      <c r="M255" s="105" t="s">
        <v>2018</v>
      </c>
      <c r="N255" s="105"/>
      <c r="O255" s="127">
        <f>'3. PRECIOS Y COSTOS'!AT2231</f>
        <v>3545.6707449131973</v>
      </c>
      <c r="P255" s="127">
        <f t="shared" si="57"/>
        <v>3662.6778794953325</v>
      </c>
      <c r="Q255" s="127">
        <f t="shared" si="58"/>
        <v>3776.2208937596874</v>
      </c>
      <c r="R255" s="127">
        <f t="shared" si="59"/>
        <v>3893.2837414662376</v>
      </c>
      <c r="S255" s="127">
        <f t="shared" si="60"/>
        <v>4021.762104934623</v>
      </c>
      <c r="V255" s="1148"/>
      <c r="W255" s="105" t="s">
        <v>2063</v>
      </c>
      <c r="X255" s="105"/>
      <c r="Y255" s="127">
        <f>'3. PRECIOS Y COSTOS'!AT2267</f>
        <v>3295.5427449131967</v>
      </c>
      <c r="Z255" s="127">
        <f t="shared" si="61"/>
        <v>3404.2956554953321</v>
      </c>
      <c r="AA255" s="127">
        <f t="shared" si="62"/>
        <v>3509.8288208156873</v>
      </c>
      <c r="AB255" s="127">
        <f t="shared" si="63"/>
        <v>3618.6335142609732</v>
      </c>
      <c r="AC255" s="127">
        <f t="shared" si="64"/>
        <v>3738.0484202315852</v>
      </c>
      <c r="AF255" s="1148"/>
      <c r="AG255" s="105" t="s">
        <v>2060</v>
      </c>
      <c r="AH255" s="105"/>
      <c r="AI255" s="127">
        <f>'3. PRECIOS Y COSTOS'!AS2298</f>
        <v>3395.3347449131966</v>
      </c>
      <c r="AJ255" s="127">
        <f t="shared" si="65"/>
        <v>3507.3807914953318</v>
      </c>
      <c r="AK255" s="127">
        <f t="shared" si="66"/>
        <v>3616.1095960316866</v>
      </c>
      <c r="AL255" s="127">
        <f t="shared" si="67"/>
        <v>3728.2089935086688</v>
      </c>
      <c r="AM255" s="127">
        <f t="shared" si="68"/>
        <v>3851.2398902944547</v>
      </c>
      <c r="AP255" s="1151"/>
      <c r="AQ255" s="105" t="s">
        <v>2020</v>
      </c>
      <c r="AR255" s="105"/>
      <c r="AS255" s="127">
        <f>'3. PRECIOS Y COSTOS'!AS2333</f>
        <v>4088.4355449131967</v>
      </c>
      <c r="AT255" s="127">
        <f t="shared" si="69"/>
        <v>4223.3539178953315</v>
      </c>
      <c r="AU255" s="127">
        <f t="shared" si="70"/>
        <v>4354.2778893500863</v>
      </c>
      <c r="AV255" s="127">
        <f t="shared" si="71"/>
        <v>4489.2605039199389</v>
      </c>
      <c r="AW255" s="127">
        <f t="shared" si="72"/>
        <v>4637.4061005492968</v>
      </c>
      <c r="AZ255" s="1148"/>
      <c r="BA255" s="105" t="s">
        <v>2069</v>
      </c>
      <c r="BB255" s="579" t="s">
        <v>1824</v>
      </c>
      <c r="BC255" s="127">
        <f>'3. PRECIOS Y COSTOS'!AS2367</f>
        <v>3641.0563449131969</v>
      </c>
      <c r="BD255" s="127">
        <f t="shared" si="73"/>
        <v>3761.2112042953322</v>
      </c>
      <c r="BE255" s="127">
        <f t="shared" si="74"/>
        <v>3877.8087516284872</v>
      </c>
      <c r="BF255" s="127">
        <f t="shared" si="75"/>
        <v>3998.0208229289701</v>
      </c>
      <c r="BG255" s="127">
        <f t="shared" si="76"/>
        <v>4129.955510085626</v>
      </c>
      <c r="BJ255" s="1148"/>
      <c r="BK255" s="105" t="s">
        <v>2085</v>
      </c>
      <c r="BL255" s="105"/>
      <c r="BM255" s="127">
        <f>'3. PRECIOS Y COSTOS'!AT2400</f>
        <v>3073.4947449131969</v>
      </c>
      <c r="BN255" s="127">
        <f t="shared" si="77"/>
        <v>3174.9200714953322</v>
      </c>
      <c r="BO255" s="127">
        <f t="shared" si="78"/>
        <v>3273.3425937116872</v>
      </c>
      <c r="BP255" s="127">
        <f t="shared" si="79"/>
        <v>3374.8162141167491</v>
      </c>
      <c r="BQ255" s="127">
        <f t="shared" si="80"/>
        <v>3486.1851491826014</v>
      </c>
    </row>
    <row r="256" spans="2:69" x14ac:dyDescent="0.25">
      <c r="B256" s="1148"/>
      <c r="C256" s="105" t="s">
        <v>2030</v>
      </c>
      <c r="D256" s="576" t="s">
        <v>1824</v>
      </c>
      <c r="E256" s="127">
        <f>'3. PRECIOS Y COSTOS'!AT2202</f>
        <v>5019.9312249131972</v>
      </c>
      <c r="F256" s="127">
        <f t="shared" si="53"/>
        <v>5185.5889553353327</v>
      </c>
      <c r="G256" s="127">
        <f t="shared" si="54"/>
        <v>5346.3422129507271</v>
      </c>
      <c r="H256" s="127">
        <f t="shared" si="55"/>
        <v>5512.0788215521989</v>
      </c>
      <c r="I256" s="127">
        <f t="shared" si="56"/>
        <v>5693.9774226634208</v>
      </c>
      <c r="L256" s="1148"/>
      <c r="M256" s="105" t="s">
        <v>2033</v>
      </c>
      <c r="N256" s="579" t="s">
        <v>1824</v>
      </c>
      <c r="O256" s="127">
        <f>'3. PRECIOS Y COSTOS'!AS2232</f>
        <v>3567.2707449131972</v>
      </c>
      <c r="P256" s="127">
        <f t="shared" si="57"/>
        <v>3684.9906794953322</v>
      </c>
      <c r="Q256" s="127">
        <f t="shared" si="58"/>
        <v>3799.2253905596872</v>
      </c>
      <c r="R256" s="127">
        <f t="shared" si="59"/>
        <v>3917.0013776670371</v>
      </c>
      <c r="S256" s="127">
        <f t="shared" si="60"/>
        <v>4046.2624231300492</v>
      </c>
      <c r="V256" s="1148"/>
      <c r="W256" s="105" t="s">
        <v>2019</v>
      </c>
      <c r="X256" s="579" t="s">
        <v>1824</v>
      </c>
      <c r="Y256" s="127">
        <f>'3. PRECIOS Y COSTOS'!AL2268</f>
        <v>4242.3564489299279</v>
      </c>
      <c r="Z256" s="127">
        <f t="shared" si="61"/>
        <v>4382.354211744615</v>
      </c>
      <c r="AA256" s="127">
        <f t="shared" si="62"/>
        <v>4518.2071923086978</v>
      </c>
      <c r="AB256" s="127">
        <f t="shared" si="63"/>
        <v>4658.2716152702669</v>
      </c>
      <c r="AC256" s="127">
        <f t="shared" si="64"/>
        <v>4811.9945785741857</v>
      </c>
      <c r="AF256" s="1148"/>
      <c r="AG256" s="105" t="s">
        <v>2061</v>
      </c>
      <c r="AH256" s="105"/>
      <c r="AI256" s="127">
        <f>'3. PRECIOS Y COSTOS'!AT2298</f>
        <v>3395.3347449131966</v>
      </c>
      <c r="AJ256" s="127">
        <f t="shared" si="65"/>
        <v>3507.3807914953318</v>
      </c>
      <c r="AK256" s="127">
        <f t="shared" si="66"/>
        <v>3616.1095960316866</v>
      </c>
      <c r="AL256" s="127">
        <f t="shared" si="67"/>
        <v>3728.2089935086688</v>
      </c>
      <c r="AM256" s="127">
        <f t="shared" si="68"/>
        <v>3851.2398902944547</v>
      </c>
      <c r="AP256" s="1151"/>
      <c r="AQ256" s="105" t="s">
        <v>2021</v>
      </c>
      <c r="AR256" s="105"/>
      <c r="AS256" s="127">
        <f>'3. PRECIOS Y COSTOS'!AL2334</f>
        <v>3914.7276489299284</v>
      </c>
      <c r="AT256" s="127">
        <f t="shared" si="69"/>
        <v>4043.9136613446158</v>
      </c>
      <c r="AU256" s="127">
        <f t="shared" si="70"/>
        <v>4169.2749848462981</v>
      </c>
      <c r="AV256" s="127">
        <f t="shared" si="71"/>
        <v>4298.522509376533</v>
      </c>
      <c r="AW256" s="127">
        <f t="shared" si="72"/>
        <v>4440.3737521859584</v>
      </c>
      <c r="AZ256" s="1148"/>
      <c r="BA256" s="105" t="s">
        <v>2070</v>
      </c>
      <c r="BB256" s="105"/>
      <c r="BC256" s="127">
        <f>'3. PRECIOS Y COSTOS'!AS2368</f>
        <v>3395.3347449131966</v>
      </c>
      <c r="BD256" s="127">
        <f t="shared" si="73"/>
        <v>3507.3807914953318</v>
      </c>
      <c r="BE256" s="127">
        <f t="shared" si="74"/>
        <v>3616.1095960316866</v>
      </c>
      <c r="BF256" s="127">
        <f t="shared" si="75"/>
        <v>3728.2089935086688</v>
      </c>
      <c r="BG256" s="127">
        <f t="shared" si="76"/>
        <v>3851.2398902944547</v>
      </c>
      <c r="BJ256" s="1148"/>
      <c r="BK256" s="105" t="s">
        <v>2053</v>
      </c>
      <c r="BL256" s="105"/>
      <c r="BM256" s="127">
        <f>'3. PRECIOS Y COSTOS'!AS2401</f>
        <v>3325.3507449131971</v>
      </c>
      <c r="BN256" s="127">
        <f t="shared" si="77"/>
        <v>3435.0873194953324</v>
      </c>
      <c r="BO256" s="127">
        <f t="shared" si="78"/>
        <v>3541.5750263996874</v>
      </c>
      <c r="BP256" s="127">
        <f t="shared" si="79"/>
        <v>3651.3638522180772</v>
      </c>
      <c r="BQ256" s="127">
        <f t="shared" si="80"/>
        <v>3771.8588593412733</v>
      </c>
    </row>
    <row r="257" spans="2:70" x14ac:dyDescent="0.25">
      <c r="B257" s="1148"/>
      <c r="C257" s="105" t="s">
        <v>2031</v>
      </c>
      <c r="D257" s="576" t="s">
        <v>1824</v>
      </c>
      <c r="E257" s="127">
        <f>'3. PRECIOS Y COSTOS'!AS2203</f>
        <v>3258.3907449131971</v>
      </c>
      <c r="F257" s="127">
        <f t="shared" si="53"/>
        <v>3365.9176394953324</v>
      </c>
      <c r="G257" s="127">
        <f t="shared" si="54"/>
        <v>3470.2610863196874</v>
      </c>
      <c r="H257" s="127">
        <f t="shared" si="55"/>
        <v>3577.8391799955975</v>
      </c>
      <c r="I257" s="127">
        <f t="shared" si="56"/>
        <v>3695.9078729354519</v>
      </c>
      <c r="L257" s="1148"/>
      <c r="M257" s="105" t="s">
        <v>2034</v>
      </c>
      <c r="N257" s="579" t="s">
        <v>1824</v>
      </c>
      <c r="O257" s="127">
        <f>'3. PRECIOS Y COSTOS'!AT2232</f>
        <v>3567.2707449131972</v>
      </c>
      <c r="P257" s="127">
        <f t="shared" si="57"/>
        <v>3684.9906794953322</v>
      </c>
      <c r="Q257" s="127">
        <f t="shared" si="58"/>
        <v>3799.2253905596872</v>
      </c>
      <c r="R257" s="127">
        <f t="shared" si="59"/>
        <v>3917.0013776670371</v>
      </c>
      <c r="S257" s="127">
        <f t="shared" si="60"/>
        <v>4046.2624231300492</v>
      </c>
      <c r="V257" s="1148"/>
      <c r="W257" s="105" t="s">
        <v>2020</v>
      </c>
      <c r="X257" s="579" t="s">
        <v>1824</v>
      </c>
      <c r="Y257" s="127">
        <f>'3. PRECIOS Y COSTOS'!AS2268</f>
        <v>4088.4355449131967</v>
      </c>
      <c r="Z257" s="127">
        <f t="shared" si="61"/>
        <v>4223.3539178953315</v>
      </c>
      <c r="AA257" s="127">
        <f t="shared" si="62"/>
        <v>4354.2778893500863</v>
      </c>
      <c r="AB257" s="127">
        <f t="shared" si="63"/>
        <v>4489.2605039199389</v>
      </c>
      <c r="AC257" s="127">
        <f t="shared" si="64"/>
        <v>4637.4061005492968</v>
      </c>
      <c r="AF257" s="1148"/>
      <c r="AG257" s="105" t="s">
        <v>2087</v>
      </c>
      <c r="AI257" s="286">
        <f>'3. PRECIOS Y COSTOS'!AS2299</f>
        <v>3395.3347449131966</v>
      </c>
      <c r="AJ257" s="127">
        <f t="shared" si="65"/>
        <v>3507.3807914953318</v>
      </c>
      <c r="AK257" s="127">
        <f t="shared" si="66"/>
        <v>3616.1095960316866</v>
      </c>
      <c r="AL257" s="127">
        <f t="shared" si="67"/>
        <v>3728.2089935086688</v>
      </c>
      <c r="AM257" s="127">
        <f t="shared" si="68"/>
        <v>3851.2398902944547</v>
      </c>
      <c r="AP257" s="1151"/>
      <c r="AQ257" s="105" t="s">
        <v>2022</v>
      </c>
      <c r="AR257" s="105"/>
      <c r="AS257" s="127">
        <f>'3. PRECIOS Y COSTOS'!AS2334</f>
        <v>3760.8067449131968</v>
      </c>
      <c r="AT257" s="127">
        <f t="shared" si="69"/>
        <v>3884.9133674953318</v>
      </c>
      <c r="AU257" s="127">
        <f t="shared" si="70"/>
        <v>4005.3456818876866</v>
      </c>
      <c r="AV257" s="127">
        <f t="shared" si="71"/>
        <v>4129.5113980262049</v>
      </c>
      <c r="AW257" s="127">
        <f t="shared" si="72"/>
        <v>4265.7852741610695</v>
      </c>
      <c r="AZ257" s="1148"/>
      <c r="BA257" s="105" t="s">
        <v>2071</v>
      </c>
      <c r="BB257" s="105"/>
      <c r="BC257" s="127">
        <f>'3. PRECIOS Y COSTOS'!AT2368</f>
        <v>3395.3347449131966</v>
      </c>
      <c r="BD257" s="127">
        <f t="shared" si="73"/>
        <v>3507.3807914953318</v>
      </c>
      <c r="BE257" s="127">
        <f t="shared" si="74"/>
        <v>3616.1095960316866</v>
      </c>
      <c r="BF257" s="127">
        <f t="shared" si="75"/>
        <v>3728.2089935086688</v>
      </c>
      <c r="BG257" s="127">
        <f t="shared" si="76"/>
        <v>3851.2398902944547</v>
      </c>
      <c r="BJ257" s="1148"/>
      <c r="BK257" s="105" t="s">
        <v>2054</v>
      </c>
      <c r="BL257" s="105"/>
      <c r="BM257" s="127">
        <f>'3. PRECIOS Y COSTOS'!AT2401</f>
        <v>3325.3507449131971</v>
      </c>
      <c r="BN257" s="127">
        <f t="shared" si="77"/>
        <v>3435.0873194953324</v>
      </c>
      <c r="BO257" s="127">
        <f t="shared" si="78"/>
        <v>3541.5750263996874</v>
      </c>
      <c r="BP257" s="127">
        <f t="shared" si="79"/>
        <v>3651.3638522180772</v>
      </c>
      <c r="BQ257" s="127">
        <f t="shared" si="80"/>
        <v>3771.8588593412733</v>
      </c>
    </row>
    <row r="258" spans="2:70" x14ac:dyDescent="0.25">
      <c r="B258" s="1148"/>
      <c r="C258" s="105" t="s">
        <v>2032</v>
      </c>
      <c r="D258" s="576" t="s">
        <v>1824</v>
      </c>
      <c r="E258" s="127">
        <f>'3. PRECIOS Y COSTOS'!AT2203</f>
        <v>3258.3907449131971</v>
      </c>
      <c r="F258" s="127">
        <f t="shared" si="53"/>
        <v>3365.9176394953324</v>
      </c>
      <c r="G258" s="127">
        <f t="shared" si="54"/>
        <v>3470.2610863196874</v>
      </c>
      <c r="H258" s="127">
        <f t="shared" si="55"/>
        <v>3577.8391799955975</v>
      </c>
      <c r="I258" s="127">
        <f t="shared" si="56"/>
        <v>3695.9078729354519</v>
      </c>
      <c r="L258" s="1148"/>
      <c r="M258" s="105" t="s">
        <v>2027</v>
      </c>
      <c r="N258" s="579" t="s">
        <v>1824</v>
      </c>
      <c r="O258" s="127">
        <f>'3. PRECIOS Y COSTOS'!AS2233</f>
        <v>3641.0563449131969</v>
      </c>
      <c r="P258" s="127">
        <f t="shared" si="57"/>
        <v>3761.2112042953322</v>
      </c>
      <c r="Q258" s="127">
        <f t="shared" si="58"/>
        <v>3877.8087516284872</v>
      </c>
      <c r="R258" s="127">
        <f t="shared" si="59"/>
        <v>3998.0208229289701</v>
      </c>
      <c r="S258" s="127">
        <f t="shared" si="60"/>
        <v>4129.955510085626</v>
      </c>
      <c r="V258" s="1148"/>
      <c r="W258" s="105" t="s">
        <v>2033</v>
      </c>
      <c r="X258" s="579" t="s">
        <v>1824</v>
      </c>
      <c r="Y258" s="127">
        <f>'3. PRECIOS Y COSTOS'!AS2269</f>
        <v>3567.2707449131972</v>
      </c>
      <c r="Z258" s="127">
        <f t="shared" si="61"/>
        <v>3684.9906794953322</v>
      </c>
      <c r="AA258" s="127">
        <f t="shared" si="62"/>
        <v>3799.2253905596872</v>
      </c>
      <c r="AB258" s="127">
        <f t="shared" si="63"/>
        <v>3917.0013776670371</v>
      </c>
      <c r="AC258" s="127">
        <f t="shared" si="64"/>
        <v>4046.2624231300492</v>
      </c>
      <c r="AF258" s="1148"/>
      <c r="AG258" s="105" t="s">
        <v>2088</v>
      </c>
      <c r="AI258" s="286">
        <f>'3. PRECIOS Y COSTOS'!AT2299</f>
        <v>3395.3347449131966</v>
      </c>
      <c r="AJ258" s="127">
        <f t="shared" si="65"/>
        <v>3507.3807914953318</v>
      </c>
      <c r="AK258" s="127">
        <f t="shared" si="66"/>
        <v>3616.1095960316866</v>
      </c>
      <c r="AL258" s="127">
        <f t="shared" si="67"/>
        <v>3728.2089935086688</v>
      </c>
      <c r="AM258" s="127">
        <f t="shared" si="68"/>
        <v>3851.2398902944547</v>
      </c>
      <c r="AP258" s="1151"/>
      <c r="AQ258" s="105" t="s">
        <v>2053</v>
      </c>
      <c r="AR258" s="105"/>
      <c r="AS258" s="127">
        <f>'3. PRECIOS Y COSTOS'!AS2335</f>
        <v>3325.3507449131971</v>
      </c>
      <c r="AT258" s="127">
        <f t="shared" si="69"/>
        <v>3435.0873194953324</v>
      </c>
      <c r="AU258" s="127">
        <f t="shared" si="70"/>
        <v>3541.5750263996874</v>
      </c>
      <c r="AV258" s="127">
        <f t="shared" si="71"/>
        <v>3651.3638522180772</v>
      </c>
      <c r="AW258" s="127">
        <f t="shared" si="72"/>
        <v>3771.8588593412733</v>
      </c>
      <c r="AZ258" s="1148"/>
      <c r="BA258" s="105" t="s">
        <v>2074</v>
      </c>
      <c r="BB258" s="105"/>
      <c r="BC258" s="127">
        <f>'3. PRECIOS Y COSTOS'!AS2369</f>
        <v>3567.2707449131972</v>
      </c>
      <c r="BD258" s="127">
        <f t="shared" si="73"/>
        <v>3684.9906794953322</v>
      </c>
      <c r="BE258" s="127">
        <f t="shared" si="74"/>
        <v>3799.2253905596872</v>
      </c>
      <c r="BF258" s="127">
        <f t="shared" si="75"/>
        <v>3917.0013776670371</v>
      </c>
      <c r="BG258" s="127">
        <f t="shared" si="76"/>
        <v>4046.2624231300492</v>
      </c>
      <c r="BJ258" s="1148"/>
      <c r="BK258" s="105" t="s">
        <v>2068</v>
      </c>
      <c r="BL258" s="105"/>
      <c r="BM258" s="127">
        <f>'3. PRECIOS Y COSTOS'!AL2402</f>
        <v>3582.9516489299285</v>
      </c>
      <c r="BN258" s="127">
        <f t="shared" si="77"/>
        <v>3701.1890533446158</v>
      </c>
      <c r="BO258" s="127">
        <f t="shared" si="78"/>
        <v>3815.9259139982987</v>
      </c>
      <c r="BP258" s="127">
        <f t="shared" si="79"/>
        <v>3934.2196173322454</v>
      </c>
      <c r="BQ258" s="127">
        <f t="shared" si="80"/>
        <v>4064.0488647042093</v>
      </c>
    </row>
    <row r="259" spans="2:70" x14ac:dyDescent="0.25">
      <c r="B259" s="1148"/>
      <c r="C259" s="105" t="s">
        <v>2033</v>
      </c>
      <c r="D259" s="576" t="s">
        <v>1824</v>
      </c>
      <c r="E259" s="127">
        <f>'3. PRECIOS Y COSTOS'!AS2204</f>
        <v>3567.2707449131972</v>
      </c>
      <c r="F259" s="127">
        <f t="shared" si="53"/>
        <v>3684.9906794953322</v>
      </c>
      <c r="G259" s="127">
        <f t="shared" si="54"/>
        <v>3799.2253905596872</v>
      </c>
      <c r="H259" s="127">
        <f t="shared" si="55"/>
        <v>3917.0013776670371</v>
      </c>
      <c r="I259" s="127">
        <f t="shared" si="56"/>
        <v>4046.2624231300492</v>
      </c>
      <c r="L259" s="1148"/>
      <c r="M259" s="105" t="s">
        <v>2021</v>
      </c>
      <c r="N259" s="105"/>
      <c r="O259" s="127">
        <f>'3. PRECIOS Y COSTOS'!AL2234</f>
        <v>3914.7276489299284</v>
      </c>
      <c r="P259" s="127">
        <f t="shared" si="57"/>
        <v>4043.9136613446158</v>
      </c>
      <c r="Q259" s="127">
        <f t="shared" si="58"/>
        <v>4169.2749848462981</v>
      </c>
      <c r="R259" s="127">
        <f t="shared" si="59"/>
        <v>4298.522509376533</v>
      </c>
      <c r="S259" s="127">
        <f t="shared" si="60"/>
        <v>4440.3737521859584</v>
      </c>
      <c r="V259" s="1148"/>
      <c r="W259" s="105" t="s">
        <v>2034</v>
      </c>
      <c r="X259" s="579" t="s">
        <v>1824</v>
      </c>
      <c r="Y259" s="127">
        <f>'3. PRECIOS Y COSTOS'!AT2269</f>
        <v>3567.2707449131972</v>
      </c>
      <c r="Z259" s="127">
        <f t="shared" si="61"/>
        <v>3684.9906794953322</v>
      </c>
      <c r="AA259" s="127">
        <f t="shared" si="62"/>
        <v>3799.2253905596872</v>
      </c>
      <c r="AB259" s="127">
        <f t="shared" si="63"/>
        <v>3917.0013776670371</v>
      </c>
      <c r="AC259" s="127">
        <f t="shared" si="64"/>
        <v>4046.2624231300492</v>
      </c>
      <c r="AF259" s="1148"/>
      <c r="AG259" s="105" t="s">
        <v>2025</v>
      </c>
      <c r="AH259" s="105"/>
      <c r="AI259" s="127">
        <f>'3. PRECIOS Y COSTOS'!AS2300</f>
        <v>3322.0675449131973</v>
      </c>
      <c r="AJ259" s="127">
        <f t="shared" si="65"/>
        <v>3431.6957738953324</v>
      </c>
      <c r="AK259" s="127">
        <f t="shared" si="66"/>
        <v>3538.0783428860873</v>
      </c>
      <c r="AL259" s="127">
        <f t="shared" si="67"/>
        <v>3647.7587715155555</v>
      </c>
      <c r="AM259" s="127">
        <f t="shared" si="68"/>
        <v>3768.1348109755686</v>
      </c>
      <c r="AP259" s="1151"/>
      <c r="AQ259" s="105" t="s">
        <v>2054</v>
      </c>
      <c r="AR259" s="105"/>
      <c r="AS259" s="127">
        <f>'3. PRECIOS Y COSTOS'!AT2335</f>
        <v>3325.3507449131971</v>
      </c>
      <c r="AT259" s="127">
        <f t="shared" si="69"/>
        <v>3435.0873194953324</v>
      </c>
      <c r="AU259" s="127">
        <f t="shared" si="70"/>
        <v>3541.5750263996874</v>
      </c>
      <c r="AV259" s="127">
        <f t="shared" si="71"/>
        <v>3651.3638522180772</v>
      </c>
      <c r="AW259" s="127">
        <f t="shared" si="72"/>
        <v>3771.8588593412733</v>
      </c>
      <c r="AZ259" s="1148"/>
      <c r="BA259" s="105" t="s">
        <v>2075</v>
      </c>
      <c r="BB259" s="105"/>
      <c r="BC259" s="127">
        <f>'3. PRECIOS Y COSTOS'!AT2369</f>
        <v>3567.2707449131972</v>
      </c>
      <c r="BD259" s="127">
        <f t="shared" si="73"/>
        <v>3684.9906794953322</v>
      </c>
      <c r="BE259" s="127">
        <f t="shared" si="74"/>
        <v>3799.2253905596872</v>
      </c>
      <c r="BF259" s="127">
        <f t="shared" si="75"/>
        <v>3917.0013776670371</v>
      </c>
      <c r="BG259" s="127">
        <f t="shared" si="76"/>
        <v>4046.2624231300492</v>
      </c>
      <c r="BJ259" s="1148"/>
      <c r="BK259" s="105" t="s">
        <v>2048</v>
      </c>
      <c r="BL259" s="105"/>
      <c r="BM259" s="127">
        <f>'3. PRECIOS Y COSTOS'!AS2402</f>
        <v>3429.0307449131969</v>
      </c>
      <c r="BN259" s="127">
        <f t="shared" si="77"/>
        <v>3542.1887594953323</v>
      </c>
      <c r="BO259" s="127">
        <f t="shared" si="78"/>
        <v>3651.9966110396872</v>
      </c>
      <c r="BP259" s="127">
        <f t="shared" si="79"/>
        <v>3765.2085059819174</v>
      </c>
      <c r="BQ259" s="127">
        <f t="shared" si="80"/>
        <v>3889.4603866793204</v>
      </c>
    </row>
    <row r="260" spans="2:70" x14ac:dyDescent="0.25">
      <c r="B260" s="1148"/>
      <c r="C260" s="105" t="s">
        <v>2034</v>
      </c>
      <c r="D260" s="576" t="s">
        <v>1824</v>
      </c>
      <c r="E260" s="127">
        <f>'3. PRECIOS Y COSTOS'!AT2204</f>
        <v>3567.2707449131972</v>
      </c>
      <c r="F260" s="127">
        <f t="shared" si="53"/>
        <v>3684.9906794953322</v>
      </c>
      <c r="G260" s="127">
        <f t="shared" si="54"/>
        <v>3799.2253905596872</v>
      </c>
      <c r="H260" s="127">
        <f t="shared" si="55"/>
        <v>3917.0013776670371</v>
      </c>
      <c r="I260" s="127">
        <f t="shared" si="56"/>
        <v>4046.2624231300492</v>
      </c>
      <c r="L260" s="1148"/>
      <c r="M260" s="105" t="s">
        <v>2022</v>
      </c>
      <c r="N260" s="105"/>
      <c r="O260" s="127">
        <f>'3. PRECIOS Y COSTOS'!AS2234</f>
        <v>3760.8067449131968</v>
      </c>
      <c r="P260" s="127">
        <f t="shared" si="57"/>
        <v>3884.9133674953318</v>
      </c>
      <c r="Q260" s="127">
        <f t="shared" si="58"/>
        <v>4005.3456818876866</v>
      </c>
      <c r="R260" s="127">
        <f t="shared" si="59"/>
        <v>4129.5113980262049</v>
      </c>
      <c r="S260" s="127">
        <f t="shared" si="60"/>
        <v>4265.7852741610695</v>
      </c>
      <c r="V260" s="1148"/>
      <c r="W260" s="105" t="s">
        <v>2025</v>
      </c>
      <c r="X260" s="579" t="s">
        <v>1824</v>
      </c>
      <c r="Y260" s="127">
        <f>'3. PRECIOS Y COSTOS'!AS2270</f>
        <v>3322.0675449131973</v>
      </c>
      <c r="Z260" s="127">
        <f t="shared" si="61"/>
        <v>3431.6957738953324</v>
      </c>
      <c r="AA260" s="127">
        <f t="shared" si="62"/>
        <v>3538.0783428860873</v>
      </c>
      <c r="AB260" s="127">
        <f t="shared" si="63"/>
        <v>3647.7587715155555</v>
      </c>
      <c r="AC260" s="127">
        <f t="shared" si="64"/>
        <v>3768.1348109755686</v>
      </c>
      <c r="AF260" s="1148"/>
      <c r="AG260" s="105" t="s">
        <v>2067</v>
      </c>
      <c r="AH260" s="105"/>
      <c r="AI260" s="127">
        <f>'3. PRECIOS Y COSTOS'!AT2300</f>
        <v>3322.0675449131973</v>
      </c>
      <c r="AJ260" s="127">
        <f t="shared" si="65"/>
        <v>3431.6957738953324</v>
      </c>
      <c r="AK260" s="127">
        <f t="shared" si="66"/>
        <v>3538.0783428860873</v>
      </c>
      <c r="AL260" s="127">
        <f t="shared" si="67"/>
        <v>3647.7587715155555</v>
      </c>
      <c r="AM260" s="127">
        <f t="shared" si="68"/>
        <v>3768.1348109755686</v>
      </c>
      <c r="AP260" s="1151"/>
      <c r="AQ260" s="105" t="s">
        <v>2023</v>
      </c>
      <c r="AR260" s="579" t="s">
        <v>1824</v>
      </c>
      <c r="AS260" s="127">
        <f>'3. PRECIOS Y COSTOS'!AS2336</f>
        <v>3705.4416249131968</v>
      </c>
      <c r="AT260" s="127">
        <f t="shared" si="69"/>
        <v>3827.721198535332</v>
      </c>
      <c r="AU260" s="127">
        <f t="shared" si="70"/>
        <v>3946.380555689927</v>
      </c>
      <c r="AV260" s="127">
        <f t="shared" si="71"/>
        <v>4068.7183529163144</v>
      </c>
      <c r="AW260" s="127">
        <f t="shared" si="72"/>
        <v>4202.9860585625529</v>
      </c>
      <c r="AZ260" s="1148"/>
      <c r="BA260" s="105" t="s">
        <v>2089</v>
      </c>
      <c r="BB260" s="105"/>
      <c r="BC260" s="127">
        <f>'3. PRECIOS Y COSTOS'!AS2370</f>
        <v>3622.3939449131967</v>
      </c>
      <c r="BD260" s="127">
        <f t="shared" si="73"/>
        <v>3741.9329450953319</v>
      </c>
      <c r="BE260" s="127">
        <f t="shared" si="74"/>
        <v>3857.932866393287</v>
      </c>
      <c r="BF260" s="127">
        <f t="shared" si="75"/>
        <v>3977.5287852514784</v>
      </c>
      <c r="BG260" s="127">
        <f t="shared" si="76"/>
        <v>4108.7872351647766</v>
      </c>
      <c r="BJ260" s="1148"/>
      <c r="BK260" s="105" t="s">
        <v>2019</v>
      </c>
      <c r="BL260" s="105"/>
      <c r="BM260" s="127">
        <f>'3. PRECIOS Y COSTOS'!AL2403</f>
        <v>4242.3564489299279</v>
      </c>
      <c r="BN260" s="127">
        <f t="shared" si="77"/>
        <v>4382.354211744615</v>
      </c>
      <c r="BO260" s="127">
        <f t="shared" si="78"/>
        <v>4518.2071923086978</v>
      </c>
      <c r="BP260" s="127">
        <f t="shared" si="79"/>
        <v>4658.2716152702669</v>
      </c>
      <c r="BQ260" s="127">
        <f t="shared" si="80"/>
        <v>4811.9945785741857</v>
      </c>
    </row>
    <row r="261" spans="2:70" x14ac:dyDescent="0.25">
      <c r="L261" s="1148"/>
      <c r="M261" s="105" t="s">
        <v>2051</v>
      </c>
      <c r="N261" s="105"/>
      <c r="O261" s="127">
        <f>'3. PRECIOS Y COSTOS'!AS2235</f>
        <v>4265.2963449131967</v>
      </c>
      <c r="P261" s="127">
        <f t="shared" si="57"/>
        <v>4406.0511242953316</v>
      </c>
      <c r="Q261" s="127">
        <f t="shared" si="58"/>
        <v>4542.6387091484867</v>
      </c>
      <c r="R261" s="127">
        <f t="shared" si="59"/>
        <v>4683.4605091320891</v>
      </c>
      <c r="S261" s="127">
        <f t="shared" si="60"/>
        <v>4838.0147059334477</v>
      </c>
      <c r="V261" s="1148"/>
      <c r="W261" s="105" t="s">
        <v>2026</v>
      </c>
      <c r="X261" s="579" t="s">
        <v>1824</v>
      </c>
      <c r="Y261" s="127">
        <f>'3. PRECIOS Y COSTOS'!AT2270</f>
        <v>3322.0675449131973</v>
      </c>
      <c r="Z261" s="127">
        <f t="shared" si="61"/>
        <v>3431.6957738953324</v>
      </c>
      <c r="AA261" s="127">
        <f t="shared" si="62"/>
        <v>3538.0783428860873</v>
      </c>
      <c r="AB261" s="127">
        <f t="shared" si="63"/>
        <v>3647.7587715155555</v>
      </c>
      <c r="AC261" s="127">
        <f t="shared" si="64"/>
        <v>3768.1348109755686</v>
      </c>
      <c r="AF261" s="1148"/>
      <c r="AG261" s="105" t="s">
        <v>2068</v>
      </c>
      <c r="AH261" s="579" t="s">
        <v>1824</v>
      </c>
      <c r="AI261" s="127">
        <f>'3. PRECIOS Y COSTOS'!AL2301</f>
        <v>4549.2492489299275</v>
      </c>
      <c r="AJ261" s="127">
        <f t="shared" si="65"/>
        <v>4699.3744741446144</v>
      </c>
      <c r="AK261" s="127">
        <f t="shared" si="66"/>
        <v>4845.0550828430969</v>
      </c>
      <c r="AL261" s="127">
        <f t="shared" si="67"/>
        <v>4995.2517904112328</v>
      </c>
      <c r="AM261" s="127">
        <f t="shared" si="68"/>
        <v>5160.0950994948034</v>
      </c>
      <c r="AP261" s="1151"/>
      <c r="AQ261" s="105" t="s">
        <v>2024</v>
      </c>
      <c r="AR261" s="579" t="s">
        <v>1824</v>
      </c>
      <c r="AS261" s="127">
        <f>'3. PRECIOS Y COSTOS'!AT2336</f>
        <v>3705.4416249131968</v>
      </c>
      <c r="AT261" s="127">
        <f t="shared" si="69"/>
        <v>3827.721198535332</v>
      </c>
      <c r="AU261" s="127">
        <f t="shared" si="70"/>
        <v>3946.380555689927</v>
      </c>
      <c r="AV261" s="127">
        <f t="shared" si="71"/>
        <v>4068.7183529163144</v>
      </c>
      <c r="AW261" s="127">
        <f t="shared" si="72"/>
        <v>4202.9860585625529</v>
      </c>
      <c r="AZ261" s="1148"/>
      <c r="BA261" s="105" t="s">
        <v>2080</v>
      </c>
      <c r="BB261" s="105"/>
      <c r="BC261" s="127">
        <f>'3. PRECIOS Y COSTOS'!AT2370</f>
        <v>3622.3939449131967</v>
      </c>
      <c r="BD261" s="127">
        <f t="shared" si="73"/>
        <v>3741.9329450953319</v>
      </c>
      <c r="BE261" s="127">
        <f t="shared" si="74"/>
        <v>3857.932866393287</v>
      </c>
      <c r="BF261" s="127">
        <f t="shared" si="75"/>
        <v>3977.5287852514784</v>
      </c>
      <c r="BG261" s="127">
        <f t="shared" si="76"/>
        <v>4108.7872351647766</v>
      </c>
      <c r="BJ261" s="1148"/>
      <c r="BK261" s="105" t="s">
        <v>2020</v>
      </c>
      <c r="BL261" s="105"/>
      <c r="BM261" s="127">
        <f>'3. PRECIOS Y COSTOS'!AS2403</f>
        <v>4088.4355449131967</v>
      </c>
      <c r="BN261" s="127">
        <f t="shared" si="77"/>
        <v>4223.3539178953315</v>
      </c>
      <c r="BO261" s="127">
        <f t="shared" si="78"/>
        <v>4354.2778893500863</v>
      </c>
      <c r="BP261" s="127">
        <f t="shared" si="79"/>
        <v>4489.2605039199389</v>
      </c>
      <c r="BQ261" s="127">
        <f t="shared" si="80"/>
        <v>4637.4061005492968</v>
      </c>
    </row>
    <row r="262" spans="2:70" x14ac:dyDescent="0.25">
      <c r="L262" s="1148"/>
      <c r="M262" s="105" t="s">
        <v>2052</v>
      </c>
      <c r="N262" s="105"/>
      <c r="O262" s="127">
        <f>'3. PRECIOS Y COSTOS'!AT2235</f>
        <v>4265.2963449131967</v>
      </c>
      <c r="P262" s="127">
        <f t="shared" si="57"/>
        <v>4406.0511242953316</v>
      </c>
      <c r="Q262" s="127">
        <f t="shared" si="58"/>
        <v>4542.6387091484867</v>
      </c>
      <c r="R262" s="127">
        <f t="shared" si="59"/>
        <v>4683.4605091320891</v>
      </c>
      <c r="S262" s="127">
        <f t="shared" si="60"/>
        <v>4838.0147059334477</v>
      </c>
      <c r="V262" s="1148"/>
      <c r="W262" s="105" t="s">
        <v>2027</v>
      </c>
      <c r="X262" s="579" t="s">
        <v>1824</v>
      </c>
      <c r="Y262" s="127">
        <f>'3. PRECIOS Y COSTOS'!AS2271</f>
        <v>3641.0563449131969</v>
      </c>
      <c r="Z262" s="127">
        <f t="shared" si="61"/>
        <v>3761.2112042953322</v>
      </c>
      <c r="AA262" s="127">
        <f t="shared" si="62"/>
        <v>3877.8087516284872</v>
      </c>
      <c r="AB262" s="127">
        <f t="shared" si="63"/>
        <v>3998.0208229289701</v>
      </c>
      <c r="AC262" s="127">
        <f t="shared" si="64"/>
        <v>4129.955510085626</v>
      </c>
      <c r="AF262" s="1148"/>
      <c r="AG262" s="105" t="s">
        <v>2048</v>
      </c>
      <c r="AH262" s="579" t="s">
        <v>1824</v>
      </c>
      <c r="AI262" s="127">
        <f>'3. PRECIOS Y COSTOS'!AS2301</f>
        <v>4395.3283449131968</v>
      </c>
      <c r="AJ262" s="127">
        <f t="shared" si="65"/>
        <v>4540.3741802953318</v>
      </c>
      <c r="AK262" s="127">
        <f t="shared" si="66"/>
        <v>4681.1257798844863</v>
      </c>
      <c r="AL262" s="127">
        <f t="shared" si="67"/>
        <v>4826.2406790609048</v>
      </c>
      <c r="AM262" s="127">
        <f t="shared" si="68"/>
        <v>4985.5066214699145</v>
      </c>
      <c r="AP262" s="1151"/>
      <c r="AQ262" s="105" t="s">
        <v>2025</v>
      </c>
      <c r="AR262" s="105"/>
      <c r="AS262" s="127">
        <f>'3. PRECIOS Y COSTOS'!AS2337</f>
        <v>3322.0675449131973</v>
      </c>
      <c r="AT262" s="127">
        <f t="shared" si="69"/>
        <v>3431.6957738953324</v>
      </c>
      <c r="AU262" s="127">
        <f t="shared" si="70"/>
        <v>3538.0783428860873</v>
      </c>
      <c r="AV262" s="127">
        <f t="shared" si="71"/>
        <v>3647.7587715155555</v>
      </c>
      <c r="AW262" s="127">
        <f t="shared" si="72"/>
        <v>3768.1348109755686</v>
      </c>
      <c r="AZ262" s="1148"/>
      <c r="BA262" s="105" t="s">
        <v>2021</v>
      </c>
      <c r="BB262" s="105"/>
      <c r="BC262" s="127">
        <f>'3. PRECIOS Y COSTOS'!AL2371</f>
        <v>3914.7276489299284</v>
      </c>
      <c r="BD262" s="127">
        <f t="shared" si="73"/>
        <v>4043.9136613446158</v>
      </c>
      <c r="BE262" s="127">
        <f t="shared" si="74"/>
        <v>4169.2749848462981</v>
      </c>
      <c r="BF262" s="127">
        <f t="shared" si="75"/>
        <v>4298.522509376533</v>
      </c>
      <c r="BG262" s="127">
        <f t="shared" si="76"/>
        <v>4440.3737521859584</v>
      </c>
      <c r="BJ262" s="1148"/>
      <c r="BK262" s="105" t="s">
        <v>2031</v>
      </c>
      <c r="BL262" s="105"/>
      <c r="BM262" s="127">
        <f>'3. PRECIOS Y COSTOS'!AS2404</f>
        <v>3258.3907449131971</v>
      </c>
      <c r="BN262" s="127">
        <f t="shared" si="77"/>
        <v>3365.9176394953324</v>
      </c>
      <c r="BO262" s="127">
        <f t="shared" si="78"/>
        <v>3470.2610863196874</v>
      </c>
      <c r="BP262" s="127">
        <f t="shared" si="79"/>
        <v>3577.8391799955975</v>
      </c>
      <c r="BQ262" s="127">
        <f t="shared" si="80"/>
        <v>3695.9078729354519</v>
      </c>
    </row>
    <row r="263" spans="2:70" x14ac:dyDescent="0.25">
      <c r="L263" s="1148"/>
      <c r="M263" s="105" t="s">
        <v>2053</v>
      </c>
      <c r="N263" s="105"/>
      <c r="O263" s="127">
        <f>'3. PRECIOS Y COSTOS'!AS2236</f>
        <v>3325.3507449131971</v>
      </c>
      <c r="P263" s="127">
        <f t="shared" si="57"/>
        <v>3435.0873194953324</v>
      </c>
      <c r="Q263" s="127">
        <f t="shared" si="58"/>
        <v>3541.5750263996874</v>
      </c>
      <c r="R263" s="127">
        <f t="shared" si="59"/>
        <v>3651.3638522180772</v>
      </c>
      <c r="S263" s="127">
        <f t="shared" si="60"/>
        <v>3771.8588593412733</v>
      </c>
      <c r="V263" s="586"/>
      <c r="W263" s="30"/>
      <c r="X263" s="104"/>
      <c r="Y263" s="30"/>
      <c r="Z263" s="30"/>
      <c r="AA263" s="30"/>
      <c r="AB263" s="30"/>
      <c r="AC263" s="30"/>
      <c r="AD263" s="30"/>
      <c r="AF263" s="1148"/>
      <c r="AG263" s="105" t="s">
        <v>2069</v>
      </c>
      <c r="AH263" s="579" t="s">
        <v>1824</v>
      </c>
      <c r="AI263" s="127">
        <f>'3. PRECIOS Y COSTOS'!AS2302</f>
        <v>3641.0563449131969</v>
      </c>
      <c r="AJ263" s="127">
        <f t="shared" si="65"/>
        <v>3761.2112042953322</v>
      </c>
      <c r="AK263" s="127">
        <f t="shared" si="66"/>
        <v>3877.8087516284872</v>
      </c>
      <c r="AL263" s="127">
        <f t="shared" si="67"/>
        <v>3998.0208229289701</v>
      </c>
      <c r="AM263" s="127">
        <f t="shared" si="68"/>
        <v>4129.955510085626</v>
      </c>
      <c r="AP263" s="1151"/>
      <c r="AQ263" s="105" t="s">
        <v>2026</v>
      </c>
      <c r="AR263" s="105"/>
      <c r="AS263" s="127">
        <f>'3. PRECIOS Y COSTOS'!AT2337</f>
        <v>3322.0675449131973</v>
      </c>
      <c r="AT263" s="127">
        <f t="shared" si="69"/>
        <v>3431.6957738953324</v>
      </c>
      <c r="AU263" s="127">
        <f t="shared" si="70"/>
        <v>3538.0783428860873</v>
      </c>
      <c r="AV263" s="127">
        <f t="shared" si="71"/>
        <v>3647.7587715155555</v>
      </c>
      <c r="AW263" s="127">
        <f t="shared" si="72"/>
        <v>3768.1348109755686</v>
      </c>
      <c r="AZ263" s="1148"/>
      <c r="BA263" s="105" t="s">
        <v>2022</v>
      </c>
      <c r="BB263" s="105"/>
      <c r="BC263" s="127">
        <f>'3. PRECIOS Y COSTOS'!AS2371</f>
        <v>3760.8067449131968</v>
      </c>
      <c r="BD263" s="127">
        <f t="shared" si="73"/>
        <v>3884.9133674953318</v>
      </c>
      <c r="BE263" s="127">
        <f t="shared" si="74"/>
        <v>4005.3456818876866</v>
      </c>
      <c r="BF263" s="127">
        <f t="shared" si="75"/>
        <v>4129.5113980262049</v>
      </c>
      <c r="BG263" s="127">
        <f t="shared" si="76"/>
        <v>4265.7852741610695</v>
      </c>
      <c r="BJ263" s="1148"/>
      <c r="BK263" s="105" t="s">
        <v>2032</v>
      </c>
      <c r="BL263" s="105"/>
      <c r="BM263" s="127">
        <f>'3. PRECIOS Y COSTOS'!AT2404</f>
        <v>3258.3907449131971</v>
      </c>
      <c r="BN263" s="127">
        <f t="shared" si="77"/>
        <v>3365.9176394953324</v>
      </c>
      <c r="BO263" s="127">
        <f t="shared" si="78"/>
        <v>3470.2610863196874</v>
      </c>
      <c r="BP263" s="127">
        <f t="shared" si="79"/>
        <v>3577.8391799955975</v>
      </c>
      <c r="BQ263" s="127">
        <f t="shared" si="80"/>
        <v>3695.9078729354519</v>
      </c>
    </row>
    <row r="264" spans="2:70" x14ac:dyDescent="0.25">
      <c r="L264" s="1148"/>
      <c r="M264" s="105" t="s">
        <v>2054</v>
      </c>
      <c r="N264" s="105"/>
      <c r="O264" s="127">
        <f>'3. PRECIOS Y COSTOS'!AT2236</f>
        <v>3325.3507449131971</v>
      </c>
      <c r="P264" s="127">
        <f t="shared" si="57"/>
        <v>3435.0873194953324</v>
      </c>
      <c r="Q264" s="127">
        <f t="shared" si="58"/>
        <v>3541.5750263996874</v>
      </c>
      <c r="R264" s="127">
        <f t="shared" si="59"/>
        <v>3651.3638522180772</v>
      </c>
      <c r="S264" s="127">
        <f t="shared" si="60"/>
        <v>3771.8588593412733</v>
      </c>
      <c r="V264" s="586"/>
      <c r="W264" s="30"/>
      <c r="X264" s="104"/>
      <c r="Y264" s="30"/>
      <c r="Z264" s="30"/>
      <c r="AA264" s="30"/>
      <c r="AB264" s="30"/>
      <c r="AC264" s="30"/>
      <c r="AD264" s="30"/>
      <c r="AF264" s="1148"/>
      <c r="AG264" s="105" t="s">
        <v>2070</v>
      </c>
      <c r="AH264" s="105"/>
      <c r="AI264" s="127">
        <f>'3. PRECIOS Y COSTOS'!AS2303</f>
        <v>3395.3347449131966</v>
      </c>
      <c r="AJ264" s="127">
        <f t="shared" si="65"/>
        <v>3507.3807914953318</v>
      </c>
      <c r="AK264" s="127">
        <f t="shared" si="66"/>
        <v>3616.1095960316866</v>
      </c>
      <c r="AL264" s="127">
        <f t="shared" si="67"/>
        <v>3728.2089935086688</v>
      </c>
      <c r="AM264" s="127">
        <f t="shared" si="68"/>
        <v>3851.2398902944547</v>
      </c>
      <c r="AP264" s="1151"/>
      <c r="AQ264" s="105" t="s">
        <v>2069</v>
      </c>
      <c r="AR264" s="579" t="s">
        <v>1824</v>
      </c>
      <c r="AS264" s="127">
        <f>'3. PRECIOS Y COSTOS'!AS2338</f>
        <v>3641.0563449131969</v>
      </c>
      <c r="AT264" s="127">
        <f t="shared" si="69"/>
        <v>3761.2112042953322</v>
      </c>
      <c r="AU264" s="127">
        <f t="shared" si="70"/>
        <v>3877.8087516284872</v>
      </c>
      <c r="AV264" s="127">
        <f t="shared" si="71"/>
        <v>3998.0208229289701</v>
      </c>
      <c r="AW264" s="127">
        <f t="shared" si="72"/>
        <v>4129.955510085626</v>
      </c>
      <c r="AZ264" s="1148"/>
      <c r="BA264" s="105" t="s">
        <v>2019</v>
      </c>
      <c r="BB264" s="105"/>
      <c r="BC264" s="127">
        <f>'3. PRECIOS Y COSTOS'!AL2372</f>
        <v>4242.3564489299279</v>
      </c>
      <c r="BD264" s="127">
        <f t="shared" si="73"/>
        <v>4382.354211744615</v>
      </c>
      <c r="BE264" s="127">
        <f t="shared" si="74"/>
        <v>4518.2071923086978</v>
      </c>
      <c r="BF264" s="127">
        <f t="shared" si="75"/>
        <v>4658.2716152702669</v>
      </c>
      <c r="BG264" s="127">
        <f t="shared" si="76"/>
        <v>4811.9945785741857</v>
      </c>
      <c r="BJ264" s="1148"/>
      <c r="BK264" s="105" t="s">
        <v>2029</v>
      </c>
      <c r="BL264" s="105"/>
      <c r="BM264" s="127">
        <f>'3. PRECIOS Y COSTOS'!AS2405</f>
        <v>5019.9312249131972</v>
      </c>
      <c r="BN264" s="127">
        <f t="shared" si="77"/>
        <v>5185.5889553353327</v>
      </c>
      <c r="BO264" s="127">
        <f t="shared" si="78"/>
        <v>5346.3422129507271</v>
      </c>
      <c r="BP264" s="127">
        <f t="shared" si="79"/>
        <v>5512.0788215521989</v>
      </c>
      <c r="BQ264" s="127">
        <f t="shared" si="80"/>
        <v>5693.9774226634208</v>
      </c>
    </row>
    <row r="265" spans="2:70" x14ac:dyDescent="0.25">
      <c r="W265" s="30"/>
      <c r="X265" s="104"/>
      <c r="Y265" s="30"/>
      <c r="Z265" s="30"/>
      <c r="AA265" s="30"/>
      <c r="AB265" s="30"/>
      <c r="AC265" s="30"/>
      <c r="AD265" s="30"/>
      <c r="AF265" s="1148"/>
      <c r="AG265" s="105" t="s">
        <v>2071</v>
      </c>
      <c r="AH265" s="105"/>
      <c r="AI265" s="127">
        <f>'3. PRECIOS Y COSTOS'!AT2303</f>
        <v>3395.3347449131966</v>
      </c>
      <c r="AJ265" s="127">
        <f t="shared" si="65"/>
        <v>3507.3807914953318</v>
      </c>
      <c r="AK265" s="127">
        <f t="shared" si="66"/>
        <v>3616.1095960316866</v>
      </c>
      <c r="AL265" s="127">
        <f t="shared" si="67"/>
        <v>3728.2089935086688</v>
      </c>
      <c r="AM265" s="127">
        <f t="shared" si="68"/>
        <v>3851.2398902944547</v>
      </c>
      <c r="AP265" s="1151"/>
      <c r="AQ265" s="105" t="s">
        <v>2029</v>
      </c>
      <c r="AR265" s="105"/>
      <c r="AS265" s="286">
        <f>'3. PRECIOS Y COSTOS'!AS2339</f>
        <v>5019.9312249131972</v>
      </c>
      <c r="AT265" s="127">
        <f t="shared" si="69"/>
        <v>5185.5889553353327</v>
      </c>
      <c r="AU265" s="127">
        <f t="shared" si="70"/>
        <v>5346.3422129507271</v>
      </c>
      <c r="AV265" s="127">
        <f t="shared" si="71"/>
        <v>5512.0788215521989</v>
      </c>
      <c r="AW265" s="127">
        <f t="shared" si="72"/>
        <v>5693.9774226634208</v>
      </c>
      <c r="AZ265" s="1148"/>
      <c r="BA265" s="105" t="s">
        <v>2020</v>
      </c>
      <c r="BB265" s="105"/>
      <c r="BC265" s="127">
        <f>'3. PRECIOS Y COSTOS'!AS2372</f>
        <v>4088.4355449131967</v>
      </c>
      <c r="BD265" s="127">
        <f t="shared" si="73"/>
        <v>4223.3539178953315</v>
      </c>
      <c r="BE265" s="127">
        <f t="shared" si="74"/>
        <v>4354.2778893500863</v>
      </c>
      <c r="BF265" s="127">
        <f t="shared" si="75"/>
        <v>4489.2605039199389</v>
      </c>
      <c r="BG265" s="127">
        <f t="shared" si="76"/>
        <v>4637.4061005492968</v>
      </c>
      <c r="BJ265" s="1148"/>
      <c r="BK265" s="105" t="s">
        <v>2030</v>
      </c>
      <c r="BL265" s="105"/>
      <c r="BM265" s="127">
        <f>'3. PRECIOS Y COSTOS'!AT2405</f>
        <v>5019.9312249131972</v>
      </c>
      <c r="BN265" s="127">
        <f t="shared" si="77"/>
        <v>5185.5889553353327</v>
      </c>
      <c r="BO265" s="127">
        <f t="shared" si="78"/>
        <v>5346.3422129507271</v>
      </c>
      <c r="BP265" s="127">
        <f t="shared" si="79"/>
        <v>5512.0788215521989</v>
      </c>
      <c r="BQ265" s="127">
        <f t="shared" si="80"/>
        <v>5693.9774226634208</v>
      </c>
    </row>
    <row r="266" spans="2:70" x14ac:dyDescent="0.25">
      <c r="W266" s="30"/>
      <c r="X266" s="104"/>
      <c r="Y266" s="30"/>
      <c r="Z266" s="30"/>
      <c r="AA266" s="30"/>
      <c r="AB266" s="30"/>
      <c r="AC266" s="30"/>
      <c r="AD266" s="30"/>
      <c r="AF266" s="1148"/>
      <c r="AG266" s="105" t="s">
        <v>2028</v>
      </c>
      <c r="AH266" s="579" t="s">
        <v>1824</v>
      </c>
      <c r="AI266" s="127">
        <f>'3. PRECIOS Y COSTOS'!AS2304</f>
        <v>3152.5507449131969</v>
      </c>
      <c r="AJ266" s="127">
        <f t="shared" si="65"/>
        <v>3256.5849194953321</v>
      </c>
      <c r="AK266" s="127">
        <f t="shared" si="66"/>
        <v>3357.5390519996872</v>
      </c>
      <c r="AL266" s="127">
        <f t="shared" si="67"/>
        <v>3461.6227626116774</v>
      </c>
      <c r="AM266" s="127">
        <f t="shared" si="68"/>
        <v>3575.8563137778624</v>
      </c>
      <c r="AP266" s="1151"/>
      <c r="AQ266" s="105" t="s">
        <v>2030</v>
      </c>
      <c r="AR266" s="105"/>
      <c r="AS266" s="127">
        <f>'3. PRECIOS Y COSTOS'!AT2339</f>
        <v>5019.9312249131972</v>
      </c>
      <c r="AT266" s="127">
        <f t="shared" si="69"/>
        <v>5185.5889553353327</v>
      </c>
      <c r="AU266" s="127">
        <f t="shared" si="70"/>
        <v>5346.3422129507271</v>
      </c>
      <c r="AV266" s="127">
        <f t="shared" si="71"/>
        <v>5512.0788215521989</v>
      </c>
      <c r="AW266" s="127">
        <f t="shared" si="72"/>
        <v>5693.9774226634208</v>
      </c>
      <c r="AZ266" s="1148"/>
      <c r="BA266" s="105" t="s">
        <v>2062</v>
      </c>
      <c r="BB266" s="105"/>
      <c r="BC266" s="127">
        <f>'3. PRECIOS Y COSTOS'!AS2373</f>
        <v>3295.5427449131967</v>
      </c>
      <c r="BD266" s="127">
        <f t="shared" si="73"/>
        <v>3404.2956554953321</v>
      </c>
      <c r="BE266" s="127">
        <f t="shared" si="74"/>
        <v>3509.8288208156873</v>
      </c>
      <c r="BF266" s="127">
        <f t="shared" si="75"/>
        <v>3618.6335142609732</v>
      </c>
      <c r="BG266" s="127">
        <f t="shared" si="76"/>
        <v>3738.0484202315852</v>
      </c>
      <c r="BJ266" s="586"/>
      <c r="BK266" s="30"/>
      <c r="BL266" s="30"/>
      <c r="BM266" s="30"/>
      <c r="BN266" s="30"/>
      <c r="BO266" s="30"/>
      <c r="BP266" s="30"/>
      <c r="BQ266" s="30"/>
      <c r="BR266" s="30"/>
    </row>
    <row r="267" spans="2:70" x14ac:dyDescent="0.25">
      <c r="W267" s="30"/>
      <c r="X267" s="30"/>
      <c r="Y267" s="30"/>
      <c r="Z267" s="30"/>
      <c r="AA267" s="30"/>
      <c r="AB267" s="30"/>
      <c r="AC267" s="30"/>
      <c r="AD267" s="30"/>
      <c r="AF267" s="1148"/>
      <c r="AG267" s="105" t="s">
        <v>2053</v>
      </c>
      <c r="AH267" s="105"/>
      <c r="AI267" s="127">
        <f>'3. PRECIOS Y COSTOS'!AS2305</f>
        <v>3325.3507449131971</v>
      </c>
      <c r="AJ267" s="127">
        <f t="shared" ref="AJ267:AJ270" si="81">AI267*(1+$F$201)</f>
        <v>3435.0873194953324</v>
      </c>
      <c r="AK267" s="127">
        <f t="shared" ref="AK267:AK270" si="82">AJ267*(1+$G$201)</f>
        <v>3541.5750263996874</v>
      </c>
      <c r="AL267" s="127">
        <f t="shared" ref="AL267:AL270" si="83">AK267*(1+$H$201)</f>
        <v>3651.3638522180772</v>
      </c>
      <c r="AM267" s="127">
        <f t="shared" ref="AM267:AM270" si="84">AL267*(1+$I$201)</f>
        <v>3771.8588593412733</v>
      </c>
      <c r="AP267" s="1151"/>
      <c r="AQ267" s="105" t="s">
        <v>2031</v>
      </c>
      <c r="AR267" s="105"/>
      <c r="AS267" s="127">
        <f>'3. PRECIOS Y COSTOS'!AS2340</f>
        <v>3258.3907449131971</v>
      </c>
      <c r="AT267" s="127">
        <f t="shared" ref="AT267:AT268" si="85">AS267*(1+$F$201)</f>
        <v>3365.9176394953324</v>
      </c>
      <c r="AU267" s="127">
        <f t="shared" ref="AU267:AU268" si="86">AT267*(1+$G$201)</f>
        <v>3470.2610863196874</v>
      </c>
      <c r="AV267" s="127">
        <f t="shared" ref="AV267:AV268" si="87">AU267*(1+$H$201)</f>
        <v>3577.8391799955975</v>
      </c>
      <c r="AW267" s="127">
        <f t="shared" ref="AW267:AW268" si="88">AV267*(1+$I$201)</f>
        <v>3695.9078729354519</v>
      </c>
      <c r="AZ267" s="1148"/>
      <c r="BA267" s="585" t="s">
        <v>2073</v>
      </c>
      <c r="BB267" s="105"/>
      <c r="BC267" s="127">
        <f>'3. PRECIOS Y COSTOS'!AT2373</f>
        <v>3295.5427449131967</v>
      </c>
      <c r="BD267" s="127">
        <f t="shared" ref="BD267" si="89">BC267*(1+$F$201)</f>
        <v>3404.2956554953321</v>
      </c>
      <c r="BE267" s="127">
        <f t="shared" ref="BE267" si="90">BD267*(1+$G$201)</f>
        <v>3509.8288208156873</v>
      </c>
      <c r="BF267" s="127">
        <f t="shared" ref="BF267" si="91">BE267*(1+$H$201)</f>
        <v>3618.6335142609732</v>
      </c>
      <c r="BG267" s="127">
        <f t="shared" ref="BG267" si="92">BF267*(1+$I$201)</f>
        <v>3738.0484202315852</v>
      </c>
      <c r="BJ267" s="586"/>
      <c r="BK267" s="30"/>
      <c r="BL267" s="30"/>
      <c r="BM267" s="30"/>
      <c r="BN267" s="30"/>
      <c r="BO267" s="30"/>
      <c r="BP267" s="30"/>
      <c r="BQ267" s="30"/>
      <c r="BR267" s="30"/>
    </row>
    <row r="268" spans="2:70" x14ac:dyDescent="0.25">
      <c r="W268" s="30"/>
      <c r="X268" s="30"/>
      <c r="Y268" s="30"/>
      <c r="Z268" s="30"/>
      <c r="AA268" s="30"/>
      <c r="AB268" s="30"/>
      <c r="AC268" s="30"/>
      <c r="AD268" s="30"/>
      <c r="AF268" s="1148"/>
      <c r="AG268" s="105" t="s">
        <v>2054</v>
      </c>
      <c r="AH268" s="105"/>
      <c r="AI268" s="127">
        <f>'3. PRECIOS Y COSTOS'!AT2305</f>
        <v>3325.3507449131971</v>
      </c>
      <c r="AJ268" s="127">
        <f t="shared" si="81"/>
        <v>3435.0873194953324</v>
      </c>
      <c r="AK268" s="127">
        <f t="shared" si="82"/>
        <v>3541.5750263996874</v>
      </c>
      <c r="AL268" s="127">
        <f t="shared" si="83"/>
        <v>3651.3638522180772</v>
      </c>
      <c r="AM268" s="127">
        <f t="shared" si="84"/>
        <v>3771.8588593412733</v>
      </c>
      <c r="AP268" s="1152"/>
      <c r="AQ268" s="105" t="s">
        <v>2032</v>
      </c>
      <c r="AR268" s="105"/>
      <c r="AS268" s="127">
        <f>'3. PRECIOS Y COSTOS'!AT2340</f>
        <v>3258.3907449131971</v>
      </c>
      <c r="AT268" s="127">
        <f t="shared" si="85"/>
        <v>3365.9176394953324</v>
      </c>
      <c r="AU268" s="127">
        <f t="shared" si="86"/>
        <v>3470.2610863196874</v>
      </c>
      <c r="AV268" s="127">
        <f t="shared" si="87"/>
        <v>3577.8391799955975</v>
      </c>
      <c r="AW268" s="127">
        <f t="shared" si="88"/>
        <v>3695.9078729354519</v>
      </c>
      <c r="AZ268" s="586"/>
      <c r="BA268" s="30"/>
      <c r="BJ268" s="586"/>
      <c r="BK268" s="30"/>
      <c r="BL268" s="30"/>
      <c r="BM268" s="30"/>
      <c r="BN268" s="30"/>
      <c r="BO268" s="30"/>
      <c r="BP268" s="30"/>
      <c r="BQ268" s="30"/>
      <c r="BR268" s="30"/>
    </row>
    <row r="269" spans="2:70" x14ac:dyDescent="0.25">
      <c r="W269" s="30"/>
      <c r="X269" s="30"/>
      <c r="Y269" s="30"/>
      <c r="Z269" s="30"/>
      <c r="AA269" s="30"/>
      <c r="AB269" s="30"/>
      <c r="AC269" s="30"/>
      <c r="AD269" s="30"/>
      <c r="AF269" s="1148"/>
      <c r="AG269" s="105" t="s">
        <v>2051</v>
      </c>
      <c r="AH269" s="579" t="s">
        <v>1824</v>
      </c>
      <c r="AI269" s="127">
        <f>'3. PRECIOS Y COSTOS'!AS2306</f>
        <v>4265.2963449131967</v>
      </c>
      <c r="AJ269" s="127">
        <f t="shared" si="81"/>
        <v>4406.0511242953316</v>
      </c>
      <c r="AK269" s="127">
        <f t="shared" si="82"/>
        <v>4542.6387091484867</v>
      </c>
      <c r="AL269" s="127">
        <f t="shared" si="83"/>
        <v>4683.4605091320891</v>
      </c>
      <c r="AM269" s="127">
        <f t="shared" si="84"/>
        <v>4838.0147059334477</v>
      </c>
      <c r="AP269" s="586"/>
      <c r="AQ269" s="30"/>
      <c r="AR269" s="30"/>
      <c r="AS269" s="30"/>
      <c r="AT269" s="30"/>
      <c r="AU269" s="30"/>
      <c r="AV269" s="30"/>
      <c r="AW269" s="30"/>
      <c r="AZ269" s="586"/>
      <c r="BA269" s="30"/>
      <c r="BJ269" s="586"/>
      <c r="BK269" s="30"/>
      <c r="BL269" s="30"/>
      <c r="BM269" s="30"/>
      <c r="BN269" s="30"/>
      <c r="BO269" s="30"/>
      <c r="BP269" s="30"/>
      <c r="BQ269" s="30"/>
      <c r="BR269" s="30"/>
    </row>
    <row r="270" spans="2:70" x14ac:dyDescent="0.25">
      <c r="W270" s="30"/>
      <c r="X270" s="30"/>
      <c r="Y270" s="30"/>
      <c r="Z270" s="30"/>
      <c r="AA270" s="30"/>
      <c r="AB270" s="30"/>
      <c r="AC270" s="30"/>
      <c r="AD270" s="30"/>
      <c r="AF270" s="1148"/>
      <c r="AG270" s="105" t="s">
        <v>2052</v>
      </c>
      <c r="AH270" s="579" t="s">
        <v>1824</v>
      </c>
      <c r="AI270" s="127">
        <f>'3. PRECIOS Y COSTOS'!AT2306</f>
        <v>4265.2963449131967</v>
      </c>
      <c r="AJ270" s="127">
        <f t="shared" si="81"/>
        <v>4406.0511242953316</v>
      </c>
      <c r="AK270" s="127">
        <f t="shared" si="82"/>
        <v>4542.6387091484867</v>
      </c>
      <c r="AL270" s="127">
        <f t="shared" si="83"/>
        <v>4683.4605091320891</v>
      </c>
      <c r="AM270" s="127">
        <f t="shared" si="84"/>
        <v>4838.0147059334477</v>
      </c>
      <c r="AQ270" s="30"/>
      <c r="AR270" s="30"/>
      <c r="AS270" s="30"/>
      <c r="AT270" s="30"/>
      <c r="AU270" s="30"/>
      <c r="AV270" s="30"/>
      <c r="AW270" s="30"/>
      <c r="AZ270" s="30"/>
      <c r="BA270" s="30"/>
      <c r="BB270" s="30"/>
      <c r="BC270" s="30"/>
      <c r="BJ270" s="30"/>
      <c r="BK270" s="30"/>
      <c r="BL270" s="30"/>
      <c r="BM270" s="30"/>
      <c r="BN270" s="30"/>
      <c r="BO270" s="30"/>
      <c r="BP270" s="30"/>
      <c r="BQ270" s="30"/>
      <c r="BR270" s="30"/>
    </row>
    <row r="271" spans="2:70" ht="16.5" thickBot="1" x14ac:dyDescent="0.3">
      <c r="W271" s="30"/>
      <c r="X271" s="30"/>
      <c r="Y271" s="30"/>
      <c r="Z271" s="30"/>
      <c r="AA271" s="30"/>
      <c r="AB271" s="30"/>
      <c r="AC271" s="30"/>
      <c r="AD271" s="30"/>
      <c r="AQ271" s="30"/>
      <c r="AR271" s="104"/>
      <c r="AS271" s="30"/>
      <c r="AT271" s="30"/>
      <c r="AU271" s="30"/>
      <c r="AV271" s="30"/>
      <c r="AW271" s="30"/>
      <c r="BA271" s="30"/>
      <c r="BB271" s="30"/>
      <c r="BC271" s="30"/>
      <c r="BJ271" s="30"/>
      <c r="BK271" s="30"/>
      <c r="BL271" s="30"/>
      <c r="BM271" s="30"/>
      <c r="BN271" s="30"/>
      <c r="BO271" s="30"/>
      <c r="BP271" s="30"/>
      <c r="BQ271" s="30"/>
      <c r="BR271" s="30"/>
    </row>
    <row r="272" spans="2:70" ht="16.5" thickBot="1" x14ac:dyDescent="0.3">
      <c r="C272" s="1132" t="s">
        <v>1576</v>
      </c>
      <c r="D272" s="460" t="s">
        <v>1821</v>
      </c>
      <c r="E272" s="460">
        <v>2021</v>
      </c>
      <c r="F272" s="460">
        <v>2022</v>
      </c>
      <c r="G272" s="460">
        <v>2023</v>
      </c>
      <c r="H272" s="460">
        <v>2024</v>
      </c>
      <c r="I272" s="461">
        <v>2025</v>
      </c>
      <c r="M272" s="1132" t="s">
        <v>1576</v>
      </c>
      <c r="N272" s="460" t="s">
        <v>1821</v>
      </c>
      <c r="O272" s="460">
        <v>2021</v>
      </c>
      <c r="P272" s="460">
        <v>2022</v>
      </c>
      <c r="Q272" s="460">
        <v>2023</v>
      </c>
      <c r="R272" s="460">
        <v>2024</v>
      </c>
      <c r="S272" s="461">
        <v>2025</v>
      </c>
      <c r="W272" s="1132" t="s">
        <v>1576</v>
      </c>
      <c r="X272" s="460" t="s">
        <v>1821</v>
      </c>
      <c r="Y272" s="460">
        <v>2021</v>
      </c>
      <c r="Z272" s="460">
        <v>2022</v>
      </c>
      <c r="AA272" s="460">
        <v>2023</v>
      </c>
      <c r="AB272" s="460">
        <v>2024</v>
      </c>
      <c r="AC272" s="461">
        <v>2025</v>
      </c>
      <c r="AD272" s="30"/>
      <c r="BA272" s="30"/>
      <c r="BB272" s="30"/>
      <c r="BC272" s="30"/>
      <c r="BJ272" s="30"/>
      <c r="BK272" s="30"/>
      <c r="BL272" s="30"/>
      <c r="BM272" s="30"/>
      <c r="BN272" s="30"/>
      <c r="BO272" s="30"/>
      <c r="BP272" s="30"/>
      <c r="BQ272" s="30"/>
      <c r="BR272" s="30"/>
    </row>
    <row r="273" spans="2:62" x14ac:dyDescent="0.25">
      <c r="C273" s="1133"/>
      <c r="D273" s="591" t="s">
        <v>1825</v>
      </c>
      <c r="E273" s="592">
        <v>3.5999999999999997E-2</v>
      </c>
      <c r="F273" s="592">
        <v>3.3000000000000002E-2</v>
      </c>
      <c r="G273" s="592">
        <v>3.1E-2</v>
      </c>
      <c r="H273" s="592">
        <v>3.1E-2</v>
      </c>
      <c r="I273" s="593">
        <v>3.3000000000000002E-2</v>
      </c>
      <c r="M273" s="1133"/>
      <c r="N273" s="591" t="s">
        <v>1825</v>
      </c>
      <c r="O273" s="592">
        <v>3.5999999999999997E-2</v>
      </c>
      <c r="P273" s="592">
        <v>3.3000000000000002E-2</v>
      </c>
      <c r="Q273" s="592">
        <v>3.1E-2</v>
      </c>
      <c r="R273" s="592">
        <v>3.1E-2</v>
      </c>
      <c r="S273" s="593">
        <v>3.3000000000000002E-2</v>
      </c>
      <c r="W273" s="1133"/>
      <c r="X273" s="591" t="s">
        <v>1825</v>
      </c>
      <c r="Y273" s="592">
        <v>3.5999999999999997E-2</v>
      </c>
      <c r="Z273" s="592">
        <v>3.3000000000000002E-2</v>
      </c>
      <c r="AA273" s="592">
        <v>3.1E-2</v>
      </c>
      <c r="AB273" s="592">
        <v>3.1E-2</v>
      </c>
      <c r="AC273" s="593">
        <v>3.3000000000000002E-2</v>
      </c>
      <c r="AD273" s="30"/>
      <c r="BA273" s="30"/>
      <c r="BB273" s="30"/>
      <c r="BC273" s="30"/>
      <c r="BJ273" s="30"/>
    </row>
    <row r="274" spans="2:62" ht="15.75" customHeight="1" x14ac:dyDescent="0.25">
      <c r="B274" s="1148" t="s">
        <v>2092</v>
      </c>
      <c r="C274" s="745" t="s">
        <v>1978</v>
      </c>
      <c r="D274" s="824" t="s">
        <v>1824</v>
      </c>
      <c r="E274" s="127">
        <f>'3. PRECIOS Y COSTOS'!AL2415</f>
        <v>10355.84764892993</v>
      </c>
      <c r="F274" s="127">
        <f t="shared" ref="F274:F314" si="93">E274*(1+$F$201)</f>
        <v>10697.590621344618</v>
      </c>
      <c r="G274" s="127">
        <f t="shared" ref="G274:G314" si="94">F274*(1+$G$201)</f>
        <v>11029.2159306063</v>
      </c>
      <c r="H274" s="127">
        <f t="shared" ref="H274:H314" si="95">G274*(1+$H$201)</f>
        <v>11371.121624455094</v>
      </c>
      <c r="I274" s="127">
        <f t="shared" ref="I274:I314" si="96">H274*(1+$I$201)</f>
        <v>11746.368638062111</v>
      </c>
      <c r="L274" s="1148" t="s">
        <v>2099</v>
      </c>
      <c r="M274" s="745" t="s">
        <v>2033</v>
      </c>
      <c r="N274" s="824" t="s">
        <v>1824</v>
      </c>
      <c r="O274" s="127">
        <f>'3. PRECIOS Y COSTOS'!AS2442</f>
        <v>3221.6707449131973</v>
      </c>
      <c r="P274" s="127">
        <f>O274*(1+$F$201)</f>
        <v>3327.9858794953325</v>
      </c>
      <c r="Q274" s="127">
        <f t="shared" ref="Q274:Q277" si="97">P274*(1+$G$201)</f>
        <v>3431.1534417596877</v>
      </c>
      <c r="R274" s="127">
        <f t="shared" ref="R274:R277" si="98">Q274*(1+$H$201)</f>
        <v>3537.5191984542375</v>
      </c>
      <c r="S274" s="127">
        <f t="shared" ref="S274:S277" si="99">R274*(1+$I$201)</f>
        <v>3654.257332003227</v>
      </c>
      <c r="V274" s="1148" t="s">
        <v>2091</v>
      </c>
      <c r="W274" s="745"/>
      <c r="X274" s="824"/>
      <c r="Y274" s="127"/>
      <c r="Z274" s="127"/>
      <c r="AA274" s="127"/>
      <c r="AB274" s="127"/>
      <c r="AC274" s="127"/>
      <c r="BA274" s="30"/>
      <c r="BB274" s="30"/>
      <c r="BC274" s="30"/>
    </row>
    <row r="275" spans="2:62" x14ac:dyDescent="0.25">
      <c r="B275" s="1148"/>
      <c r="C275" s="745" t="s">
        <v>1980</v>
      </c>
      <c r="D275" s="824" t="s">
        <v>1824</v>
      </c>
      <c r="E275" s="127">
        <f>'3. PRECIOS Y COSTOS'!AN2415</f>
        <v>10355.84764892993</v>
      </c>
      <c r="F275" s="127">
        <f t="shared" si="93"/>
        <v>10697.590621344618</v>
      </c>
      <c r="G275" s="127">
        <f t="shared" si="94"/>
        <v>11029.2159306063</v>
      </c>
      <c r="H275" s="127">
        <f t="shared" si="95"/>
        <v>11371.121624455094</v>
      </c>
      <c r="I275" s="127">
        <f t="shared" si="96"/>
        <v>11746.368638062111</v>
      </c>
      <c r="L275" s="1148"/>
      <c r="M275" s="745" t="s">
        <v>2034</v>
      </c>
      <c r="N275" s="824" t="s">
        <v>1824</v>
      </c>
      <c r="O275" s="127">
        <f>'3. PRECIOS Y COSTOS'!AT2442</f>
        <v>3221.6707449131973</v>
      </c>
      <c r="P275" s="127">
        <f t="shared" ref="P275:P277" si="100">O275*(1+$F$201)</f>
        <v>3327.9858794953325</v>
      </c>
      <c r="Q275" s="127">
        <f t="shared" si="97"/>
        <v>3431.1534417596877</v>
      </c>
      <c r="R275" s="127">
        <f t="shared" si="98"/>
        <v>3537.5191984542375</v>
      </c>
      <c r="S275" s="127">
        <f t="shared" si="99"/>
        <v>3654.257332003227</v>
      </c>
      <c r="V275" s="1148"/>
      <c r="W275" s="745" t="s">
        <v>1991</v>
      </c>
      <c r="X275" s="824" t="s">
        <v>1824</v>
      </c>
      <c r="Y275" s="127">
        <f>'3. PRECIOS Y COSTOS'!AL2464</f>
        <v>8375.5596489299296</v>
      </c>
      <c r="Z275" s="127">
        <f t="shared" ref="Z275" si="101">Y275*(1+$F$201)</f>
        <v>8651.9531173446157</v>
      </c>
      <c r="AA275" s="127">
        <f t="shared" ref="AA275" si="102">Z275*(1+$G$201)</f>
        <v>8920.1636639822973</v>
      </c>
      <c r="AB275" s="127">
        <f t="shared" ref="AB275" si="103">AA275*(1+$H$201)</f>
        <v>9196.6887375657479</v>
      </c>
      <c r="AC275" s="127">
        <f t="shared" ref="AC275" si="104">AB275*(1+$I$201)</f>
        <v>9500.1794659054176</v>
      </c>
      <c r="BA275" s="30"/>
      <c r="BB275" s="30"/>
      <c r="BC275" s="30"/>
    </row>
    <row r="276" spans="2:62" x14ac:dyDescent="0.25">
      <c r="B276" s="1148"/>
      <c r="C276" s="745" t="s">
        <v>1981</v>
      </c>
      <c r="D276" s="824" t="s">
        <v>1824</v>
      </c>
      <c r="E276" s="127">
        <f>'3. PRECIOS Y COSTOS'!AO2415</f>
        <v>10201.926744913195</v>
      </c>
      <c r="F276" s="127">
        <f t="shared" si="93"/>
        <v>10538.590327495329</v>
      </c>
      <c r="G276" s="127">
        <f t="shared" si="94"/>
        <v>10865.286627647683</v>
      </c>
      <c r="H276" s="127">
        <f t="shared" si="95"/>
        <v>11202.110513104761</v>
      </c>
      <c r="I276" s="127">
        <f t="shared" si="96"/>
        <v>11571.780160037217</v>
      </c>
      <c r="L276" s="1148"/>
      <c r="M276" s="745" t="s">
        <v>2019</v>
      </c>
      <c r="N276" s="824" t="s">
        <v>1824</v>
      </c>
      <c r="O276" s="127">
        <f>'3. PRECIOS Y COSTOS'!AL2443</f>
        <v>3436.7628489299277</v>
      </c>
      <c r="P276" s="127">
        <f t="shared" si="100"/>
        <v>3550.1760229446149</v>
      </c>
      <c r="Q276" s="127">
        <f t="shared" si="97"/>
        <v>3660.2314796558976</v>
      </c>
      <c r="R276" s="127">
        <f t="shared" si="98"/>
        <v>3773.6986555252302</v>
      </c>
      <c r="S276" s="127">
        <f t="shared" si="99"/>
        <v>3898.2307111575624</v>
      </c>
      <c r="V276" s="1148"/>
      <c r="W276" s="745" t="s">
        <v>1993</v>
      </c>
      <c r="X276" s="824" t="s">
        <v>1824</v>
      </c>
      <c r="Y276" s="127">
        <f>'3. PRECIOS Y COSTOS'!AN2464</f>
        <v>8375.5596489299296</v>
      </c>
      <c r="Z276" s="127">
        <f t="shared" ref="Z276:Z307" si="105">Y276*(1+$F$201)</f>
        <v>8651.9531173446157</v>
      </c>
      <c r="AA276" s="127">
        <f t="shared" ref="AA276:AA307" si="106">Z276*(1+$G$201)</f>
        <v>8920.1636639822973</v>
      </c>
      <c r="AB276" s="127">
        <f t="shared" ref="AB276:AB307" si="107">AA276*(1+$H$201)</f>
        <v>9196.6887375657479</v>
      </c>
      <c r="AC276" s="127">
        <f t="shared" ref="AC276:AC307" si="108">AB276*(1+$I$201)</f>
        <v>9500.1794659054176</v>
      </c>
    </row>
    <row r="277" spans="2:62" x14ac:dyDescent="0.25">
      <c r="B277" s="1148"/>
      <c r="C277" s="745" t="s">
        <v>1982</v>
      </c>
      <c r="D277" s="824" t="s">
        <v>1824</v>
      </c>
      <c r="E277" s="127">
        <f>'3. PRECIOS Y COSTOS'!AP2415</f>
        <v>10201.926744913195</v>
      </c>
      <c r="F277" s="127">
        <f t="shared" si="93"/>
        <v>10538.590327495329</v>
      </c>
      <c r="G277" s="127">
        <f t="shared" si="94"/>
        <v>10865.286627647683</v>
      </c>
      <c r="H277" s="127">
        <f t="shared" si="95"/>
        <v>11202.110513104761</v>
      </c>
      <c r="I277" s="127">
        <f t="shared" si="96"/>
        <v>11571.780160037217</v>
      </c>
      <c r="L277" s="1148"/>
      <c r="M277" s="745" t="s">
        <v>2020</v>
      </c>
      <c r="N277" s="824" t="s">
        <v>1824</v>
      </c>
      <c r="O277" s="127">
        <f>'3. PRECIOS Y COSTOS'!AS2443</f>
        <v>3282.8419449131966</v>
      </c>
      <c r="P277" s="127">
        <f t="shared" si="100"/>
        <v>3391.1757290953319</v>
      </c>
      <c r="Q277" s="127">
        <f t="shared" si="97"/>
        <v>3496.302176697287</v>
      </c>
      <c r="R277" s="127">
        <f t="shared" si="98"/>
        <v>3604.6875441749025</v>
      </c>
      <c r="S277" s="127">
        <f t="shared" si="99"/>
        <v>3723.6422331326739</v>
      </c>
      <c r="V277" s="1148"/>
      <c r="W277" s="745" t="s">
        <v>1994</v>
      </c>
      <c r="X277" s="824" t="s">
        <v>1824</v>
      </c>
      <c r="Y277" s="127">
        <f>'3. PRECIOS Y COSTOS'!AO2464</f>
        <v>8221.6387449131962</v>
      </c>
      <c r="Z277" s="127">
        <f t="shared" si="105"/>
        <v>8492.9528234953304</v>
      </c>
      <c r="AA277" s="127">
        <f t="shared" si="106"/>
        <v>8756.2343610236858</v>
      </c>
      <c r="AB277" s="127">
        <f t="shared" si="107"/>
        <v>9027.6776262154199</v>
      </c>
      <c r="AC277" s="127">
        <f t="shared" si="108"/>
        <v>9325.5909878805287</v>
      </c>
    </row>
    <row r="278" spans="2:62" x14ac:dyDescent="0.25">
      <c r="B278" s="1148"/>
      <c r="C278" s="745" t="s">
        <v>1991</v>
      </c>
      <c r="D278" s="824" t="s">
        <v>1824</v>
      </c>
      <c r="E278" s="127">
        <f>'3. PRECIOS Y COSTOS'!AL2416</f>
        <v>8375.5596489299296</v>
      </c>
      <c r="F278" s="127">
        <f t="shared" si="93"/>
        <v>8651.9531173446157</v>
      </c>
      <c r="G278" s="127">
        <f t="shared" si="94"/>
        <v>8920.1636639822973</v>
      </c>
      <c r="H278" s="127">
        <f t="shared" si="95"/>
        <v>9196.6887375657479</v>
      </c>
      <c r="I278" s="127">
        <f t="shared" si="96"/>
        <v>9500.1794659054176</v>
      </c>
      <c r="L278" s="1148"/>
      <c r="M278" s="745" t="s">
        <v>1991</v>
      </c>
      <c r="N278" s="824" t="s">
        <v>1824</v>
      </c>
      <c r="O278" s="127">
        <f>'3. PRECIOS Y COSTOS'!AL2444</f>
        <v>8375.5596489299296</v>
      </c>
      <c r="P278" s="127">
        <f t="shared" ref="P278:P303" si="109">O278*(1+$F$201)</f>
        <v>8651.9531173446157</v>
      </c>
      <c r="Q278" s="127">
        <f t="shared" ref="Q278:Q303" si="110">P278*(1+$G$201)</f>
        <v>8920.1636639822973</v>
      </c>
      <c r="R278" s="127">
        <f t="shared" ref="R278:R303" si="111">Q278*(1+$H$201)</f>
        <v>9196.6887375657479</v>
      </c>
      <c r="S278" s="127">
        <f t="shared" ref="S278:S303" si="112">R278*(1+$I$201)</f>
        <v>9500.1794659054176</v>
      </c>
      <c r="V278" s="1148"/>
      <c r="W278" s="745" t="s">
        <v>1995</v>
      </c>
      <c r="X278" s="824" t="s">
        <v>1824</v>
      </c>
      <c r="Y278" s="127">
        <f>'3. PRECIOS Y COSTOS'!AP2464</f>
        <v>8221.6387449131962</v>
      </c>
      <c r="Z278" s="127">
        <f t="shared" si="105"/>
        <v>8492.9528234953304</v>
      </c>
      <c r="AA278" s="127">
        <f t="shared" si="106"/>
        <v>8756.2343610236858</v>
      </c>
      <c r="AB278" s="127">
        <f t="shared" si="107"/>
        <v>9027.6776262154199</v>
      </c>
      <c r="AC278" s="127">
        <f t="shared" si="108"/>
        <v>9325.5909878805287</v>
      </c>
    </row>
    <row r="279" spans="2:62" x14ac:dyDescent="0.25">
      <c r="B279" s="1148"/>
      <c r="C279" s="745" t="s">
        <v>1993</v>
      </c>
      <c r="D279" s="824" t="s">
        <v>1824</v>
      </c>
      <c r="E279" s="127">
        <f>'3. PRECIOS Y COSTOS'!AN2416</f>
        <v>8375.5596489299296</v>
      </c>
      <c r="F279" s="127">
        <f t="shared" si="93"/>
        <v>8651.9531173446157</v>
      </c>
      <c r="G279" s="127">
        <f t="shared" si="94"/>
        <v>8920.1636639822973</v>
      </c>
      <c r="H279" s="127">
        <f t="shared" si="95"/>
        <v>9196.6887375657479</v>
      </c>
      <c r="I279" s="127">
        <f t="shared" si="96"/>
        <v>9500.1794659054176</v>
      </c>
      <c r="L279" s="1148"/>
      <c r="M279" s="745" t="s">
        <v>1993</v>
      </c>
      <c r="N279" s="824" t="s">
        <v>1824</v>
      </c>
      <c r="O279" s="127">
        <f>'3. PRECIOS Y COSTOS'!AN2444</f>
        <v>8375.5596489299296</v>
      </c>
      <c r="P279" s="127">
        <f t="shared" si="109"/>
        <v>8651.9531173446157</v>
      </c>
      <c r="Q279" s="127">
        <f t="shared" si="110"/>
        <v>8920.1636639822973</v>
      </c>
      <c r="R279" s="127">
        <f t="shared" si="111"/>
        <v>9196.6887375657479</v>
      </c>
      <c r="S279" s="127">
        <f t="shared" si="112"/>
        <v>9500.1794659054176</v>
      </c>
      <c r="V279" s="1148"/>
      <c r="W279" s="745" t="s">
        <v>2012</v>
      </c>
      <c r="X279" s="824" t="s">
        <v>1824</v>
      </c>
      <c r="Y279" s="127">
        <f>'3. PRECIOS Y COSTOS'!AK2465</f>
        <v>23209.930584913196</v>
      </c>
      <c r="Z279" s="127">
        <f t="shared" si="105"/>
        <v>23975.85829421533</v>
      </c>
      <c r="AA279" s="127">
        <f t="shared" si="106"/>
        <v>24719.109901336004</v>
      </c>
      <c r="AB279" s="127">
        <f t="shared" si="107"/>
        <v>25485.402308277418</v>
      </c>
      <c r="AC279" s="127">
        <f t="shared" si="108"/>
        <v>26326.42058445057</v>
      </c>
    </row>
    <row r="280" spans="2:62" x14ac:dyDescent="0.25">
      <c r="B280" s="1148"/>
      <c r="C280" s="745" t="s">
        <v>1994</v>
      </c>
      <c r="D280" s="824" t="s">
        <v>1824</v>
      </c>
      <c r="E280" s="127">
        <f>'3. PRECIOS Y COSTOS'!AO2416</f>
        <v>8221.6387449131962</v>
      </c>
      <c r="F280" s="127">
        <f t="shared" si="93"/>
        <v>8492.9528234953304</v>
      </c>
      <c r="G280" s="127">
        <f t="shared" si="94"/>
        <v>8756.2343610236858</v>
      </c>
      <c r="H280" s="127">
        <f t="shared" si="95"/>
        <v>9027.6776262154199</v>
      </c>
      <c r="I280" s="127">
        <f t="shared" si="96"/>
        <v>9325.5909878805287</v>
      </c>
      <c r="L280" s="1148"/>
      <c r="M280" s="745" t="s">
        <v>1994</v>
      </c>
      <c r="N280" s="824" t="s">
        <v>1824</v>
      </c>
      <c r="O280" s="127">
        <f>'3. PRECIOS Y COSTOS'!AO2444</f>
        <v>8221.6387449131962</v>
      </c>
      <c r="P280" s="127">
        <f t="shared" si="109"/>
        <v>8492.9528234953304</v>
      </c>
      <c r="Q280" s="127">
        <f t="shared" si="110"/>
        <v>8756.2343610236858</v>
      </c>
      <c r="R280" s="127">
        <f t="shared" si="111"/>
        <v>9027.6776262154199</v>
      </c>
      <c r="S280" s="127">
        <f t="shared" si="112"/>
        <v>9325.5909878805287</v>
      </c>
      <c r="V280" s="1148"/>
      <c r="W280" s="745" t="s">
        <v>2008</v>
      </c>
      <c r="X280" s="824" t="s">
        <v>1824</v>
      </c>
      <c r="Y280" s="127">
        <f>'3. PRECIOS Y COSTOS'!AM2465</f>
        <v>23363.851488929929</v>
      </c>
      <c r="Z280" s="127">
        <f t="shared" si="105"/>
        <v>24134.858588064617</v>
      </c>
      <c r="AA280" s="127">
        <f t="shared" si="106"/>
        <v>24883.039204294619</v>
      </c>
      <c r="AB280" s="127">
        <f t="shared" si="107"/>
        <v>25654.413419627748</v>
      </c>
      <c r="AC280" s="127">
        <f t="shared" si="108"/>
        <v>26501.009062475463</v>
      </c>
    </row>
    <row r="281" spans="2:62" x14ac:dyDescent="0.25">
      <c r="B281" s="1148"/>
      <c r="C281" s="745" t="s">
        <v>1995</v>
      </c>
      <c r="D281" s="824" t="s">
        <v>1824</v>
      </c>
      <c r="E281" s="127">
        <f>'3. PRECIOS Y COSTOS'!AP2416</f>
        <v>8221.6387449131962</v>
      </c>
      <c r="F281" s="127">
        <f t="shared" si="93"/>
        <v>8492.9528234953304</v>
      </c>
      <c r="G281" s="127">
        <f t="shared" si="94"/>
        <v>8756.2343610236858</v>
      </c>
      <c r="H281" s="127">
        <f t="shared" si="95"/>
        <v>9027.6776262154199</v>
      </c>
      <c r="I281" s="127">
        <f t="shared" si="96"/>
        <v>9325.5909878805287</v>
      </c>
      <c r="L281" s="1148"/>
      <c r="M281" s="745" t="s">
        <v>1995</v>
      </c>
      <c r="N281" s="824" t="s">
        <v>1824</v>
      </c>
      <c r="O281" s="127">
        <f>'3. PRECIOS Y COSTOS'!AP2444</f>
        <v>8221.6387449131962</v>
      </c>
      <c r="P281" s="127">
        <f t="shared" si="109"/>
        <v>8492.9528234953304</v>
      </c>
      <c r="Q281" s="127">
        <f t="shared" si="110"/>
        <v>8756.2343610236858</v>
      </c>
      <c r="R281" s="127">
        <f t="shared" si="111"/>
        <v>9027.6776262154199</v>
      </c>
      <c r="S281" s="127">
        <f t="shared" si="112"/>
        <v>9325.5909878805287</v>
      </c>
      <c r="V281" s="1148"/>
      <c r="W281" s="745" t="s">
        <v>2009</v>
      </c>
      <c r="X281" s="824" t="s">
        <v>1824</v>
      </c>
      <c r="Y281" s="127">
        <f>'3. PRECIOS Y COSTOS'!AR2465</f>
        <v>23209.930584913196</v>
      </c>
      <c r="Z281" s="127">
        <f t="shared" si="105"/>
        <v>23975.85829421533</v>
      </c>
      <c r="AA281" s="127">
        <f t="shared" si="106"/>
        <v>24719.109901336004</v>
      </c>
      <c r="AB281" s="127">
        <f t="shared" si="107"/>
        <v>25485.402308277418</v>
      </c>
      <c r="AC281" s="127">
        <f t="shared" si="108"/>
        <v>26326.42058445057</v>
      </c>
    </row>
    <row r="282" spans="2:62" x14ac:dyDescent="0.25">
      <c r="B282" s="1148"/>
      <c r="C282" s="745" t="s">
        <v>1985</v>
      </c>
      <c r="D282" s="824" t="s">
        <v>1824</v>
      </c>
      <c r="E282" s="127">
        <f>'3. PRECIOS Y COSTOS'!AN2417</f>
        <v>9373.4796489299297</v>
      </c>
      <c r="F282" s="127">
        <f t="shared" si="93"/>
        <v>9682.8044773446163</v>
      </c>
      <c r="G282" s="127">
        <f t="shared" si="94"/>
        <v>9982.971416142298</v>
      </c>
      <c r="H282" s="127">
        <f t="shared" si="95"/>
        <v>10292.443530042709</v>
      </c>
      <c r="I282" s="127">
        <f t="shared" si="96"/>
        <v>10632.094166534118</v>
      </c>
      <c r="L282" s="1148"/>
      <c r="M282" s="745" t="s">
        <v>1978</v>
      </c>
      <c r="N282" s="824" t="s">
        <v>1824</v>
      </c>
      <c r="O282" s="127">
        <f>'3. PRECIOS Y COSTOS'!AL2445</f>
        <v>10355.84764892993</v>
      </c>
      <c r="P282" s="127">
        <f t="shared" si="109"/>
        <v>10697.590621344618</v>
      </c>
      <c r="Q282" s="127">
        <f t="shared" si="110"/>
        <v>11029.2159306063</v>
      </c>
      <c r="R282" s="127">
        <f t="shared" si="111"/>
        <v>11371.121624455094</v>
      </c>
      <c r="S282" s="127">
        <f t="shared" si="112"/>
        <v>11746.368638062111</v>
      </c>
      <c r="V282" s="1148"/>
      <c r="W282" s="745" t="s">
        <v>537</v>
      </c>
      <c r="X282" s="824" t="s">
        <v>1824</v>
      </c>
      <c r="Y282" s="127">
        <f>'3. PRECIOS Y COSTOS'!AT2466</f>
        <v>6339.270076570162</v>
      </c>
      <c r="Z282" s="127">
        <f t="shared" si="105"/>
        <v>6548.465989096977</v>
      </c>
      <c r="AA282" s="127">
        <f t="shared" si="106"/>
        <v>6751.4684347589828</v>
      </c>
      <c r="AB282" s="127">
        <f t="shared" si="107"/>
        <v>6960.7639562365102</v>
      </c>
      <c r="AC282" s="127">
        <f t="shared" si="108"/>
        <v>7190.4691667923144</v>
      </c>
    </row>
    <row r="283" spans="2:62" x14ac:dyDescent="0.25">
      <c r="B283" s="1148"/>
      <c r="C283" s="745" t="s">
        <v>1988</v>
      </c>
      <c r="D283" s="824" t="s">
        <v>1824</v>
      </c>
      <c r="E283" s="127">
        <f>'3. PRECIOS Y COSTOS'!AO2417</f>
        <v>9219.5587449131963</v>
      </c>
      <c r="F283" s="127">
        <f t="shared" si="93"/>
        <v>9523.804183495331</v>
      </c>
      <c r="G283" s="127">
        <f t="shared" si="94"/>
        <v>9819.0421131836847</v>
      </c>
      <c r="H283" s="127">
        <f t="shared" si="95"/>
        <v>10123.432418692379</v>
      </c>
      <c r="I283" s="127">
        <f t="shared" si="96"/>
        <v>10457.505688509227</v>
      </c>
      <c r="L283" s="1148"/>
      <c r="M283" s="745" t="s">
        <v>1980</v>
      </c>
      <c r="N283" s="824" t="s">
        <v>1824</v>
      </c>
      <c r="O283" s="127">
        <f>'3. PRECIOS Y COSTOS'!AN2445</f>
        <v>10355.84764892993</v>
      </c>
      <c r="P283" s="127">
        <f t="shared" si="109"/>
        <v>10697.590621344618</v>
      </c>
      <c r="Q283" s="127">
        <f t="shared" si="110"/>
        <v>11029.2159306063</v>
      </c>
      <c r="R283" s="127">
        <f t="shared" si="111"/>
        <v>11371.121624455094</v>
      </c>
      <c r="S283" s="127">
        <f t="shared" si="112"/>
        <v>11746.368638062111</v>
      </c>
      <c r="V283" s="1148"/>
      <c r="W283" s="745" t="s">
        <v>2025</v>
      </c>
      <c r="X283" s="824" t="s">
        <v>1824</v>
      </c>
      <c r="Y283" s="127">
        <f>'3. PRECIOS Y COSTOS'!AS2467</f>
        <v>3260.5161849131969</v>
      </c>
      <c r="Z283" s="127">
        <f t="shared" si="105"/>
        <v>3368.1132190153321</v>
      </c>
      <c r="AA283" s="127">
        <f t="shared" si="106"/>
        <v>3472.5247288048072</v>
      </c>
      <c r="AB283" s="127">
        <f t="shared" si="107"/>
        <v>3580.172995397756</v>
      </c>
      <c r="AC283" s="127">
        <f t="shared" si="108"/>
        <v>3698.3187042458817</v>
      </c>
    </row>
    <row r="284" spans="2:62" x14ac:dyDescent="0.25">
      <c r="B284" s="1148"/>
      <c r="C284" s="745" t="s">
        <v>1987</v>
      </c>
      <c r="D284" s="824" t="s">
        <v>1824</v>
      </c>
      <c r="E284" s="127">
        <f>'3. PRECIOS Y COSTOS'!AP2417</f>
        <v>9219.5587449131963</v>
      </c>
      <c r="F284" s="127">
        <f t="shared" si="93"/>
        <v>9523.804183495331</v>
      </c>
      <c r="G284" s="127">
        <f t="shared" si="94"/>
        <v>9819.0421131836847</v>
      </c>
      <c r="H284" s="127">
        <f t="shared" si="95"/>
        <v>10123.432418692379</v>
      </c>
      <c r="I284" s="127">
        <f t="shared" si="96"/>
        <v>10457.505688509227</v>
      </c>
      <c r="L284" s="1148"/>
      <c r="M284" s="745" t="s">
        <v>1981</v>
      </c>
      <c r="N284" s="824" t="s">
        <v>1824</v>
      </c>
      <c r="O284" s="127">
        <f>'3. PRECIOS Y COSTOS'!AO2445</f>
        <v>10201.926744913195</v>
      </c>
      <c r="P284" s="127">
        <f t="shared" si="109"/>
        <v>10538.590327495329</v>
      </c>
      <c r="Q284" s="127">
        <f t="shared" si="110"/>
        <v>10865.286627647683</v>
      </c>
      <c r="R284" s="127">
        <f t="shared" si="111"/>
        <v>11202.110513104761</v>
      </c>
      <c r="S284" s="127">
        <f t="shared" si="112"/>
        <v>11571.780160037217</v>
      </c>
      <c r="V284" s="1148"/>
      <c r="W284" s="745" t="s">
        <v>2026</v>
      </c>
      <c r="X284" s="824" t="s">
        <v>1824</v>
      </c>
      <c r="Y284" s="127">
        <f>'3. PRECIOS Y COSTOS'!AT2467</f>
        <v>3260.5161849131969</v>
      </c>
      <c r="Z284" s="127">
        <f t="shared" si="105"/>
        <v>3368.1132190153321</v>
      </c>
      <c r="AA284" s="127">
        <f t="shared" si="106"/>
        <v>3472.5247288048072</v>
      </c>
      <c r="AB284" s="127">
        <f t="shared" si="107"/>
        <v>3580.172995397756</v>
      </c>
      <c r="AC284" s="127">
        <f t="shared" si="108"/>
        <v>3698.3187042458817</v>
      </c>
    </row>
    <row r="285" spans="2:62" x14ac:dyDescent="0.25">
      <c r="B285" s="1148"/>
      <c r="C285" s="745" t="s">
        <v>2012</v>
      </c>
      <c r="D285" s="824" t="s">
        <v>1824</v>
      </c>
      <c r="E285" s="127">
        <f>'3. PRECIOS Y COSTOS'!AK2418</f>
        <v>23209.930584913196</v>
      </c>
      <c r="F285" s="127">
        <f t="shared" si="93"/>
        <v>23975.85829421533</v>
      </c>
      <c r="G285" s="127">
        <f t="shared" si="94"/>
        <v>24719.109901336004</v>
      </c>
      <c r="H285" s="127">
        <f t="shared" si="95"/>
        <v>25485.402308277418</v>
      </c>
      <c r="I285" s="127">
        <f t="shared" si="96"/>
        <v>26326.42058445057</v>
      </c>
      <c r="L285" s="1148"/>
      <c r="M285" s="745" t="s">
        <v>1982</v>
      </c>
      <c r="N285" s="824" t="s">
        <v>1824</v>
      </c>
      <c r="O285" s="127">
        <f>'3. PRECIOS Y COSTOS'!AP2445</f>
        <v>10201.926744913195</v>
      </c>
      <c r="P285" s="127">
        <f t="shared" si="109"/>
        <v>10538.590327495329</v>
      </c>
      <c r="Q285" s="127">
        <f t="shared" si="110"/>
        <v>10865.286627647683</v>
      </c>
      <c r="R285" s="127">
        <f t="shared" si="111"/>
        <v>11202.110513104761</v>
      </c>
      <c r="S285" s="127">
        <f t="shared" si="112"/>
        <v>11571.780160037217</v>
      </c>
      <c r="V285" s="1148"/>
      <c r="W285" s="745" t="s">
        <v>2340</v>
      </c>
      <c r="X285" s="824" t="s">
        <v>1824</v>
      </c>
      <c r="Y285" s="127">
        <f>'3. PRECIOS Y COSTOS'!AO2468</f>
        <v>5257.9459449131982</v>
      </c>
      <c r="Z285" s="127">
        <f t="shared" si="105"/>
        <v>5431.4581610953337</v>
      </c>
      <c r="AA285" s="127">
        <f t="shared" si="106"/>
        <v>5599.8333640892888</v>
      </c>
      <c r="AB285" s="127">
        <f t="shared" si="107"/>
        <v>5773.4281983760566</v>
      </c>
      <c r="AC285" s="127">
        <f t="shared" si="108"/>
        <v>5963.951328922466</v>
      </c>
    </row>
    <row r="286" spans="2:62" x14ac:dyDescent="0.25">
      <c r="B286" s="1148"/>
      <c r="C286" s="745" t="s">
        <v>2008</v>
      </c>
      <c r="D286" s="824" t="s">
        <v>1824</v>
      </c>
      <c r="E286" s="127">
        <f>'3. PRECIOS Y COSTOS'!AM2418</f>
        <v>23363.851488929929</v>
      </c>
      <c r="F286" s="127">
        <f t="shared" si="93"/>
        <v>24134.858588064617</v>
      </c>
      <c r="G286" s="127">
        <f t="shared" si="94"/>
        <v>24883.039204294619</v>
      </c>
      <c r="H286" s="127">
        <f t="shared" si="95"/>
        <v>25654.413419627748</v>
      </c>
      <c r="I286" s="127">
        <f t="shared" si="96"/>
        <v>26501.009062475463</v>
      </c>
      <c r="L286" s="1148"/>
      <c r="M286" s="745" t="s">
        <v>2341</v>
      </c>
      <c r="N286" s="824" t="s">
        <v>1824</v>
      </c>
      <c r="O286" s="127">
        <f>'3. PRECIOS Y COSTOS'!AO2446</f>
        <v>5712.5827449131975</v>
      </c>
      <c r="P286" s="127">
        <f t="shared" si="109"/>
        <v>5901.0979754953323</v>
      </c>
      <c r="Q286" s="127">
        <f t="shared" si="110"/>
        <v>6084.0320127356872</v>
      </c>
      <c r="R286" s="127">
        <f t="shared" si="111"/>
        <v>6272.637005130493</v>
      </c>
      <c r="S286" s="127">
        <f t="shared" si="112"/>
        <v>6479.6340262997992</v>
      </c>
      <c r="V286" s="1148"/>
      <c r="W286" s="745" t="s">
        <v>1985</v>
      </c>
      <c r="X286" s="824" t="s">
        <v>1824</v>
      </c>
      <c r="Y286" s="127">
        <f>'3. PRECIOS Y COSTOS'!AN2469</f>
        <v>9373.4796489299297</v>
      </c>
      <c r="Z286" s="127">
        <f t="shared" si="105"/>
        <v>9682.8044773446163</v>
      </c>
      <c r="AA286" s="127">
        <f t="shared" si="106"/>
        <v>9982.971416142298</v>
      </c>
      <c r="AB286" s="127">
        <f t="shared" si="107"/>
        <v>10292.443530042709</v>
      </c>
      <c r="AC286" s="127">
        <f t="shared" si="108"/>
        <v>10632.094166534118</v>
      </c>
    </row>
    <row r="287" spans="2:62" x14ac:dyDescent="0.25">
      <c r="B287" s="1148"/>
      <c r="C287" s="745" t="s">
        <v>2009</v>
      </c>
      <c r="D287" s="824" t="s">
        <v>1824</v>
      </c>
      <c r="E287" s="127">
        <f>'3. PRECIOS Y COSTOS'!AR2418</f>
        <v>23209.930584913196</v>
      </c>
      <c r="F287" s="127">
        <f t="shared" si="93"/>
        <v>23975.85829421533</v>
      </c>
      <c r="G287" s="127">
        <f t="shared" si="94"/>
        <v>24719.109901336004</v>
      </c>
      <c r="H287" s="127">
        <f t="shared" si="95"/>
        <v>25485.402308277418</v>
      </c>
      <c r="I287" s="127">
        <f t="shared" si="96"/>
        <v>26326.42058445057</v>
      </c>
      <c r="L287" s="1148"/>
      <c r="M287" s="745" t="s">
        <v>2053</v>
      </c>
      <c r="N287" s="824" t="s">
        <v>1824</v>
      </c>
      <c r="O287" s="127">
        <f>'3. PRECIOS Y COSTOS'!AS2447</f>
        <v>3169.8307449131971</v>
      </c>
      <c r="P287" s="127">
        <f t="shared" si="109"/>
        <v>3274.4351594953323</v>
      </c>
      <c r="Q287" s="127">
        <f t="shared" si="110"/>
        <v>3375.9426494396871</v>
      </c>
      <c r="R287" s="127">
        <f t="shared" si="111"/>
        <v>3480.596871572317</v>
      </c>
      <c r="S287" s="127">
        <f t="shared" si="112"/>
        <v>3595.456568334203</v>
      </c>
      <c r="V287" s="1148"/>
      <c r="W287" s="745" t="s">
        <v>1988</v>
      </c>
      <c r="X287" s="824" t="s">
        <v>1824</v>
      </c>
      <c r="Y287" s="127">
        <f>'3. PRECIOS Y COSTOS'!AO2469</f>
        <v>9219.5587449131963</v>
      </c>
      <c r="Z287" s="127">
        <f t="shared" si="105"/>
        <v>9523.804183495331</v>
      </c>
      <c r="AA287" s="127">
        <f t="shared" si="106"/>
        <v>9819.0421131836847</v>
      </c>
      <c r="AB287" s="127">
        <f t="shared" si="107"/>
        <v>10123.432418692379</v>
      </c>
      <c r="AC287" s="127">
        <f t="shared" si="108"/>
        <v>10457.505688509227</v>
      </c>
    </row>
    <row r="288" spans="2:62" x14ac:dyDescent="0.25">
      <c r="B288" s="1148"/>
      <c r="C288" s="745" t="s">
        <v>2025</v>
      </c>
      <c r="D288" s="824" t="s">
        <v>1824</v>
      </c>
      <c r="E288" s="127">
        <f>'3. PRECIOS Y COSTOS'!AS2419</f>
        <v>3198.9648249131969</v>
      </c>
      <c r="F288" s="127">
        <f t="shared" si="93"/>
        <v>3304.5306641353322</v>
      </c>
      <c r="G288" s="127">
        <f t="shared" si="94"/>
        <v>3406.9711147235271</v>
      </c>
      <c r="H288" s="127">
        <f t="shared" si="95"/>
        <v>3512.5872192799561</v>
      </c>
      <c r="I288" s="127">
        <f t="shared" si="96"/>
        <v>3628.5025975161943</v>
      </c>
      <c r="L288" s="1148"/>
      <c r="M288" s="745" t="s">
        <v>2054</v>
      </c>
      <c r="N288" s="824" t="s">
        <v>1824</v>
      </c>
      <c r="O288" s="127">
        <f>'3. PRECIOS Y COSTOS'!AT2447</f>
        <v>3169.8307449131971</v>
      </c>
      <c r="P288" s="127">
        <f t="shared" si="109"/>
        <v>3274.4351594953323</v>
      </c>
      <c r="Q288" s="127">
        <f t="shared" si="110"/>
        <v>3375.9426494396871</v>
      </c>
      <c r="R288" s="127">
        <f t="shared" si="111"/>
        <v>3480.596871572317</v>
      </c>
      <c r="S288" s="127">
        <f t="shared" si="112"/>
        <v>3595.456568334203</v>
      </c>
      <c r="V288" s="1148"/>
      <c r="W288" s="745" t="s">
        <v>1987</v>
      </c>
      <c r="X288" s="824" t="s">
        <v>1824</v>
      </c>
      <c r="Y288" s="127">
        <f>'3. PRECIOS Y COSTOS'!AP2469</f>
        <v>9219.5587449131963</v>
      </c>
      <c r="Z288" s="127">
        <f t="shared" si="105"/>
        <v>9523.804183495331</v>
      </c>
      <c r="AA288" s="127">
        <f t="shared" si="106"/>
        <v>9819.0421131836847</v>
      </c>
      <c r="AB288" s="127">
        <f t="shared" si="107"/>
        <v>10123.432418692379</v>
      </c>
      <c r="AC288" s="127">
        <f t="shared" si="108"/>
        <v>10457.505688509227</v>
      </c>
    </row>
    <row r="289" spans="2:29" x14ac:dyDescent="0.25">
      <c r="B289" s="1148"/>
      <c r="C289" s="745" t="s">
        <v>2026</v>
      </c>
      <c r="D289" s="824" t="s">
        <v>1824</v>
      </c>
      <c r="E289" s="127">
        <f>'3. PRECIOS Y COSTOS'!AT2419</f>
        <v>3198.9648249131969</v>
      </c>
      <c r="F289" s="127">
        <f t="shared" si="93"/>
        <v>3304.5306641353322</v>
      </c>
      <c r="G289" s="127">
        <f t="shared" si="94"/>
        <v>3406.9711147235271</v>
      </c>
      <c r="H289" s="127">
        <f t="shared" si="95"/>
        <v>3512.5872192799561</v>
      </c>
      <c r="I289" s="127">
        <f t="shared" si="96"/>
        <v>3628.5025975161943</v>
      </c>
      <c r="L289" s="1148"/>
      <c r="M289" s="745" t="s">
        <v>2029</v>
      </c>
      <c r="N289" s="824" t="s">
        <v>1824</v>
      </c>
      <c r="O289" s="127">
        <f>'3. PRECIOS Y COSTOS'!AS2448</f>
        <v>4217.6830329131963</v>
      </c>
      <c r="P289" s="127">
        <f t="shared" si="109"/>
        <v>4356.8665729993318</v>
      </c>
      <c r="Q289" s="127">
        <f t="shared" si="110"/>
        <v>4491.9294367623106</v>
      </c>
      <c r="R289" s="127">
        <f t="shared" si="111"/>
        <v>4631.179249301942</v>
      </c>
      <c r="S289" s="127">
        <f t="shared" si="112"/>
        <v>4784.0081645289056</v>
      </c>
      <c r="V289" s="1148"/>
      <c r="W289" s="745" t="s">
        <v>1978</v>
      </c>
      <c r="X289" s="824" t="s">
        <v>1824</v>
      </c>
      <c r="Y289" s="127">
        <f>'3. PRECIOS Y COSTOS'!AL2470</f>
        <v>3168.2316489299283</v>
      </c>
      <c r="Z289" s="127">
        <f t="shared" si="105"/>
        <v>3272.7832933446157</v>
      </c>
      <c r="AA289" s="127">
        <f t="shared" si="106"/>
        <v>3374.2395754382983</v>
      </c>
      <c r="AB289" s="127">
        <f t="shared" si="107"/>
        <v>3478.8410022768853</v>
      </c>
      <c r="AC289" s="127">
        <f t="shared" si="108"/>
        <v>3593.642755352022</v>
      </c>
    </row>
    <row r="290" spans="2:29" x14ac:dyDescent="0.25">
      <c r="B290" s="1148"/>
      <c r="C290" s="745" t="s">
        <v>2033</v>
      </c>
      <c r="D290" s="824" t="s">
        <v>1824</v>
      </c>
      <c r="E290" s="127">
        <f>'3. PRECIOS Y COSTOS'!AS2420</f>
        <v>3221.6707449131973</v>
      </c>
      <c r="F290" s="127">
        <f t="shared" si="93"/>
        <v>3327.9858794953325</v>
      </c>
      <c r="G290" s="127">
        <f t="shared" si="94"/>
        <v>3431.1534417596877</v>
      </c>
      <c r="H290" s="127">
        <f t="shared" si="95"/>
        <v>3537.5191984542375</v>
      </c>
      <c r="I290" s="127">
        <f t="shared" si="96"/>
        <v>3654.257332003227</v>
      </c>
      <c r="L290" s="1148"/>
      <c r="M290" s="745" t="s">
        <v>2030</v>
      </c>
      <c r="N290" s="824" t="s">
        <v>1824</v>
      </c>
      <c r="O290" s="127">
        <f>'3. PRECIOS Y COSTOS'!AT2448</f>
        <v>4217.6830329131963</v>
      </c>
      <c r="P290" s="127">
        <f t="shared" si="109"/>
        <v>4356.8665729993318</v>
      </c>
      <c r="Q290" s="127">
        <f t="shared" si="110"/>
        <v>4491.9294367623106</v>
      </c>
      <c r="R290" s="127">
        <f t="shared" si="111"/>
        <v>4631.179249301942</v>
      </c>
      <c r="S290" s="127">
        <f t="shared" si="112"/>
        <v>4784.0081645289056</v>
      </c>
      <c r="V290" s="1148"/>
      <c r="W290" s="745" t="s">
        <v>1980</v>
      </c>
      <c r="X290" s="824" t="s">
        <v>1824</v>
      </c>
      <c r="Y290" s="127">
        <f>'3. PRECIOS Y COSTOS'!AN2470</f>
        <v>3168.2316489299283</v>
      </c>
      <c r="Z290" s="127">
        <f t="shared" si="105"/>
        <v>3272.7832933446157</v>
      </c>
      <c r="AA290" s="127">
        <f t="shared" si="106"/>
        <v>3374.2395754382983</v>
      </c>
      <c r="AB290" s="127">
        <f t="shared" si="107"/>
        <v>3478.8410022768853</v>
      </c>
      <c r="AC290" s="127">
        <f t="shared" si="108"/>
        <v>3593.642755352022</v>
      </c>
    </row>
    <row r="291" spans="2:29" x14ac:dyDescent="0.25">
      <c r="B291" s="1148"/>
      <c r="C291" s="745" t="s">
        <v>2034</v>
      </c>
      <c r="D291" s="824" t="s">
        <v>1824</v>
      </c>
      <c r="E291" s="127">
        <f>'3. PRECIOS Y COSTOS'!AT2420</f>
        <v>3221.6707449131973</v>
      </c>
      <c r="F291" s="127">
        <f t="shared" si="93"/>
        <v>3327.9858794953325</v>
      </c>
      <c r="G291" s="127">
        <f t="shared" si="94"/>
        <v>3431.1534417596877</v>
      </c>
      <c r="H291" s="127">
        <f t="shared" si="95"/>
        <v>3537.5191984542375</v>
      </c>
      <c r="I291" s="127">
        <f t="shared" si="96"/>
        <v>3654.257332003227</v>
      </c>
      <c r="L291" s="1148"/>
      <c r="M291" s="745" t="s">
        <v>2001</v>
      </c>
      <c r="N291" s="824" t="s">
        <v>1824</v>
      </c>
      <c r="O291" s="127">
        <f>'3. PRECIOS Y COSTOS'!AK2449</f>
        <v>5606.3107449131976</v>
      </c>
      <c r="P291" s="127">
        <f t="shared" si="109"/>
        <v>5791.3189994953327</v>
      </c>
      <c r="Q291" s="127">
        <f t="shared" si="110"/>
        <v>5970.8498884796873</v>
      </c>
      <c r="R291" s="127">
        <f t="shared" si="111"/>
        <v>6155.9462350225567</v>
      </c>
      <c r="S291" s="127">
        <f t="shared" si="112"/>
        <v>6359.0924607783008</v>
      </c>
      <c r="V291" s="1148"/>
      <c r="W291" s="745" t="s">
        <v>1981</v>
      </c>
      <c r="X291" s="824" t="s">
        <v>1824</v>
      </c>
      <c r="Y291" s="127">
        <f>'3. PRECIOS Y COSTOS'!AO2470</f>
        <v>3014.3107449131971</v>
      </c>
      <c r="Z291" s="127">
        <f t="shared" si="105"/>
        <v>3113.7829994953322</v>
      </c>
      <c r="AA291" s="127">
        <f t="shared" si="106"/>
        <v>3210.3102724796872</v>
      </c>
      <c r="AB291" s="127">
        <f t="shared" si="107"/>
        <v>3309.8298909265573</v>
      </c>
      <c r="AC291" s="127">
        <f t="shared" si="108"/>
        <v>3419.0542773271331</v>
      </c>
    </row>
    <row r="292" spans="2:29" x14ac:dyDescent="0.25">
      <c r="B292" s="1148"/>
      <c r="C292" s="745" t="s">
        <v>2340</v>
      </c>
      <c r="D292" s="824" t="s">
        <v>1824</v>
      </c>
      <c r="E292" s="127">
        <f>'3. PRECIOS Y COSTOS'!AO2421</f>
        <v>6237.3763449131966</v>
      </c>
      <c r="F292" s="127">
        <f t="shared" si="93"/>
        <v>6443.2097642953313</v>
      </c>
      <c r="G292" s="127">
        <f t="shared" si="94"/>
        <v>6642.9492669884858</v>
      </c>
      <c r="H292" s="127">
        <f t="shared" si="95"/>
        <v>6848.8806942651281</v>
      </c>
      <c r="I292" s="127">
        <f t="shared" si="96"/>
        <v>7074.893757175877</v>
      </c>
      <c r="L292" s="1148"/>
      <c r="M292" s="745" t="s">
        <v>2097</v>
      </c>
      <c r="N292" s="824" t="s">
        <v>1824</v>
      </c>
      <c r="O292" s="127">
        <f>'3. PRECIOS Y COSTOS'!AN2449</f>
        <v>5760.2316489299283</v>
      </c>
      <c r="P292" s="127">
        <f t="shared" si="109"/>
        <v>5950.3192933446153</v>
      </c>
      <c r="Q292" s="127">
        <f t="shared" si="110"/>
        <v>6134.7791914382979</v>
      </c>
      <c r="R292" s="127">
        <f t="shared" si="111"/>
        <v>6324.9573463728848</v>
      </c>
      <c r="S292" s="127">
        <f t="shared" si="112"/>
        <v>6533.6809388031897</v>
      </c>
      <c r="V292" s="1148"/>
      <c r="W292" s="745" t="s">
        <v>1982</v>
      </c>
      <c r="X292" s="824" t="s">
        <v>1824</v>
      </c>
      <c r="Y292" s="127">
        <f>'3. PRECIOS Y COSTOS'!AP2470</f>
        <v>3014.3107449131971</v>
      </c>
      <c r="Z292" s="127">
        <f t="shared" si="105"/>
        <v>3113.7829994953322</v>
      </c>
      <c r="AA292" s="127">
        <f t="shared" si="106"/>
        <v>3210.3102724796872</v>
      </c>
      <c r="AB292" s="127">
        <f t="shared" si="107"/>
        <v>3309.8298909265573</v>
      </c>
      <c r="AC292" s="127">
        <f t="shared" si="108"/>
        <v>3419.0542773271331</v>
      </c>
    </row>
    <row r="293" spans="2:29" x14ac:dyDescent="0.25">
      <c r="B293" s="1148"/>
      <c r="C293" s="745" t="s">
        <v>2093</v>
      </c>
      <c r="D293" s="824" t="s">
        <v>1824</v>
      </c>
      <c r="E293" s="127">
        <f>'3. PRECIOS Y COSTOS'!AM2422</f>
        <v>5701.3491974502631</v>
      </c>
      <c r="F293" s="127">
        <f t="shared" si="93"/>
        <v>5889.4937209661211</v>
      </c>
      <c r="G293" s="127">
        <f t="shared" si="94"/>
        <v>6072.0680263160702</v>
      </c>
      <c r="H293" s="127">
        <f t="shared" si="95"/>
        <v>6260.3021351318675</v>
      </c>
      <c r="I293" s="127">
        <f t="shared" si="96"/>
        <v>6466.8921055912188</v>
      </c>
      <c r="L293" s="1148"/>
      <c r="M293" s="745" t="s">
        <v>2021</v>
      </c>
      <c r="N293" s="824" t="s">
        <v>1824</v>
      </c>
      <c r="O293" s="127">
        <f>'3. PRECIOS Y COSTOS'!AL2450</f>
        <v>3292.6476489299284</v>
      </c>
      <c r="P293" s="127">
        <f t="shared" si="109"/>
        <v>3401.3050213446159</v>
      </c>
      <c r="Q293" s="127">
        <f t="shared" si="110"/>
        <v>3506.7454770062986</v>
      </c>
      <c r="R293" s="127">
        <f t="shared" si="111"/>
        <v>3615.4545867934935</v>
      </c>
      <c r="S293" s="127">
        <f t="shared" si="112"/>
        <v>3734.7645881576786</v>
      </c>
      <c r="V293" s="1148"/>
      <c r="W293" s="745" t="s">
        <v>2341</v>
      </c>
      <c r="X293" s="824" t="s">
        <v>1824</v>
      </c>
      <c r="Y293" s="127">
        <f>'3. PRECIOS Y COSTOS'!AO2471</f>
        <v>5712.5827449131975</v>
      </c>
      <c r="Z293" s="127">
        <f t="shared" si="105"/>
        <v>5901.0979754953323</v>
      </c>
      <c r="AA293" s="127">
        <f t="shared" si="106"/>
        <v>6084.0320127356872</v>
      </c>
      <c r="AB293" s="127">
        <f t="shared" si="107"/>
        <v>6272.637005130493</v>
      </c>
      <c r="AC293" s="127">
        <f t="shared" si="108"/>
        <v>6479.6340262997992</v>
      </c>
    </row>
    <row r="294" spans="2:29" x14ac:dyDescent="0.25">
      <c r="B294" s="1148"/>
      <c r="C294" s="745" t="s">
        <v>2000</v>
      </c>
      <c r="D294" s="824" t="s">
        <v>1824</v>
      </c>
      <c r="E294" s="127">
        <f>'3. PRECIOS Y COSTOS'!AO2422</f>
        <v>5701.3491974502631</v>
      </c>
      <c r="F294" s="127">
        <f t="shared" si="93"/>
        <v>5889.4937209661211</v>
      </c>
      <c r="G294" s="127">
        <f t="shared" si="94"/>
        <v>6072.0680263160702</v>
      </c>
      <c r="H294" s="127">
        <f t="shared" si="95"/>
        <v>6260.3021351318675</v>
      </c>
      <c r="I294" s="127">
        <f t="shared" si="96"/>
        <v>6466.8921055912188</v>
      </c>
      <c r="L294" s="1148"/>
      <c r="M294" s="745" t="s">
        <v>2022</v>
      </c>
      <c r="N294" s="824" t="s">
        <v>1824</v>
      </c>
      <c r="O294" s="127">
        <f>'3. PRECIOS Y COSTOS'!AS2450</f>
        <v>3138.7267449131969</v>
      </c>
      <c r="P294" s="127">
        <f t="shared" si="109"/>
        <v>3242.3047274953319</v>
      </c>
      <c r="Q294" s="127">
        <f t="shared" si="110"/>
        <v>3342.8161740476871</v>
      </c>
      <c r="R294" s="127">
        <f t="shared" si="111"/>
        <v>3446.443475443165</v>
      </c>
      <c r="S294" s="127">
        <f t="shared" si="112"/>
        <v>3560.1761101327893</v>
      </c>
      <c r="V294" s="1148"/>
      <c r="W294" s="745" t="s">
        <v>2062</v>
      </c>
      <c r="X294" s="824" t="s">
        <v>1824</v>
      </c>
      <c r="Y294" s="127">
        <f>'3. PRECIOS Y COSTOS'!AS2472</f>
        <v>3134.8387449131965</v>
      </c>
      <c r="Z294" s="127">
        <f t="shared" si="105"/>
        <v>3238.2884234953317</v>
      </c>
      <c r="AA294" s="127">
        <f t="shared" si="106"/>
        <v>3338.6753646236866</v>
      </c>
      <c r="AB294" s="127">
        <f t="shared" si="107"/>
        <v>3442.1743009270208</v>
      </c>
      <c r="AC294" s="127">
        <f t="shared" si="108"/>
        <v>3555.7660528576121</v>
      </c>
    </row>
    <row r="295" spans="2:29" x14ac:dyDescent="0.25">
      <c r="B295" s="1148"/>
      <c r="C295" s="745" t="s">
        <v>2094</v>
      </c>
      <c r="D295" s="824" t="s">
        <v>1824</v>
      </c>
      <c r="E295" s="127">
        <f>'3. PRECIOS Y COSTOS'!AM2423</f>
        <v>7175.1603974502632</v>
      </c>
      <c r="F295" s="127">
        <f t="shared" si="93"/>
        <v>7411.9406905661217</v>
      </c>
      <c r="G295" s="127">
        <f t="shared" si="94"/>
        <v>7641.7108519736712</v>
      </c>
      <c r="H295" s="127">
        <f t="shared" si="95"/>
        <v>7878.6038883848541</v>
      </c>
      <c r="I295" s="127">
        <f t="shared" si="96"/>
        <v>8138.5978167015537</v>
      </c>
      <c r="L295" s="1148"/>
      <c r="M295" s="745" t="s">
        <v>2012</v>
      </c>
      <c r="N295" s="824" t="s">
        <v>1824</v>
      </c>
      <c r="O295" s="127">
        <f>'3. PRECIOS Y COSTOS'!AK2451</f>
        <v>23209.930584913196</v>
      </c>
      <c r="P295" s="127">
        <f t="shared" si="109"/>
        <v>23975.85829421533</v>
      </c>
      <c r="Q295" s="127">
        <f t="shared" si="110"/>
        <v>24719.109901336004</v>
      </c>
      <c r="R295" s="127">
        <f t="shared" si="111"/>
        <v>25485.402308277418</v>
      </c>
      <c r="S295" s="127">
        <f t="shared" si="112"/>
        <v>26326.42058445057</v>
      </c>
      <c r="V295" s="1148"/>
      <c r="W295" s="745" t="s">
        <v>2073</v>
      </c>
      <c r="X295" s="824" t="s">
        <v>1824</v>
      </c>
      <c r="Y295" s="127">
        <f>'3. PRECIOS Y COSTOS'!AT2472</f>
        <v>3134.8387449131965</v>
      </c>
      <c r="Z295" s="127">
        <f t="shared" si="105"/>
        <v>3238.2884234953317</v>
      </c>
      <c r="AA295" s="127">
        <f t="shared" si="106"/>
        <v>3338.6753646236866</v>
      </c>
      <c r="AB295" s="127">
        <f t="shared" si="107"/>
        <v>3442.1743009270208</v>
      </c>
      <c r="AC295" s="127">
        <f t="shared" si="108"/>
        <v>3555.7660528576121</v>
      </c>
    </row>
    <row r="296" spans="2:29" x14ac:dyDescent="0.25">
      <c r="B296" s="1148"/>
      <c r="C296" s="745" t="s">
        <v>2016</v>
      </c>
      <c r="D296" s="824" t="s">
        <v>1824</v>
      </c>
      <c r="E296" s="127">
        <f>'3. PRECIOS Y COSTOS'!AO2423</f>
        <v>7175.1603974502632</v>
      </c>
      <c r="F296" s="127">
        <f t="shared" si="93"/>
        <v>7411.9406905661217</v>
      </c>
      <c r="G296" s="127">
        <f t="shared" si="94"/>
        <v>7641.7108519736712</v>
      </c>
      <c r="H296" s="127">
        <f t="shared" si="95"/>
        <v>7878.6038883848541</v>
      </c>
      <c r="I296" s="127">
        <f t="shared" si="96"/>
        <v>8138.5978167015537</v>
      </c>
      <c r="L296" s="1148"/>
      <c r="M296" s="745" t="s">
        <v>2008</v>
      </c>
      <c r="N296" s="824" t="s">
        <v>1824</v>
      </c>
      <c r="O296" s="127">
        <f>'3. PRECIOS Y COSTOS'!AM2451</f>
        <v>23363.851488929929</v>
      </c>
      <c r="P296" s="127">
        <f t="shared" si="109"/>
        <v>24134.858588064617</v>
      </c>
      <c r="Q296" s="127">
        <f t="shared" si="110"/>
        <v>24883.039204294619</v>
      </c>
      <c r="R296" s="127">
        <f t="shared" si="111"/>
        <v>25654.413419627748</v>
      </c>
      <c r="S296" s="127">
        <f t="shared" si="112"/>
        <v>26501.009062475463</v>
      </c>
      <c r="V296" s="1148"/>
      <c r="W296" s="745" t="s">
        <v>2031</v>
      </c>
      <c r="X296" s="824" t="s">
        <v>1824</v>
      </c>
      <c r="Y296" s="127">
        <f>'3. PRECIOS Y COSTOS'!AS2473</f>
        <v>3160.7587449131966</v>
      </c>
      <c r="Z296" s="127">
        <f t="shared" si="105"/>
        <v>3265.0637834953318</v>
      </c>
      <c r="AA296" s="127">
        <f t="shared" si="106"/>
        <v>3366.2807607836867</v>
      </c>
      <c r="AB296" s="127">
        <f t="shared" si="107"/>
        <v>3470.6354643679806</v>
      </c>
      <c r="AC296" s="127">
        <f t="shared" si="108"/>
        <v>3585.1664346921239</v>
      </c>
    </row>
    <row r="297" spans="2:29" x14ac:dyDescent="0.25">
      <c r="B297" s="1148"/>
      <c r="C297" s="745" t="s">
        <v>2031</v>
      </c>
      <c r="D297" s="824" t="s">
        <v>1824</v>
      </c>
      <c r="E297" s="127">
        <f>'3. PRECIOS Y COSTOS'!AS2424</f>
        <v>3160.7587449131966</v>
      </c>
      <c r="F297" s="127">
        <f t="shared" si="93"/>
        <v>3265.0637834953318</v>
      </c>
      <c r="G297" s="127">
        <f t="shared" si="94"/>
        <v>3366.2807607836867</v>
      </c>
      <c r="H297" s="127">
        <f t="shared" si="95"/>
        <v>3470.6354643679806</v>
      </c>
      <c r="I297" s="127">
        <f t="shared" si="96"/>
        <v>3585.1664346921239</v>
      </c>
      <c r="L297" s="1148"/>
      <c r="M297" s="745" t="s">
        <v>2009</v>
      </c>
      <c r="N297" s="824" t="s">
        <v>1824</v>
      </c>
      <c r="O297" s="127">
        <f>'3. PRECIOS Y COSTOS'!AR2451</f>
        <v>23209.930584913196</v>
      </c>
      <c r="P297" s="127">
        <f t="shared" si="109"/>
        <v>23975.85829421533</v>
      </c>
      <c r="Q297" s="127">
        <f t="shared" si="110"/>
        <v>24719.109901336004</v>
      </c>
      <c r="R297" s="127">
        <f t="shared" si="111"/>
        <v>25485.402308277418</v>
      </c>
      <c r="S297" s="127">
        <f t="shared" si="112"/>
        <v>26326.42058445057</v>
      </c>
      <c r="V297" s="1148"/>
      <c r="W297" s="745" t="s">
        <v>2032</v>
      </c>
      <c r="X297" s="824" t="s">
        <v>1824</v>
      </c>
      <c r="Y297" s="127">
        <f>'3. PRECIOS Y COSTOS'!AT2473</f>
        <v>3160.7587449131966</v>
      </c>
      <c r="Z297" s="127">
        <f t="shared" si="105"/>
        <v>3265.0637834953318</v>
      </c>
      <c r="AA297" s="127">
        <f t="shared" si="106"/>
        <v>3366.2807607836867</v>
      </c>
      <c r="AB297" s="127">
        <f t="shared" si="107"/>
        <v>3470.6354643679806</v>
      </c>
      <c r="AC297" s="127">
        <f t="shared" si="108"/>
        <v>3585.1664346921239</v>
      </c>
    </row>
    <row r="298" spans="2:29" x14ac:dyDescent="0.25">
      <c r="B298" s="1148"/>
      <c r="C298" s="745" t="s">
        <v>2032</v>
      </c>
      <c r="D298" s="824" t="s">
        <v>1824</v>
      </c>
      <c r="E298" s="127">
        <f>'3. PRECIOS Y COSTOS'!AT2424</f>
        <v>3160.7587449131966</v>
      </c>
      <c r="F298" s="127">
        <f t="shared" si="93"/>
        <v>3265.0637834953318</v>
      </c>
      <c r="G298" s="127">
        <f t="shared" si="94"/>
        <v>3366.2807607836867</v>
      </c>
      <c r="H298" s="127">
        <f t="shared" si="95"/>
        <v>3470.6354643679806</v>
      </c>
      <c r="I298" s="127">
        <f t="shared" si="96"/>
        <v>3585.1664346921239</v>
      </c>
      <c r="L298" s="1148"/>
      <c r="M298" s="745" t="s">
        <v>2023</v>
      </c>
      <c r="N298" s="824" t="s">
        <v>1824</v>
      </c>
      <c r="O298" s="127">
        <f>'3. PRECIOS Y COSTOS'!AS2452</f>
        <v>3359.876184913197</v>
      </c>
      <c r="P298" s="127">
        <f t="shared" si="109"/>
        <v>3470.7520990153321</v>
      </c>
      <c r="Q298" s="127">
        <f t="shared" si="110"/>
        <v>3578.3454140848071</v>
      </c>
      <c r="R298" s="127">
        <f t="shared" si="111"/>
        <v>3689.2741219214358</v>
      </c>
      <c r="S298" s="127">
        <f t="shared" si="112"/>
        <v>3811.0201679448428</v>
      </c>
      <c r="V298" s="1148"/>
      <c r="W298" s="745" t="s">
        <v>2029</v>
      </c>
      <c r="X298" s="824" t="s">
        <v>1824</v>
      </c>
      <c r="Y298" s="127">
        <f>'3. PRECIOS Y COSTOS'!AS2474</f>
        <v>4217.6830329131963</v>
      </c>
      <c r="Z298" s="127">
        <f t="shared" si="105"/>
        <v>4356.8665729993318</v>
      </c>
      <c r="AA298" s="127">
        <f t="shared" si="106"/>
        <v>4491.9294367623106</v>
      </c>
      <c r="AB298" s="127">
        <f t="shared" si="107"/>
        <v>4631.179249301942</v>
      </c>
      <c r="AC298" s="127">
        <f t="shared" si="108"/>
        <v>4784.0081645289056</v>
      </c>
    </row>
    <row r="299" spans="2:29" x14ac:dyDescent="0.25">
      <c r="B299" s="1148"/>
      <c r="C299" s="745" t="s">
        <v>2029</v>
      </c>
      <c r="D299" s="824" t="s">
        <v>1824</v>
      </c>
      <c r="E299" s="127">
        <f>'3. PRECIOS Y COSTOS'!AS2425</f>
        <v>4217.6830329131963</v>
      </c>
      <c r="F299" s="127">
        <f t="shared" si="93"/>
        <v>4356.8665729993318</v>
      </c>
      <c r="G299" s="127">
        <f t="shared" si="94"/>
        <v>4491.9294367623106</v>
      </c>
      <c r="H299" s="127">
        <f t="shared" si="95"/>
        <v>4631.179249301942</v>
      </c>
      <c r="I299" s="127">
        <f t="shared" si="96"/>
        <v>4784.0081645289056</v>
      </c>
      <c r="L299" s="1148"/>
      <c r="M299" s="745" t="s">
        <v>2024</v>
      </c>
      <c r="N299" s="824" t="s">
        <v>1824</v>
      </c>
      <c r="O299" s="127">
        <f>'3. PRECIOS Y COSTOS'!AT2452</f>
        <v>3359.876184913197</v>
      </c>
      <c r="P299" s="127">
        <f t="shared" si="109"/>
        <v>3470.7520990153321</v>
      </c>
      <c r="Q299" s="127">
        <f t="shared" si="110"/>
        <v>3578.3454140848071</v>
      </c>
      <c r="R299" s="127">
        <f t="shared" si="111"/>
        <v>3689.2741219214358</v>
      </c>
      <c r="S299" s="127">
        <f t="shared" si="112"/>
        <v>3811.0201679448428</v>
      </c>
      <c r="V299" s="1148"/>
      <c r="W299" s="745" t="s">
        <v>2030</v>
      </c>
      <c r="X299" s="824" t="s">
        <v>1824</v>
      </c>
      <c r="Y299" s="127">
        <f>'3. PRECIOS Y COSTOS'!AT2474</f>
        <v>4217.6830329131963</v>
      </c>
      <c r="Z299" s="127">
        <f t="shared" si="105"/>
        <v>4356.8665729993318</v>
      </c>
      <c r="AA299" s="127">
        <f t="shared" si="106"/>
        <v>4491.9294367623106</v>
      </c>
      <c r="AB299" s="127">
        <f t="shared" si="107"/>
        <v>4631.179249301942</v>
      </c>
      <c r="AC299" s="127">
        <f t="shared" si="108"/>
        <v>4784.0081645289056</v>
      </c>
    </row>
    <row r="300" spans="2:29" x14ac:dyDescent="0.25">
      <c r="B300" s="1148"/>
      <c r="C300" s="745" t="s">
        <v>2030</v>
      </c>
      <c r="D300" s="824" t="s">
        <v>1824</v>
      </c>
      <c r="E300" s="127">
        <f>'3. PRECIOS Y COSTOS'!AT2425</f>
        <v>4217.6830329131963</v>
      </c>
      <c r="F300" s="127">
        <f t="shared" si="93"/>
        <v>4356.8665729993318</v>
      </c>
      <c r="G300" s="127">
        <f t="shared" si="94"/>
        <v>4491.9294367623106</v>
      </c>
      <c r="H300" s="127">
        <f t="shared" si="95"/>
        <v>4631.179249301942</v>
      </c>
      <c r="I300" s="127">
        <f t="shared" si="96"/>
        <v>4784.0081645289056</v>
      </c>
      <c r="L300" s="1148"/>
      <c r="M300" s="745" t="s">
        <v>2025</v>
      </c>
      <c r="N300" s="824" t="s">
        <v>1824</v>
      </c>
      <c r="O300" s="127">
        <f>'3. PRECIOS Y COSTOS'!AS2453</f>
        <v>3260.5161849131969</v>
      </c>
      <c r="P300" s="127">
        <f t="shared" si="109"/>
        <v>3368.1132190153321</v>
      </c>
      <c r="Q300" s="127">
        <f t="shared" si="110"/>
        <v>3472.5247288048072</v>
      </c>
      <c r="R300" s="127">
        <f t="shared" si="111"/>
        <v>3580.172995397756</v>
      </c>
      <c r="S300" s="127">
        <f t="shared" si="112"/>
        <v>3698.3187042458817</v>
      </c>
      <c r="V300" s="1148"/>
      <c r="W300" s="745" t="s">
        <v>2023</v>
      </c>
      <c r="X300" s="824" t="s">
        <v>1824</v>
      </c>
      <c r="Y300" s="127">
        <f>'3. PRECIOS Y COSTOS'!AS2475</f>
        <v>3273.4848249131969</v>
      </c>
      <c r="Z300" s="127">
        <f t="shared" si="105"/>
        <v>3381.5098241353321</v>
      </c>
      <c r="AA300" s="127">
        <f t="shared" si="106"/>
        <v>3486.3366286835271</v>
      </c>
      <c r="AB300" s="127">
        <f t="shared" si="107"/>
        <v>3594.4130641727161</v>
      </c>
      <c r="AC300" s="127">
        <f t="shared" si="108"/>
        <v>3713.0286952904153</v>
      </c>
    </row>
    <row r="301" spans="2:29" x14ac:dyDescent="0.25">
      <c r="B301" s="1148"/>
      <c r="C301" s="745" t="s">
        <v>2095</v>
      </c>
      <c r="D301" s="824" t="s">
        <v>1824</v>
      </c>
      <c r="E301" s="127">
        <f>'3. PRECIOS Y COSTOS'!AS2426</f>
        <v>3079.6291449131968</v>
      </c>
      <c r="F301" s="127">
        <f t="shared" si="93"/>
        <v>3181.256906695332</v>
      </c>
      <c r="G301" s="127">
        <f t="shared" si="94"/>
        <v>3279.8758708028868</v>
      </c>
      <c r="H301" s="127">
        <f t="shared" si="95"/>
        <v>3381.5520227977759</v>
      </c>
      <c r="I301" s="127">
        <f t="shared" si="96"/>
        <v>3493.1432395501024</v>
      </c>
      <c r="L301" s="1148"/>
      <c r="M301" s="745" t="s">
        <v>2026</v>
      </c>
      <c r="N301" s="824" t="s">
        <v>1824</v>
      </c>
      <c r="O301" s="127">
        <f>'3. PRECIOS Y COSTOS'!AT2453</f>
        <v>3260.5161849131969</v>
      </c>
      <c r="P301" s="127">
        <f t="shared" si="109"/>
        <v>3368.1132190153321</v>
      </c>
      <c r="Q301" s="127">
        <f t="shared" si="110"/>
        <v>3472.5247288048072</v>
      </c>
      <c r="R301" s="127">
        <f t="shared" si="111"/>
        <v>3580.172995397756</v>
      </c>
      <c r="S301" s="127">
        <f t="shared" si="112"/>
        <v>3698.3187042458817</v>
      </c>
      <c r="V301" s="1148"/>
      <c r="W301" s="745" t="s">
        <v>2024</v>
      </c>
      <c r="X301" s="824" t="s">
        <v>1824</v>
      </c>
      <c r="Y301" s="127">
        <f>'3. PRECIOS Y COSTOS'!AT2475</f>
        <v>3273.4848249131969</v>
      </c>
      <c r="Z301" s="127">
        <f t="shared" si="105"/>
        <v>3381.5098241353321</v>
      </c>
      <c r="AA301" s="127">
        <f t="shared" si="106"/>
        <v>3486.3366286835271</v>
      </c>
      <c r="AB301" s="127">
        <f t="shared" si="107"/>
        <v>3594.4130641727161</v>
      </c>
      <c r="AC301" s="127">
        <f t="shared" si="108"/>
        <v>3713.0286952904153</v>
      </c>
    </row>
    <row r="302" spans="2:29" x14ac:dyDescent="0.25">
      <c r="B302" s="1148"/>
      <c r="C302" s="745" t="s">
        <v>2096</v>
      </c>
      <c r="D302" s="824" t="s">
        <v>1824</v>
      </c>
      <c r="E302" s="127">
        <f>'3. PRECIOS Y COSTOS'!AT2426</f>
        <v>3079.6291449131968</v>
      </c>
      <c r="F302" s="127">
        <f t="shared" si="93"/>
        <v>3181.256906695332</v>
      </c>
      <c r="G302" s="127">
        <f t="shared" si="94"/>
        <v>3279.8758708028868</v>
      </c>
      <c r="H302" s="127">
        <f t="shared" si="95"/>
        <v>3381.5520227977759</v>
      </c>
      <c r="I302" s="127">
        <f t="shared" si="96"/>
        <v>3493.1432395501024</v>
      </c>
      <c r="L302" s="1148"/>
      <c r="M302" s="745" t="s">
        <v>2340</v>
      </c>
      <c r="N302" s="824" t="s">
        <v>1824</v>
      </c>
      <c r="O302" s="127">
        <f>'3. PRECIOS Y COSTOS'!AO2454</f>
        <v>5257.9459449131982</v>
      </c>
      <c r="P302" s="127">
        <f t="shared" si="109"/>
        <v>5431.4581610953337</v>
      </c>
      <c r="Q302" s="127">
        <f t="shared" si="110"/>
        <v>5599.8333640892888</v>
      </c>
      <c r="R302" s="127">
        <f t="shared" si="111"/>
        <v>5773.4281983760566</v>
      </c>
      <c r="S302" s="127">
        <f t="shared" si="112"/>
        <v>5963.951328922466</v>
      </c>
      <c r="V302" s="1148"/>
      <c r="W302" s="745" t="s">
        <v>2342</v>
      </c>
      <c r="X302" s="824" t="s">
        <v>1824</v>
      </c>
      <c r="Y302" s="127">
        <f>'3. PRECIOS Y COSTOS'!AO2476</f>
        <v>7043.1427449131979</v>
      </c>
      <c r="Z302" s="127">
        <f t="shared" si="105"/>
        <v>7275.5664554953328</v>
      </c>
      <c r="AA302" s="127">
        <f t="shared" si="106"/>
        <v>7501.1090156156879</v>
      </c>
      <c r="AB302" s="127">
        <f t="shared" si="107"/>
        <v>7733.6433950997734</v>
      </c>
      <c r="AC302" s="127">
        <f t="shared" si="108"/>
        <v>7988.8536271380653</v>
      </c>
    </row>
    <row r="303" spans="2:29" x14ac:dyDescent="0.25">
      <c r="B303" s="1148"/>
      <c r="C303" s="745" t="s">
        <v>2023</v>
      </c>
      <c r="D303" s="824" t="s">
        <v>1824</v>
      </c>
      <c r="E303" s="127">
        <f>'3. PRECIOS Y COSTOS'!AS2427</f>
        <v>3273.4848249131969</v>
      </c>
      <c r="F303" s="127">
        <f t="shared" si="93"/>
        <v>3381.5098241353321</v>
      </c>
      <c r="G303" s="127">
        <f t="shared" si="94"/>
        <v>3486.3366286835271</v>
      </c>
      <c r="H303" s="127">
        <f t="shared" si="95"/>
        <v>3594.4130641727161</v>
      </c>
      <c r="I303" s="127">
        <f t="shared" si="96"/>
        <v>3713.0286952904153</v>
      </c>
      <c r="L303" s="1148"/>
      <c r="M303" s="745" t="s">
        <v>2098</v>
      </c>
      <c r="N303" s="824" t="s">
        <v>1824</v>
      </c>
      <c r="O303" s="127">
        <f>'3. PRECIOS Y COSTOS'!AS2455</f>
        <v>3432.1411449131965</v>
      </c>
      <c r="P303" s="127">
        <f t="shared" si="109"/>
        <v>3545.4018026953318</v>
      </c>
      <c r="Q303" s="127">
        <f t="shared" si="110"/>
        <v>3655.3092585788868</v>
      </c>
      <c r="R303" s="127">
        <f t="shared" si="111"/>
        <v>3768.6238455948319</v>
      </c>
      <c r="S303" s="127">
        <f t="shared" si="112"/>
        <v>3892.9884324994609</v>
      </c>
      <c r="V303" s="1148"/>
      <c r="W303" s="745" t="s">
        <v>2033</v>
      </c>
      <c r="X303" s="824" t="s">
        <v>1824</v>
      </c>
      <c r="Y303" s="127">
        <f>'3. PRECIOS Y COSTOS'!AS2477</f>
        <v>3290.7907449131972</v>
      </c>
      <c r="Z303" s="127">
        <f t="shared" si="105"/>
        <v>3399.3868394953324</v>
      </c>
      <c r="AA303" s="127">
        <f t="shared" si="106"/>
        <v>3504.7678315196877</v>
      </c>
      <c r="AB303" s="127">
        <f t="shared" si="107"/>
        <v>3613.4156342967976</v>
      </c>
      <c r="AC303" s="127">
        <f t="shared" si="108"/>
        <v>3732.6583502285916</v>
      </c>
    </row>
    <row r="304" spans="2:29" x14ac:dyDescent="0.25">
      <c r="B304" s="1148"/>
      <c r="C304" s="745" t="s">
        <v>2024</v>
      </c>
      <c r="D304" s="824" t="s">
        <v>1824</v>
      </c>
      <c r="E304" s="127">
        <f>'3. PRECIOS Y COSTOS'!AT2427</f>
        <v>3273.4848249131969</v>
      </c>
      <c r="F304" s="127">
        <f t="shared" si="93"/>
        <v>3381.5098241353321</v>
      </c>
      <c r="G304" s="127">
        <f t="shared" si="94"/>
        <v>3486.3366286835271</v>
      </c>
      <c r="H304" s="127">
        <f t="shared" si="95"/>
        <v>3594.4130641727161</v>
      </c>
      <c r="I304" s="127">
        <f t="shared" si="96"/>
        <v>3713.0286952904153</v>
      </c>
      <c r="L304" s="586"/>
      <c r="M304" s="30"/>
      <c r="N304" s="30"/>
      <c r="O304" s="30"/>
      <c r="P304" s="30"/>
      <c r="Q304" s="30"/>
      <c r="R304" s="30"/>
      <c r="S304" s="30"/>
      <c r="V304" s="1148"/>
      <c r="W304" s="745" t="s">
        <v>2034</v>
      </c>
      <c r="X304" s="824" t="s">
        <v>1824</v>
      </c>
      <c r="Y304" s="127">
        <f>'3. PRECIOS Y COSTOS'!AT2477</f>
        <v>3290.7907449131972</v>
      </c>
      <c r="Z304" s="127">
        <f t="shared" si="105"/>
        <v>3399.3868394953324</v>
      </c>
      <c r="AA304" s="127">
        <f t="shared" si="106"/>
        <v>3504.7678315196877</v>
      </c>
      <c r="AB304" s="127">
        <f t="shared" si="107"/>
        <v>3613.4156342967976</v>
      </c>
      <c r="AC304" s="127">
        <f t="shared" si="108"/>
        <v>3732.6583502285916</v>
      </c>
    </row>
    <row r="305" spans="2:29" x14ac:dyDescent="0.25">
      <c r="B305" s="1148"/>
      <c r="C305" s="745" t="s">
        <v>514</v>
      </c>
      <c r="D305" s="824" t="s">
        <v>1824</v>
      </c>
      <c r="E305" s="127">
        <f>'3. PRECIOS Y COSTOS'!AJ2428</f>
        <v>5968.4412765701618</v>
      </c>
      <c r="F305" s="127">
        <f t="shared" si="93"/>
        <v>6165.399838696977</v>
      </c>
      <c r="G305" s="127">
        <f t="shared" si="94"/>
        <v>6356.5272336965827</v>
      </c>
      <c r="H305" s="127">
        <f t="shared" si="95"/>
        <v>6553.5795779411765</v>
      </c>
      <c r="I305" s="127">
        <f t="shared" si="96"/>
        <v>6769.8477040132348</v>
      </c>
      <c r="L305" s="586"/>
      <c r="M305" s="30"/>
      <c r="N305" s="30"/>
      <c r="O305" s="30"/>
      <c r="P305" s="30"/>
      <c r="Q305" s="30"/>
      <c r="R305" s="30"/>
      <c r="S305" s="30"/>
      <c r="V305" s="1148"/>
      <c r="W305" s="745" t="s">
        <v>2051</v>
      </c>
      <c r="X305" s="824" t="s">
        <v>1824</v>
      </c>
      <c r="Y305" s="127">
        <f>'3. PRECIOS Y COSTOS'!AS2478</f>
        <v>4015.0992249131973</v>
      </c>
      <c r="Z305" s="127">
        <f t="shared" si="105"/>
        <v>4147.5974993353329</v>
      </c>
      <c r="AA305" s="127">
        <f t="shared" si="106"/>
        <v>4276.1730218147277</v>
      </c>
      <c r="AB305" s="127">
        <f t="shared" si="107"/>
        <v>4408.7343854909841</v>
      </c>
      <c r="AC305" s="127">
        <f t="shared" si="108"/>
        <v>4554.2226202121865</v>
      </c>
    </row>
    <row r="306" spans="2:29" x14ac:dyDescent="0.25">
      <c r="B306" s="1148"/>
      <c r="C306" s="745" t="s">
        <v>2021</v>
      </c>
      <c r="D306" s="824" t="s">
        <v>1824</v>
      </c>
      <c r="E306" s="127">
        <f>'3. PRECIOS Y COSTOS'!AL2429</f>
        <v>3292.6476489299284</v>
      </c>
      <c r="F306" s="127">
        <f t="shared" si="93"/>
        <v>3401.3050213446159</v>
      </c>
      <c r="G306" s="127">
        <f t="shared" si="94"/>
        <v>3506.7454770062986</v>
      </c>
      <c r="H306" s="127">
        <f t="shared" si="95"/>
        <v>3615.4545867934935</v>
      </c>
      <c r="I306" s="127">
        <f t="shared" si="96"/>
        <v>3734.7645881576786</v>
      </c>
      <c r="L306" s="586"/>
      <c r="M306" s="30"/>
      <c r="N306" s="30"/>
      <c r="O306" s="30"/>
      <c r="P306" s="30"/>
      <c r="Q306" s="30"/>
      <c r="R306" s="30"/>
      <c r="S306" s="30"/>
      <c r="V306" s="1148"/>
      <c r="W306" s="745" t="s">
        <v>2052</v>
      </c>
      <c r="X306" s="824" t="s">
        <v>1824</v>
      </c>
      <c r="Y306" s="127">
        <f>'3. PRECIOS Y COSTOS'!AT2478</f>
        <v>4015.0992249131973</v>
      </c>
      <c r="Z306" s="127">
        <f t="shared" si="105"/>
        <v>4147.5974993353329</v>
      </c>
      <c r="AA306" s="127">
        <f t="shared" si="106"/>
        <v>4276.1730218147277</v>
      </c>
      <c r="AB306" s="127">
        <f t="shared" si="107"/>
        <v>4408.7343854909841</v>
      </c>
      <c r="AC306" s="127">
        <f t="shared" si="108"/>
        <v>4554.2226202121865</v>
      </c>
    </row>
    <row r="307" spans="2:29" x14ac:dyDescent="0.25">
      <c r="B307" s="1148"/>
      <c r="C307" s="745" t="s">
        <v>2022</v>
      </c>
      <c r="D307" s="824" t="s">
        <v>1824</v>
      </c>
      <c r="E307" s="127">
        <f>'3. PRECIOS Y COSTOS'!AS2429</f>
        <v>3138.7267449131969</v>
      </c>
      <c r="F307" s="127">
        <f t="shared" si="93"/>
        <v>3242.3047274953319</v>
      </c>
      <c r="G307" s="127">
        <f t="shared" si="94"/>
        <v>3342.8161740476871</v>
      </c>
      <c r="H307" s="127">
        <f t="shared" si="95"/>
        <v>3446.443475443165</v>
      </c>
      <c r="I307" s="127">
        <f t="shared" si="96"/>
        <v>3560.1761101327893</v>
      </c>
      <c r="L307" s="586"/>
      <c r="M307" s="30"/>
      <c r="N307" s="30"/>
      <c r="O307" s="30"/>
      <c r="P307" s="30"/>
      <c r="Q307" s="30"/>
      <c r="R307" s="30"/>
      <c r="S307" s="30"/>
      <c r="V307" s="1148"/>
      <c r="W307" s="745" t="s">
        <v>2065</v>
      </c>
      <c r="X307" s="824" t="s">
        <v>1824</v>
      </c>
      <c r="Y307" s="745">
        <f>'3. PRECIOS Y COSTOS'!AM2479</f>
        <v>7811.9897289299297</v>
      </c>
      <c r="Z307" s="127">
        <f t="shared" si="105"/>
        <v>8069.7853899846168</v>
      </c>
      <c r="AA307" s="127">
        <f t="shared" si="106"/>
        <v>8319.948737074139</v>
      </c>
      <c r="AB307" s="127">
        <f t="shared" si="107"/>
        <v>8577.8671479234363</v>
      </c>
      <c r="AC307" s="127">
        <f t="shared" si="108"/>
        <v>8860.9367638049098</v>
      </c>
    </row>
    <row r="308" spans="2:29" x14ac:dyDescent="0.25">
      <c r="B308" s="1148"/>
      <c r="C308" s="745" t="s">
        <v>537</v>
      </c>
      <c r="D308" s="824" t="s">
        <v>1824</v>
      </c>
      <c r="E308" s="127">
        <f>'3. PRECIOS Y COSTOS'!AJ2430</f>
        <v>6339.270076570162</v>
      </c>
      <c r="F308" s="127">
        <f t="shared" si="93"/>
        <v>6548.465989096977</v>
      </c>
      <c r="G308" s="127">
        <f t="shared" si="94"/>
        <v>6751.4684347589828</v>
      </c>
      <c r="H308" s="127">
        <f t="shared" si="95"/>
        <v>6960.7639562365102</v>
      </c>
      <c r="I308" s="127">
        <f t="shared" si="96"/>
        <v>7190.4691667923144</v>
      </c>
      <c r="L308" s="586"/>
      <c r="M308" s="30"/>
      <c r="N308" s="104"/>
      <c r="O308" s="288"/>
      <c r="P308" s="288"/>
      <c r="Q308" s="288"/>
      <c r="R308" s="288"/>
      <c r="S308" s="288"/>
      <c r="V308" s="586"/>
      <c r="W308" s="30"/>
      <c r="X308" s="30"/>
      <c r="Y308" s="30"/>
      <c r="Z308" s="30"/>
      <c r="AA308" s="30"/>
      <c r="AB308" s="30"/>
      <c r="AC308" s="30"/>
    </row>
    <row r="309" spans="2:29" x14ac:dyDescent="0.25">
      <c r="B309" s="1148"/>
      <c r="C309" s="745" t="s">
        <v>2019</v>
      </c>
      <c r="D309" s="824" t="s">
        <v>1824</v>
      </c>
      <c r="E309" s="127">
        <f>'3. PRECIOS Y COSTOS'!AL2431</f>
        <v>3436.7628489299277</v>
      </c>
      <c r="F309" s="127">
        <f t="shared" si="93"/>
        <v>3550.1760229446149</v>
      </c>
      <c r="G309" s="127">
        <f t="shared" si="94"/>
        <v>3660.2314796558976</v>
      </c>
      <c r="H309" s="127">
        <f t="shared" si="95"/>
        <v>3773.6986555252302</v>
      </c>
      <c r="I309" s="127">
        <f t="shared" si="96"/>
        <v>3898.2307111575624</v>
      </c>
      <c r="L309" s="586"/>
      <c r="M309" s="30"/>
      <c r="N309" s="30"/>
      <c r="O309" s="30"/>
      <c r="P309" s="30"/>
      <c r="Q309" s="30"/>
      <c r="R309" s="30"/>
      <c r="S309" s="30"/>
      <c r="V309" s="586"/>
      <c r="W309" s="30"/>
      <c r="X309" s="104"/>
      <c r="Y309" s="288"/>
      <c r="Z309" s="288"/>
      <c r="AA309" s="288"/>
      <c r="AB309" s="288"/>
      <c r="AC309" s="288"/>
    </row>
    <row r="310" spans="2:29" x14ac:dyDescent="0.25">
      <c r="B310" s="1148"/>
      <c r="C310" s="745" t="s">
        <v>2020</v>
      </c>
      <c r="D310" s="824" t="s">
        <v>1824</v>
      </c>
      <c r="E310" s="127">
        <f>'3. PRECIOS Y COSTOS'!AS2431</f>
        <v>3282.8419449131966</v>
      </c>
      <c r="F310" s="127">
        <f t="shared" si="93"/>
        <v>3391.1757290953319</v>
      </c>
      <c r="G310" s="127">
        <f t="shared" si="94"/>
        <v>3496.302176697287</v>
      </c>
      <c r="H310" s="127">
        <f t="shared" si="95"/>
        <v>3604.6875441749025</v>
      </c>
      <c r="I310" s="127">
        <f t="shared" si="96"/>
        <v>3723.6422331326739</v>
      </c>
      <c r="L310" s="586"/>
      <c r="M310" s="30"/>
      <c r="N310" s="30"/>
      <c r="O310" s="288"/>
      <c r="P310" s="288"/>
      <c r="Q310" s="288"/>
      <c r="R310" s="288"/>
      <c r="S310" s="288"/>
      <c r="V310" s="586"/>
      <c r="W310" s="30"/>
      <c r="X310" s="30"/>
      <c r="Y310" s="30"/>
      <c r="Z310" s="30"/>
      <c r="AA310" s="30"/>
      <c r="AB310" s="30"/>
      <c r="AC310" s="30"/>
    </row>
    <row r="311" spans="2:29" x14ac:dyDescent="0.25">
      <c r="B311" s="1148"/>
      <c r="C311" s="745" t="s">
        <v>2068</v>
      </c>
      <c r="D311" s="824" t="s">
        <v>1824</v>
      </c>
      <c r="E311" s="127">
        <f>'3. PRECIOS Y COSTOS'!AL2432</f>
        <v>3417.0636489299281</v>
      </c>
      <c r="F311" s="127">
        <f t="shared" si="93"/>
        <v>3529.8267493446156</v>
      </c>
      <c r="G311" s="127">
        <f t="shared" si="94"/>
        <v>3639.2513785742985</v>
      </c>
      <c r="H311" s="127">
        <f t="shared" si="95"/>
        <v>3752.0681713101017</v>
      </c>
      <c r="I311" s="127">
        <f t="shared" si="96"/>
        <v>3875.8864209633348</v>
      </c>
      <c r="L311" s="586"/>
      <c r="M311" s="30"/>
      <c r="N311" s="104"/>
      <c r="O311" s="288"/>
      <c r="P311" s="288"/>
      <c r="Q311" s="288"/>
      <c r="R311" s="288"/>
      <c r="S311" s="288"/>
      <c r="V311" s="586"/>
      <c r="W311" s="30"/>
      <c r="X311" s="30"/>
      <c r="Y311" s="30"/>
      <c r="Z311" s="30"/>
      <c r="AA311" s="30"/>
      <c r="AB311" s="30"/>
      <c r="AC311" s="30"/>
    </row>
    <row r="312" spans="2:29" x14ac:dyDescent="0.25">
      <c r="B312" s="1148"/>
      <c r="C312" s="745" t="s">
        <v>2048</v>
      </c>
      <c r="D312" s="824" t="s">
        <v>1824</v>
      </c>
      <c r="E312" s="127">
        <f>'3. PRECIOS Y COSTOS'!AS2432</f>
        <v>3263.1427449131966</v>
      </c>
      <c r="F312" s="127">
        <f t="shared" si="93"/>
        <v>3370.8264554953316</v>
      </c>
      <c r="G312" s="127">
        <f t="shared" si="94"/>
        <v>3475.3220756156866</v>
      </c>
      <c r="H312" s="127">
        <f t="shared" si="95"/>
        <v>3583.0570599597727</v>
      </c>
      <c r="I312" s="127">
        <f t="shared" si="96"/>
        <v>3701.297942938445</v>
      </c>
      <c r="L312" s="586"/>
      <c r="M312" s="30"/>
      <c r="N312" s="104"/>
      <c r="O312" s="288"/>
      <c r="P312" s="288"/>
      <c r="Q312" s="288"/>
      <c r="R312" s="288"/>
      <c r="S312" s="288"/>
      <c r="V312" s="586"/>
      <c r="W312" s="30"/>
      <c r="X312" s="30"/>
      <c r="Y312" s="30"/>
      <c r="Z312" s="30"/>
      <c r="AA312" s="30"/>
      <c r="AB312" s="30"/>
      <c r="AC312" s="30"/>
    </row>
    <row r="313" spans="2:29" x14ac:dyDescent="0.25">
      <c r="B313" s="1148"/>
      <c r="C313" s="745" t="s">
        <v>2337</v>
      </c>
      <c r="D313" s="824" t="s">
        <v>1824</v>
      </c>
      <c r="E313" s="127">
        <f>'3. PRECIOS Y COSTOS'!AS2433</f>
        <v>4050.0739449131966</v>
      </c>
      <c r="F313" s="127">
        <f t="shared" si="93"/>
        <v>4183.7263850953314</v>
      </c>
      <c r="G313" s="127">
        <f t="shared" si="94"/>
        <v>4313.4219030332861</v>
      </c>
      <c r="H313" s="127">
        <f t="shared" si="95"/>
        <v>4447.1379820273178</v>
      </c>
      <c r="I313" s="127">
        <f t="shared" si="96"/>
        <v>4593.8935354342193</v>
      </c>
      <c r="L313" s="586"/>
      <c r="M313" s="30"/>
      <c r="N313" s="104"/>
      <c r="O313" s="288"/>
      <c r="P313" s="288"/>
      <c r="Q313" s="288"/>
      <c r="R313" s="288"/>
      <c r="S313" s="288"/>
      <c r="V313" s="586"/>
      <c r="W313" s="30"/>
      <c r="X313" s="30"/>
      <c r="Y313" s="30"/>
      <c r="Z313" s="30"/>
      <c r="AA313" s="30"/>
      <c r="AB313" s="30"/>
      <c r="AC313" s="30"/>
    </row>
    <row r="314" spans="2:29" x14ac:dyDescent="0.25">
      <c r="B314" s="1148"/>
      <c r="C314" s="745" t="s">
        <v>2341</v>
      </c>
      <c r="D314" s="824" t="s">
        <v>1824</v>
      </c>
      <c r="E314" s="127">
        <f>'3. PRECIOS Y COSTOS'!AO2434</f>
        <v>4633.2739449131968</v>
      </c>
      <c r="F314" s="127">
        <f t="shared" si="93"/>
        <v>4786.1719850953323</v>
      </c>
      <c r="G314" s="127">
        <f t="shared" si="94"/>
        <v>4934.5433166332868</v>
      </c>
      <c r="H314" s="127">
        <f t="shared" si="95"/>
        <v>5087.5141594489187</v>
      </c>
      <c r="I314" s="127">
        <f t="shared" si="96"/>
        <v>5255.4021267107328</v>
      </c>
      <c r="L314" s="30"/>
      <c r="M314" s="30"/>
      <c r="N314" s="104"/>
      <c r="O314" s="288"/>
      <c r="P314" s="30"/>
      <c r="Q314" s="30"/>
      <c r="R314" s="30"/>
      <c r="S314" s="30"/>
      <c r="V314" s="586"/>
      <c r="W314" s="30"/>
      <c r="X314" s="30"/>
      <c r="Y314" s="30"/>
      <c r="Z314" s="30"/>
      <c r="AA314" s="30"/>
      <c r="AB314" s="30"/>
      <c r="AC314" s="30"/>
    </row>
    <row r="315" spans="2:29" x14ac:dyDescent="0.25">
      <c r="B315" s="586"/>
      <c r="C315" s="30"/>
      <c r="D315" s="30"/>
      <c r="E315" s="30"/>
      <c r="F315" s="30"/>
      <c r="G315" s="30"/>
      <c r="H315" s="30"/>
      <c r="I315" s="30"/>
      <c r="L315" s="30"/>
      <c r="M315" s="30"/>
      <c r="N315" s="30"/>
      <c r="O315" s="30"/>
      <c r="P315" s="30"/>
      <c r="Q315" s="30"/>
      <c r="R315" s="30"/>
      <c r="S315" s="30"/>
    </row>
    <row r="316" spans="2:29" x14ac:dyDescent="0.25">
      <c r="B316" s="586"/>
      <c r="C316" s="30"/>
      <c r="D316" s="30"/>
      <c r="E316" s="30"/>
      <c r="F316" s="30"/>
      <c r="G316" s="30"/>
      <c r="H316" s="30"/>
      <c r="I316" s="30"/>
    </row>
    <row r="317" spans="2:29" x14ac:dyDescent="0.25">
      <c r="B317" s="586"/>
      <c r="C317" s="30"/>
      <c r="D317" s="30"/>
      <c r="E317" s="30"/>
      <c r="F317" s="30"/>
      <c r="G317" s="30"/>
      <c r="H317" s="30"/>
      <c r="I317" s="30"/>
    </row>
    <row r="318" spans="2:29" x14ac:dyDescent="0.25">
      <c r="B318" s="586"/>
      <c r="C318" s="30"/>
      <c r="D318" s="30"/>
      <c r="E318" s="30"/>
      <c r="F318" s="30"/>
      <c r="G318" s="30"/>
      <c r="H318" s="30"/>
      <c r="I318" s="30"/>
    </row>
    <row r="319" spans="2:29" x14ac:dyDescent="0.25">
      <c r="B319" s="586"/>
      <c r="C319" s="30"/>
      <c r="D319" s="30"/>
      <c r="E319" s="30"/>
      <c r="F319" s="30"/>
      <c r="G319" s="30"/>
      <c r="H319" s="30"/>
      <c r="I319" s="30"/>
    </row>
    <row r="320" spans="2:29" x14ac:dyDescent="0.25">
      <c r="B320" s="586"/>
      <c r="C320" s="30"/>
      <c r="D320" s="30"/>
      <c r="E320" s="30"/>
      <c r="F320" s="30"/>
      <c r="G320" s="30"/>
      <c r="H320" s="30"/>
      <c r="I320" s="30"/>
    </row>
    <row r="321" spans="2:9" x14ac:dyDescent="0.25">
      <c r="B321" s="586"/>
      <c r="C321" s="30"/>
      <c r="D321" s="104"/>
      <c r="E321" s="288"/>
      <c r="F321" s="288"/>
      <c r="G321" s="288"/>
      <c r="H321" s="288"/>
      <c r="I321" s="288"/>
    </row>
    <row r="322" spans="2:9" x14ac:dyDescent="0.25">
      <c r="B322" s="586"/>
      <c r="C322" s="30"/>
      <c r="D322" s="104"/>
      <c r="E322" s="288"/>
      <c r="F322" s="288"/>
      <c r="G322" s="288"/>
      <c r="H322" s="288"/>
      <c r="I322" s="288"/>
    </row>
    <row r="323" spans="2:9" x14ac:dyDescent="0.25">
      <c r="B323" s="586"/>
      <c r="C323" s="30"/>
      <c r="D323" s="104"/>
      <c r="E323" s="288"/>
      <c r="F323" s="288"/>
      <c r="G323" s="288"/>
      <c r="H323" s="288"/>
      <c r="I323" s="288"/>
    </row>
    <row r="324" spans="2:9" x14ac:dyDescent="0.25">
      <c r="B324" s="586"/>
      <c r="C324" s="30"/>
      <c r="D324" s="104"/>
      <c r="E324" s="288"/>
      <c r="F324" s="288"/>
      <c r="G324" s="288"/>
      <c r="H324" s="288"/>
      <c r="I324" s="288"/>
    </row>
    <row r="325" spans="2:9" x14ac:dyDescent="0.25">
      <c r="B325" s="586"/>
      <c r="C325" s="30"/>
      <c r="D325" s="104"/>
      <c r="E325" s="288"/>
      <c r="F325" s="288"/>
      <c r="G325" s="288"/>
      <c r="H325" s="288"/>
      <c r="I325" s="288"/>
    </row>
    <row r="326" spans="2:9" x14ac:dyDescent="0.25">
      <c r="B326" s="586"/>
      <c r="C326" s="30"/>
      <c r="D326" s="104"/>
      <c r="E326" s="288"/>
      <c r="F326" s="288"/>
      <c r="G326" s="288"/>
      <c r="H326" s="288"/>
      <c r="I326" s="288"/>
    </row>
    <row r="327" spans="2:9" x14ac:dyDescent="0.25">
      <c r="B327" s="586"/>
      <c r="C327" s="30"/>
      <c r="D327" s="104"/>
      <c r="E327" s="288"/>
      <c r="F327" s="288"/>
      <c r="G327" s="288"/>
      <c r="H327" s="288"/>
      <c r="I327" s="288"/>
    </row>
    <row r="328" spans="2:9" x14ac:dyDescent="0.25">
      <c r="B328" s="586"/>
      <c r="C328" s="30"/>
      <c r="D328" s="104"/>
      <c r="E328" s="288"/>
      <c r="F328" s="288"/>
      <c r="G328" s="288"/>
      <c r="H328" s="288"/>
      <c r="I328" s="288"/>
    </row>
    <row r="329" spans="2:9" x14ac:dyDescent="0.25">
      <c r="B329" s="586"/>
      <c r="C329" s="30"/>
      <c r="D329" s="104"/>
      <c r="E329" s="288"/>
      <c r="F329" s="288"/>
      <c r="G329" s="288"/>
      <c r="H329" s="288"/>
      <c r="I329" s="288"/>
    </row>
    <row r="330" spans="2:9" x14ac:dyDescent="0.25">
      <c r="B330" s="586"/>
      <c r="C330" s="30"/>
      <c r="D330" s="104"/>
      <c r="E330" s="288"/>
      <c r="F330" s="288"/>
      <c r="G330" s="288"/>
      <c r="H330" s="288"/>
      <c r="I330" s="288"/>
    </row>
    <row r="331" spans="2:9" x14ac:dyDescent="0.25">
      <c r="B331" s="586"/>
      <c r="C331" s="30"/>
      <c r="D331" s="104"/>
      <c r="E331" s="288"/>
      <c r="F331" s="288"/>
      <c r="G331" s="288"/>
      <c r="H331" s="288"/>
      <c r="I331" s="288"/>
    </row>
    <row r="332" spans="2:9" x14ac:dyDescent="0.25">
      <c r="B332" s="586"/>
      <c r="C332" s="30"/>
      <c r="D332" s="104"/>
      <c r="E332" s="288"/>
      <c r="F332" s="288"/>
      <c r="G332" s="288"/>
      <c r="H332" s="288"/>
      <c r="I332" s="288"/>
    </row>
  </sheetData>
  <mergeCells count="81">
    <mergeCell ref="B274:B314"/>
    <mergeCell ref="V274:V307"/>
    <mergeCell ref="L274:L303"/>
    <mergeCell ref="Z107:AA107"/>
    <mergeCell ref="AF107:AG107"/>
    <mergeCell ref="B202:B260"/>
    <mergeCell ref="B182:B191"/>
    <mergeCell ref="B124:B137"/>
    <mergeCell ref="B35:B123"/>
    <mergeCell ref="B138:B181"/>
    <mergeCell ref="W200:W201"/>
    <mergeCell ref="AG200:AG201"/>
    <mergeCell ref="Z101:AA101"/>
    <mergeCell ref="AF101:AG101"/>
    <mergeCell ref="Z93:AA93"/>
    <mergeCell ref="AF93:AG93"/>
    <mergeCell ref="AL107:AM107"/>
    <mergeCell ref="AR107:AS107"/>
    <mergeCell ref="Z108:AA108"/>
    <mergeCell ref="AF108:AG108"/>
    <mergeCell ref="AL108:AM108"/>
    <mergeCell ref="AR108:AS108"/>
    <mergeCell ref="AL101:AM101"/>
    <mergeCell ref="AR101:AS101"/>
    <mergeCell ref="X103:AU103"/>
    <mergeCell ref="X96:AU96"/>
    <mergeCell ref="Z100:AA100"/>
    <mergeCell ref="AF100:AG100"/>
    <mergeCell ref="AL100:AM100"/>
    <mergeCell ref="AR100:AS100"/>
    <mergeCell ref="AL93:AM93"/>
    <mergeCell ref="AR93:AS93"/>
    <mergeCell ref="Z94:AA94"/>
    <mergeCell ref="AF94:AG94"/>
    <mergeCell ref="AL94:AM94"/>
    <mergeCell ref="AR94:AS94"/>
    <mergeCell ref="Z81:AA81"/>
    <mergeCell ref="AF81:AG81"/>
    <mergeCell ref="AL81:AM81"/>
    <mergeCell ref="AR81:AS81"/>
    <mergeCell ref="X89:AU89"/>
    <mergeCell ref="AR73:AS73"/>
    <mergeCell ref="AR74:AS74"/>
    <mergeCell ref="X69:AU69"/>
    <mergeCell ref="X76:AU76"/>
    <mergeCell ref="Z80:AA80"/>
    <mergeCell ref="AF80:AG80"/>
    <mergeCell ref="AL80:AM80"/>
    <mergeCell ref="AR80:AS80"/>
    <mergeCell ref="Z73:AA73"/>
    <mergeCell ref="Z74:AA74"/>
    <mergeCell ref="AF73:AG73"/>
    <mergeCell ref="AF74:AG74"/>
    <mergeCell ref="AL73:AM73"/>
    <mergeCell ref="AL74:AM74"/>
    <mergeCell ref="AQ200:AQ201"/>
    <mergeCell ref="BA200:BA201"/>
    <mergeCell ref="BK200:BK201"/>
    <mergeCell ref="W272:W273"/>
    <mergeCell ref="M272:M273"/>
    <mergeCell ref="AZ202:AZ267"/>
    <mergeCell ref="BJ202:BJ265"/>
    <mergeCell ref="V202:V262"/>
    <mergeCell ref="AP202:AP268"/>
    <mergeCell ref="AF202:AF270"/>
    <mergeCell ref="M200:M201"/>
    <mergeCell ref="C2:C3"/>
    <mergeCell ref="C12:C13"/>
    <mergeCell ref="L2:L3"/>
    <mergeCell ref="T2:T3"/>
    <mergeCell ref="C272:C273"/>
    <mergeCell ref="C31:I32"/>
    <mergeCell ref="C33:C34"/>
    <mergeCell ref="P67:U68"/>
    <mergeCell ref="P76:U77"/>
    <mergeCell ref="L202:L264"/>
    <mergeCell ref="C200:C201"/>
    <mergeCell ref="P85:U86"/>
    <mergeCell ref="C193:I193"/>
    <mergeCell ref="P94:U95"/>
    <mergeCell ref="P103:U104"/>
  </mergeCells>
  <pageMargins left="0.7" right="0.7" top="0.75" bottom="0.75" header="0.3" footer="0.3"/>
  <pageSetup paperSize="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EEAE2-01EE-4BF1-859C-8F419CDE3216}">
  <dimension ref="C1:AA36"/>
  <sheetViews>
    <sheetView zoomScale="70" zoomScaleNormal="70" workbookViewId="0"/>
  </sheetViews>
  <sheetFormatPr baseColWidth="10" defaultRowHeight="15.75" x14ac:dyDescent="0.25"/>
  <cols>
    <col min="1" max="8" width="11.42578125" style="137"/>
    <col min="9" max="9" width="11.85546875" style="137" customWidth="1"/>
    <col min="10" max="23" width="11.42578125" style="137"/>
    <col min="24" max="24" width="13.42578125" style="137" bestFit="1" customWidth="1"/>
    <col min="25" max="25" width="12.5703125" style="137" bestFit="1" customWidth="1"/>
    <col min="26" max="26" width="11.42578125" style="137"/>
    <col min="27" max="27" width="93" style="137" bestFit="1" customWidth="1"/>
    <col min="28" max="16384" width="11.42578125" style="137"/>
  </cols>
  <sheetData>
    <row r="1" spans="3:27" ht="16.5" thickBot="1" x14ac:dyDescent="0.3"/>
    <row r="2" spans="3:27" ht="16.5" thickBot="1" x14ac:dyDescent="0.3">
      <c r="D2" s="1178" t="s">
        <v>793</v>
      </c>
      <c r="E2" s="1179"/>
      <c r="F2" s="1179"/>
      <c r="G2" s="1179"/>
      <c r="H2" s="1179"/>
      <c r="I2" s="1179"/>
      <c r="J2" s="1179"/>
      <c r="K2" s="1179"/>
      <c r="L2" s="1179"/>
      <c r="M2" s="1179"/>
      <c r="N2" s="1179"/>
      <c r="O2" s="1179"/>
      <c r="P2" s="1179"/>
      <c r="Q2" s="1179"/>
      <c r="R2" s="1179"/>
      <c r="S2" s="1180"/>
    </row>
    <row r="3" spans="3:27" ht="16.5" thickBot="1" x14ac:dyDescent="0.3">
      <c r="C3" s="104"/>
      <c r="D3" s="1176" t="s">
        <v>764</v>
      </c>
      <c r="E3" s="1177"/>
      <c r="F3" s="1176" t="s">
        <v>765</v>
      </c>
      <c r="G3" s="1177"/>
      <c r="H3" s="1176" t="s">
        <v>766</v>
      </c>
      <c r="I3" s="1177"/>
      <c r="J3" s="1176" t="s">
        <v>767</v>
      </c>
      <c r="K3" s="1177"/>
      <c r="L3" s="1176" t="s">
        <v>768</v>
      </c>
      <c r="M3" s="1177"/>
      <c r="N3" s="1176" t="s">
        <v>769</v>
      </c>
      <c r="O3" s="1177"/>
      <c r="P3" s="1176" t="s">
        <v>770</v>
      </c>
      <c r="Q3" s="1177"/>
      <c r="R3" s="1176" t="s">
        <v>771</v>
      </c>
      <c r="S3" s="1177"/>
      <c r="T3" s="138" t="s">
        <v>337</v>
      </c>
    </row>
    <row r="4" spans="3:27" ht="16.5" thickBot="1" x14ac:dyDescent="0.3">
      <c r="C4" s="139" t="s">
        <v>796</v>
      </c>
      <c r="D4" s="1174">
        <v>0.2</v>
      </c>
      <c r="E4" s="1175"/>
      <c r="F4" s="1174">
        <v>0.05</v>
      </c>
      <c r="G4" s="1175"/>
      <c r="H4" s="1174">
        <v>0.05</v>
      </c>
      <c r="I4" s="1175"/>
      <c r="J4" s="1174">
        <v>0.2</v>
      </c>
      <c r="K4" s="1175"/>
      <c r="L4" s="1174">
        <v>0.2</v>
      </c>
      <c r="M4" s="1175"/>
      <c r="N4" s="1174">
        <v>0.05</v>
      </c>
      <c r="O4" s="1175"/>
      <c r="P4" s="1174">
        <v>0.15</v>
      </c>
      <c r="Q4" s="1175"/>
      <c r="R4" s="1174">
        <v>0.1</v>
      </c>
      <c r="S4" s="1175"/>
      <c r="T4" s="18">
        <f>SUM(D4:S4)</f>
        <v>1</v>
      </c>
      <c r="W4" s="1052" t="s">
        <v>772</v>
      </c>
      <c r="X4" s="1052"/>
      <c r="Y4" s="5" t="s">
        <v>767</v>
      </c>
      <c r="Z4" s="5" t="s">
        <v>174</v>
      </c>
      <c r="AA4" s="5" t="s">
        <v>774</v>
      </c>
    </row>
    <row r="5" spans="3:27" x14ac:dyDescent="0.25">
      <c r="C5" s="140" t="s">
        <v>180</v>
      </c>
      <c r="D5" s="148" t="s">
        <v>794</v>
      </c>
      <c r="E5" s="149" t="s">
        <v>795</v>
      </c>
      <c r="F5" s="148" t="s">
        <v>794</v>
      </c>
      <c r="G5" s="149" t="s">
        <v>795</v>
      </c>
      <c r="H5" s="148" t="s">
        <v>794</v>
      </c>
      <c r="I5" s="149" t="s">
        <v>795</v>
      </c>
      <c r="J5" s="148" t="s">
        <v>794</v>
      </c>
      <c r="K5" s="149" t="s">
        <v>795</v>
      </c>
      <c r="L5" s="148" t="s">
        <v>794</v>
      </c>
      <c r="M5" s="149" t="s">
        <v>795</v>
      </c>
      <c r="N5" s="148" t="s">
        <v>794</v>
      </c>
      <c r="O5" s="149" t="s">
        <v>795</v>
      </c>
      <c r="P5" s="148" t="s">
        <v>794</v>
      </c>
      <c r="Q5" s="149" t="s">
        <v>795</v>
      </c>
      <c r="R5" s="148" t="s">
        <v>794</v>
      </c>
      <c r="S5" s="149" t="s">
        <v>795</v>
      </c>
      <c r="T5" s="150"/>
      <c r="W5" s="5">
        <v>1</v>
      </c>
      <c r="X5" s="130" t="s">
        <v>773</v>
      </c>
      <c r="Y5" s="5">
        <v>58</v>
      </c>
      <c r="Z5" s="5">
        <v>1568000</v>
      </c>
      <c r="AA5" s="5" t="s">
        <v>775</v>
      </c>
    </row>
    <row r="6" spans="3:27" x14ac:dyDescent="0.25">
      <c r="C6" s="140">
        <v>1</v>
      </c>
      <c r="D6" s="141">
        <f>E17</f>
        <v>33.333333333333336</v>
      </c>
      <c r="E6" s="142">
        <f>$D$4*D6</f>
        <v>6.6666666666666679</v>
      </c>
      <c r="F6" s="141">
        <f>I17</f>
        <v>0</v>
      </c>
      <c r="G6" s="142">
        <f>F6*$F$4</f>
        <v>0</v>
      </c>
      <c r="H6" s="141">
        <f t="shared" ref="H6:H13" si="0">M17</f>
        <v>16.666666666666668</v>
      </c>
      <c r="I6" s="142">
        <f>$H$4*H6</f>
        <v>0.83333333333333348</v>
      </c>
      <c r="J6" s="141">
        <f>Q23</f>
        <v>32.222222222222221</v>
      </c>
      <c r="K6" s="142">
        <f>$J$4*J6</f>
        <v>6.4444444444444446</v>
      </c>
      <c r="L6" s="141">
        <f>G29</f>
        <v>50</v>
      </c>
      <c r="M6" s="142">
        <f>$L$4*L6</f>
        <v>10</v>
      </c>
      <c r="N6" s="141">
        <f t="shared" ref="N6:N13" si="1">K29</f>
        <v>50</v>
      </c>
      <c r="O6" s="142">
        <f>$N$4*N6</f>
        <v>2.5</v>
      </c>
      <c r="P6" s="141">
        <f>O29</f>
        <v>0</v>
      </c>
      <c r="Q6" s="142">
        <f>$P$4*P6</f>
        <v>0</v>
      </c>
      <c r="R6" s="141">
        <f>S29</f>
        <v>0</v>
      </c>
      <c r="S6" s="142">
        <f>$R$4*R6</f>
        <v>0</v>
      </c>
      <c r="T6" s="140">
        <f t="shared" ref="T6:T13" si="2">E6+G6+I6+K6+M6+O6+Q6+S6</f>
        <v>26.444444444444446</v>
      </c>
      <c r="W6" s="5">
        <v>2</v>
      </c>
      <c r="X6" s="130" t="s">
        <v>773</v>
      </c>
      <c r="Y6" s="5">
        <v>65</v>
      </c>
      <c r="Z6" s="5">
        <v>4800000</v>
      </c>
      <c r="AA6" s="5" t="s">
        <v>776</v>
      </c>
    </row>
    <row r="7" spans="3:27" x14ac:dyDescent="0.25">
      <c r="C7" s="140">
        <v>2</v>
      </c>
      <c r="D7" s="141">
        <f t="shared" ref="D7:D13" si="3">E18</f>
        <v>16.666666666666668</v>
      </c>
      <c r="E7" s="142">
        <f t="shared" ref="E7:E13" si="4">$D$4*D7</f>
        <v>3.3333333333333339</v>
      </c>
      <c r="F7" s="141">
        <f t="shared" ref="F7:F13" si="5">I18</f>
        <v>0</v>
      </c>
      <c r="G7" s="142">
        <f t="shared" ref="G7:G13" si="6">F7*$F$4</f>
        <v>0</v>
      </c>
      <c r="H7" s="141">
        <f t="shared" si="0"/>
        <v>16.666666666666668</v>
      </c>
      <c r="I7" s="142">
        <f t="shared" ref="I7:I13" si="7">$H$4*H7</f>
        <v>0.83333333333333348</v>
      </c>
      <c r="J7" s="141">
        <f>Q21</f>
        <v>36.111111111111114</v>
      </c>
      <c r="K7" s="142">
        <f t="shared" ref="K7:K13" si="8">$J$4*J7</f>
        <v>7.2222222222222232</v>
      </c>
      <c r="L7" s="141">
        <f>G35</f>
        <v>16.333333333333332</v>
      </c>
      <c r="M7" s="142">
        <f t="shared" ref="M7:M13" si="9">$L$4*L7</f>
        <v>3.2666666666666666</v>
      </c>
      <c r="N7" s="141">
        <f t="shared" si="1"/>
        <v>50</v>
      </c>
      <c r="O7" s="142">
        <f t="shared" ref="O7:O13" si="10">$N$4*N7</f>
        <v>2.5</v>
      </c>
      <c r="P7" s="141">
        <f t="shared" ref="P7:P13" si="11">O30</f>
        <v>50</v>
      </c>
      <c r="Q7" s="142">
        <f t="shared" ref="Q7:Q13" si="12">$P$4*P7</f>
        <v>7.5</v>
      </c>
      <c r="R7" s="141">
        <f t="shared" ref="R7:R13" si="13">S30</f>
        <v>50</v>
      </c>
      <c r="S7" s="142">
        <f t="shared" ref="S7:S13" si="14">$R$4*R7</f>
        <v>5</v>
      </c>
      <c r="T7" s="140">
        <f t="shared" si="2"/>
        <v>29.655555555555559</v>
      </c>
      <c r="W7" s="5">
        <v>3</v>
      </c>
      <c r="X7" s="130" t="s">
        <v>773</v>
      </c>
      <c r="Y7" s="5">
        <v>70</v>
      </c>
      <c r="Z7" s="5">
        <v>4800000</v>
      </c>
      <c r="AA7" s="5" t="s">
        <v>777</v>
      </c>
    </row>
    <row r="8" spans="3:27" x14ac:dyDescent="0.25">
      <c r="C8" s="140">
        <v>3</v>
      </c>
      <c r="D8" s="141">
        <f t="shared" si="3"/>
        <v>16.666666666666668</v>
      </c>
      <c r="E8" s="142">
        <f t="shared" si="4"/>
        <v>3.3333333333333339</v>
      </c>
      <c r="F8" s="141">
        <f t="shared" si="5"/>
        <v>50</v>
      </c>
      <c r="G8" s="142">
        <f t="shared" si="6"/>
        <v>2.5</v>
      </c>
      <c r="H8" s="141">
        <f t="shared" si="0"/>
        <v>16.666666666666668</v>
      </c>
      <c r="I8" s="142">
        <f t="shared" si="7"/>
        <v>0.83333333333333348</v>
      </c>
      <c r="J8" s="141">
        <f>Q20</f>
        <v>38.888888888888886</v>
      </c>
      <c r="K8" s="142">
        <f t="shared" si="8"/>
        <v>7.7777777777777777</v>
      </c>
      <c r="L8" s="141">
        <f>G36</f>
        <v>16.333333333333332</v>
      </c>
      <c r="M8" s="142">
        <f t="shared" si="9"/>
        <v>3.2666666666666666</v>
      </c>
      <c r="N8" s="141">
        <f t="shared" si="1"/>
        <v>50</v>
      </c>
      <c r="O8" s="142">
        <f t="shared" si="10"/>
        <v>2.5</v>
      </c>
      <c r="P8" s="141">
        <f t="shared" si="11"/>
        <v>50</v>
      </c>
      <c r="Q8" s="142">
        <f t="shared" si="12"/>
        <v>7.5</v>
      </c>
      <c r="R8" s="141">
        <f t="shared" si="13"/>
        <v>50</v>
      </c>
      <c r="S8" s="142">
        <f t="shared" si="14"/>
        <v>5</v>
      </c>
      <c r="T8" s="140">
        <f t="shared" si="2"/>
        <v>32.711111111111109</v>
      </c>
      <c r="W8" s="5">
        <v>4</v>
      </c>
      <c r="X8" s="130" t="s">
        <v>779</v>
      </c>
      <c r="Y8" s="5">
        <v>72</v>
      </c>
      <c r="Z8" s="5">
        <v>2300000</v>
      </c>
      <c r="AA8" s="5" t="s">
        <v>778</v>
      </c>
    </row>
    <row r="9" spans="3:27" x14ac:dyDescent="0.25">
      <c r="C9" s="17">
        <v>4</v>
      </c>
      <c r="D9" s="15">
        <f t="shared" si="3"/>
        <v>50</v>
      </c>
      <c r="E9" s="16">
        <f t="shared" si="4"/>
        <v>10</v>
      </c>
      <c r="F9" s="15">
        <f t="shared" si="5"/>
        <v>50</v>
      </c>
      <c r="G9" s="16">
        <f t="shared" si="6"/>
        <v>2.5</v>
      </c>
      <c r="H9" s="15">
        <f t="shared" si="0"/>
        <v>50</v>
      </c>
      <c r="I9" s="16">
        <f t="shared" si="7"/>
        <v>2.5</v>
      </c>
      <c r="J9" s="15">
        <f>Q18</f>
        <v>40</v>
      </c>
      <c r="K9" s="16">
        <f t="shared" si="8"/>
        <v>8</v>
      </c>
      <c r="L9" s="15">
        <f>G30</f>
        <v>34.086956521739133</v>
      </c>
      <c r="M9" s="16">
        <f t="shared" si="9"/>
        <v>6.8173913043478267</v>
      </c>
      <c r="N9" s="15">
        <f t="shared" si="1"/>
        <v>50</v>
      </c>
      <c r="O9" s="16">
        <f t="shared" si="10"/>
        <v>2.5</v>
      </c>
      <c r="P9" s="15">
        <f t="shared" si="11"/>
        <v>50</v>
      </c>
      <c r="Q9" s="16">
        <f t="shared" si="12"/>
        <v>7.5</v>
      </c>
      <c r="R9" s="15">
        <f t="shared" si="13"/>
        <v>50</v>
      </c>
      <c r="S9" s="16">
        <f t="shared" si="14"/>
        <v>5</v>
      </c>
      <c r="T9" s="17">
        <f t="shared" si="2"/>
        <v>44.817391304347822</v>
      </c>
      <c r="W9" s="5">
        <v>5</v>
      </c>
      <c r="X9" s="130" t="s">
        <v>779</v>
      </c>
      <c r="Y9" s="5">
        <v>64</v>
      </c>
      <c r="Z9" s="5">
        <v>3500000</v>
      </c>
      <c r="AA9" s="5" t="s">
        <v>781</v>
      </c>
    </row>
    <row r="10" spans="3:27" x14ac:dyDescent="0.25">
      <c r="C10" s="140">
        <v>5</v>
      </c>
      <c r="D10" s="141">
        <f t="shared" si="3"/>
        <v>33.333333333333336</v>
      </c>
      <c r="E10" s="142">
        <f t="shared" si="4"/>
        <v>6.6666666666666679</v>
      </c>
      <c r="F10" s="141">
        <f t="shared" si="5"/>
        <v>0</v>
      </c>
      <c r="G10" s="142">
        <f t="shared" si="6"/>
        <v>0</v>
      </c>
      <c r="H10" s="141">
        <f t="shared" si="0"/>
        <v>25</v>
      </c>
      <c r="I10" s="142">
        <f t="shared" si="7"/>
        <v>1.25</v>
      </c>
      <c r="J10" s="143">
        <f>Q22</f>
        <v>35.555555555555557</v>
      </c>
      <c r="K10" s="142">
        <f t="shared" si="8"/>
        <v>7.1111111111111116</v>
      </c>
      <c r="L10" s="143">
        <f>G33</f>
        <v>22.4</v>
      </c>
      <c r="M10" s="142">
        <f t="shared" si="9"/>
        <v>4.4799999999999995</v>
      </c>
      <c r="N10" s="141">
        <f t="shared" si="1"/>
        <v>50</v>
      </c>
      <c r="O10" s="142">
        <f t="shared" si="10"/>
        <v>2.5</v>
      </c>
      <c r="P10" s="141">
        <f t="shared" si="11"/>
        <v>50</v>
      </c>
      <c r="Q10" s="142">
        <f t="shared" si="12"/>
        <v>7.5</v>
      </c>
      <c r="R10" s="141">
        <f t="shared" si="13"/>
        <v>50</v>
      </c>
      <c r="S10" s="142">
        <f t="shared" si="14"/>
        <v>5</v>
      </c>
      <c r="T10" s="140">
        <f t="shared" si="2"/>
        <v>34.507777777777775</v>
      </c>
      <c r="W10" s="5">
        <v>6</v>
      </c>
      <c r="X10" s="130" t="s">
        <v>779</v>
      </c>
      <c r="Y10" s="5">
        <v>90</v>
      </c>
      <c r="Z10" s="5">
        <v>2500000</v>
      </c>
      <c r="AA10" s="5" t="s">
        <v>780</v>
      </c>
    </row>
    <row r="11" spans="3:27" x14ac:dyDescent="0.25">
      <c r="C11" s="140">
        <v>6</v>
      </c>
      <c r="D11" s="141">
        <f t="shared" si="3"/>
        <v>33.333333333333336</v>
      </c>
      <c r="E11" s="142">
        <f t="shared" si="4"/>
        <v>6.6666666666666679</v>
      </c>
      <c r="F11" s="141">
        <f t="shared" si="5"/>
        <v>0</v>
      </c>
      <c r="G11" s="142">
        <f t="shared" si="6"/>
        <v>0</v>
      </c>
      <c r="H11" s="141">
        <f t="shared" si="0"/>
        <v>25</v>
      </c>
      <c r="I11" s="142">
        <f t="shared" si="7"/>
        <v>1.25</v>
      </c>
      <c r="J11" s="141">
        <f>Q17</f>
        <v>50</v>
      </c>
      <c r="K11" s="142">
        <f t="shared" si="8"/>
        <v>10</v>
      </c>
      <c r="L11" s="141">
        <f>G31</f>
        <v>31.36</v>
      </c>
      <c r="M11" s="142">
        <f t="shared" si="9"/>
        <v>6.2720000000000002</v>
      </c>
      <c r="N11" s="141">
        <f t="shared" si="1"/>
        <v>50</v>
      </c>
      <c r="O11" s="142">
        <f t="shared" si="10"/>
        <v>2.5</v>
      </c>
      <c r="P11" s="141">
        <f t="shared" si="11"/>
        <v>50</v>
      </c>
      <c r="Q11" s="142">
        <f t="shared" si="12"/>
        <v>7.5</v>
      </c>
      <c r="R11" s="141">
        <f t="shared" si="13"/>
        <v>50</v>
      </c>
      <c r="S11" s="142">
        <f t="shared" si="14"/>
        <v>5</v>
      </c>
      <c r="T11" s="140">
        <f t="shared" si="2"/>
        <v>39.18866666666667</v>
      </c>
      <c r="W11" s="5">
        <v>7</v>
      </c>
      <c r="X11" s="130" t="s">
        <v>779</v>
      </c>
      <c r="Y11" s="5">
        <v>71</v>
      </c>
      <c r="Z11" s="5">
        <v>3800000</v>
      </c>
      <c r="AA11" s="5" t="s">
        <v>782</v>
      </c>
    </row>
    <row r="12" spans="3:27" x14ac:dyDescent="0.25">
      <c r="C12" s="140">
        <v>7</v>
      </c>
      <c r="D12" s="141">
        <f t="shared" si="3"/>
        <v>33.333333333333336</v>
      </c>
      <c r="E12" s="142">
        <f t="shared" si="4"/>
        <v>6.6666666666666679</v>
      </c>
      <c r="F12" s="141">
        <f t="shared" si="5"/>
        <v>0</v>
      </c>
      <c r="G12" s="142">
        <f t="shared" si="6"/>
        <v>0</v>
      </c>
      <c r="H12" s="141">
        <f t="shared" si="0"/>
        <v>25</v>
      </c>
      <c r="I12" s="142">
        <f t="shared" si="7"/>
        <v>1.25</v>
      </c>
      <c r="J12" s="141">
        <f>Q19</f>
        <v>39.444444444444443</v>
      </c>
      <c r="K12" s="142">
        <f t="shared" si="8"/>
        <v>7.8888888888888893</v>
      </c>
      <c r="L12" s="141">
        <f>G34</f>
        <v>20.631578947368421</v>
      </c>
      <c r="M12" s="142">
        <f t="shared" si="9"/>
        <v>4.1263157894736846</v>
      </c>
      <c r="N12" s="141">
        <f t="shared" si="1"/>
        <v>50</v>
      </c>
      <c r="O12" s="142">
        <f t="shared" si="10"/>
        <v>2.5</v>
      </c>
      <c r="P12" s="141">
        <f t="shared" si="11"/>
        <v>50</v>
      </c>
      <c r="Q12" s="142">
        <f t="shared" si="12"/>
        <v>7.5</v>
      </c>
      <c r="R12" s="141">
        <f t="shared" si="13"/>
        <v>50</v>
      </c>
      <c r="S12" s="142">
        <f t="shared" si="14"/>
        <v>5</v>
      </c>
      <c r="T12" s="140">
        <f t="shared" si="2"/>
        <v>34.931871345029244</v>
      </c>
      <c r="W12" s="5">
        <v>8</v>
      </c>
      <c r="X12" s="130" t="s">
        <v>779</v>
      </c>
      <c r="Y12" s="5">
        <v>50</v>
      </c>
      <c r="Z12" s="5">
        <v>2700000</v>
      </c>
      <c r="AA12" s="5" t="s">
        <v>783</v>
      </c>
    </row>
    <row r="13" spans="3:27" ht="16.5" thickBot="1" x14ac:dyDescent="0.3">
      <c r="C13" s="144">
        <v>8</v>
      </c>
      <c r="D13" s="145">
        <f t="shared" si="3"/>
        <v>33.333333333333336</v>
      </c>
      <c r="E13" s="146">
        <f t="shared" si="4"/>
        <v>6.6666666666666679</v>
      </c>
      <c r="F13" s="145">
        <f t="shared" si="5"/>
        <v>0</v>
      </c>
      <c r="G13" s="146">
        <f t="shared" si="6"/>
        <v>0</v>
      </c>
      <c r="H13" s="145">
        <f t="shared" si="0"/>
        <v>16.666666666666668</v>
      </c>
      <c r="I13" s="146">
        <f t="shared" si="7"/>
        <v>0.83333333333333348</v>
      </c>
      <c r="J13" s="145">
        <f>Q24</f>
        <v>27.777777777777779</v>
      </c>
      <c r="K13" s="146">
        <f t="shared" si="8"/>
        <v>5.5555555555555562</v>
      </c>
      <c r="L13" s="145">
        <f>G32</f>
        <v>29.037037037037038</v>
      </c>
      <c r="M13" s="146">
        <f t="shared" si="9"/>
        <v>5.8074074074074078</v>
      </c>
      <c r="N13" s="145">
        <f t="shared" si="1"/>
        <v>50</v>
      </c>
      <c r="O13" s="146">
        <f t="shared" si="10"/>
        <v>2.5</v>
      </c>
      <c r="P13" s="145">
        <f t="shared" si="11"/>
        <v>50</v>
      </c>
      <c r="Q13" s="146">
        <f t="shared" si="12"/>
        <v>7.5</v>
      </c>
      <c r="R13" s="145">
        <f t="shared" si="13"/>
        <v>50</v>
      </c>
      <c r="S13" s="146">
        <f t="shared" si="14"/>
        <v>5</v>
      </c>
      <c r="T13" s="144">
        <f t="shared" si="2"/>
        <v>33.862962962962968</v>
      </c>
      <c r="U13" s="104"/>
    </row>
    <row r="14" spans="3:27" x14ac:dyDescent="0.25">
      <c r="C14" s="104"/>
      <c r="D14" s="147"/>
      <c r="E14" s="104"/>
      <c r="F14" s="104"/>
      <c r="G14" s="104"/>
      <c r="H14" s="147"/>
      <c r="I14" s="104"/>
      <c r="J14" s="147"/>
      <c r="K14" s="104"/>
      <c r="L14" s="147"/>
      <c r="M14" s="104"/>
      <c r="N14" s="147"/>
      <c r="O14" s="104"/>
      <c r="P14" s="147"/>
      <c r="Q14" s="104"/>
      <c r="R14" s="147"/>
      <c r="S14" s="104"/>
      <c r="T14" s="104"/>
      <c r="U14" s="104"/>
    </row>
    <row r="15" spans="3:27" x14ac:dyDescent="0.25">
      <c r="C15" s="1052" t="s">
        <v>764</v>
      </c>
      <c r="D15" s="1052"/>
      <c r="E15" s="1052"/>
      <c r="F15" s="104"/>
      <c r="G15" s="1052" t="s">
        <v>765</v>
      </c>
      <c r="H15" s="1052"/>
      <c r="I15" s="1052"/>
      <c r="J15" s="104"/>
      <c r="K15" s="1052" t="s">
        <v>766</v>
      </c>
      <c r="L15" s="1052"/>
      <c r="M15" s="1052"/>
      <c r="N15" s="104"/>
      <c r="O15" s="1052" t="s">
        <v>767</v>
      </c>
      <c r="P15" s="1052"/>
      <c r="Q15" s="1052"/>
      <c r="R15" s="104"/>
      <c r="S15" s="104"/>
      <c r="T15" s="104"/>
      <c r="U15" s="104"/>
    </row>
    <row r="16" spans="3:27" x14ac:dyDescent="0.25">
      <c r="C16" s="5" t="s">
        <v>180</v>
      </c>
      <c r="D16" s="5" t="s">
        <v>786</v>
      </c>
      <c r="E16" s="5" t="s">
        <v>784</v>
      </c>
      <c r="F16" s="104"/>
      <c r="G16" s="5" t="s">
        <v>180</v>
      </c>
      <c r="H16" s="5" t="s">
        <v>787</v>
      </c>
      <c r="I16" s="5" t="s">
        <v>784</v>
      </c>
      <c r="J16" s="104"/>
      <c r="K16" s="5" t="s">
        <v>180</v>
      </c>
      <c r="L16" s="5" t="s">
        <v>766</v>
      </c>
      <c r="M16" s="5" t="s">
        <v>784</v>
      </c>
      <c r="N16" s="104"/>
      <c r="O16" s="5" t="s">
        <v>180</v>
      </c>
      <c r="P16" s="5" t="s">
        <v>767</v>
      </c>
      <c r="Q16" s="5" t="s">
        <v>784</v>
      </c>
      <c r="R16" s="104"/>
      <c r="S16" s="104"/>
      <c r="T16" s="104"/>
      <c r="U16" s="104"/>
    </row>
    <row r="17" spans="3:20" x14ac:dyDescent="0.25">
      <c r="C17" s="5">
        <v>1</v>
      </c>
      <c r="D17" s="5">
        <v>2</v>
      </c>
      <c r="E17" s="5">
        <f>(D17*$E$20)/$D$20</f>
        <v>33.333333333333336</v>
      </c>
      <c r="F17" s="34"/>
      <c r="G17" s="5">
        <v>1</v>
      </c>
      <c r="H17" s="5" t="s">
        <v>788</v>
      </c>
      <c r="I17" s="5">
        <f>IF(H17="No",0,50)</f>
        <v>0</v>
      </c>
      <c r="K17" s="5">
        <v>1</v>
      </c>
      <c r="L17" s="5">
        <v>2</v>
      </c>
      <c r="M17" s="5">
        <f>(L17*$M$20)/$L$20</f>
        <v>16.666666666666668</v>
      </c>
      <c r="O17" s="5">
        <v>6</v>
      </c>
      <c r="P17" s="5">
        <v>90</v>
      </c>
      <c r="Q17" s="5">
        <v>50</v>
      </c>
    </row>
    <row r="18" spans="3:20" x14ac:dyDescent="0.25">
      <c r="C18" s="5">
        <v>2</v>
      </c>
      <c r="D18" s="5">
        <v>1</v>
      </c>
      <c r="E18" s="5">
        <f>(D18*$E$20)/$D$20</f>
        <v>16.666666666666668</v>
      </c>
      <c r="G18" s="5">
        <v>2</v>
      </c>
      <c r="H18" s="5" t="s">
        <v>788</v>
      </c>
      <c r="I18" s="5">
        <f t="shared" ref="I18:I24" si="15">IF(H18="No",0,50)</f>
        <v>0</v>
      </c>
      <c r="K18" s="5">
        <v>2</v>
      </c>
      <c r="L18" s="5">
        <v>2</v>
      </c>
      <c r="M18" s="5">
        <f>(L18*$M$20)/$L$20</f>
        <v>16.666666666666668</v>
      </c>
      <c r="O18" s="5">
        <v>4</v>
      </c>
      <c r="P18" s="5">
        <v>72</v>
      </c>
      <c r="Q18" s="5">
        <f t="shared" ref="Q18:Q24" si="16">(P18*$Q$17)/$P$17</f>
        <v>40</v>
      </c>
    </row>
    <row r="19" spans="3:20" x14ac:dyDescent="0.25">
      <c r="C19" s="5">
        <v>3</v>
      </c>
      <c r="D19" s="5">
        <v>1</v>
      </c>
      <c r="E19" s="5">
        <f>(D19*$E$20)/$D$20</f>
        <v>16.666666666666668</v>
      </c>
      <c r="G19" s="5">
        <v>3</v>
      </c>
      <c r="H19" s="5" t="s">
        <v>789</v>
      </c>
      <c r="I19" s="5">
        <f t="shared" si="15"/>
        <v>50</v>
      </c>
      <c r="K19" s="5">
        <v>3</v>
      </c>
      <c r="L19" s="5">
        <v>2</v>
      </c>
      <c r="M19" s="5">
        <f>(L19*$M$20)/$L$20</f>
        <v>16.666666666666668</v>
      </c>
      <c r="O19" s="5">
        <v>7</v>
      </c>
      <c r="P19" s="5">
        <v>71</v>
      </c>
      <c r="Q19" s="5">
        <f t="shared" si="16"/>
        <v>39.444444444444443</v>
      </c>
    </row>
    <row r="20" spans="3:20" x14ac:dyDescent="0.25">
      <c r="C20" s="5">
        <v>4</v>
      </c>
      <c r="D20" s="5">
        <v>3</v>
      </c>
      <c r="E20" s="5">
        <v>50</v>
      </c>
      <c r="G20" s="5">
        <v>4</v>
      </c>
      <c r="H20" s="5" t="s">
        <v>789</v>
      </c>
      <c r="I20" s="5">
        <f t="shared" si="15"/>
        <v>50</v>
      </c>
      <c r="K20" s="5">
        <v>4</v>
      </c>
      <c r="L20" s="5">
        <v>6</v>
      </c>
      <c r="M20" s="5">
        <v>50</v>
      </c>
      <c r="O20" s="5">
        <v>3</v>
      </c>
      <c r="P20" s="5">
        <v>70</v>
      </c>
      <c r="Q20" s="5">
        <f t="shared" si="16"/>
        <v>38.888888888888886</v>
      </c>
    </row>
    <row r="21" spans="3:20" x14ac:dyDescent="0.25">
      <c r="C21" s="5">
        <v>5</v>
      </c>
      <c r="D21" s="5">
        <v>2</v>
      </c>
      <c r="E21" s="5">
        <f>(D21*$E$20)/$D$20</f>
        <v>33.333333333333336</v>
      </c>
      <c r="G21" s="5">
        <v>5</v>
      </c>
      <c r="H21" s="5" t="s">
        <v>788</v>
      </c>
      <c r="I21" s="5">
        <f t="shared" si="15"/>
        <v>0</v>
      </c>
      <c r="K21" s="5">
        <v>5</v>
      </c>
      <c r="L21" s="5">
        <v>3</v>
      </c>
      <c r="M21" s="5">
        <f>(L21*$M$20)/$L$20</f>
        <v>25</v>
      </c>
      <c r="O21" s="5">
        <v>2</v>
      </c>
      <c r="P21" s="5">
        <v>65</v>
      </c>
      <c r="Q21" s="5">
        <f t="shared" si="16"/>
        <v>36.111111111111114</v>
      </c>
    </row>
    <row r="22" spans="3:20" x14ac:dyDescent="0.25">
      <c r="C22" s="5">
        <v>6</v>
      </c>
      <c r="D22" s="5">
        <v>2</v>
      </c>
      <c r="E22" s="5">
        <f>(D22*$E$20)/$D$20</f>
        <v>33.333333333333336</v>
      </c>
      <c r="G22" s="5">
        <v>6</v>
      </c>
      <c r="H22" s="5" t="s">
        <v>788</v>
      </c>
      <c r="I22" s="5">
        <f t="shared" si="15"/>
        <v>0</v>
      </c>
      <c r="K22" s="5">
        <v>6</v>
      </c>
      <c r="L22" s="5">
        <v>3</v>
      </c>
      <c r="M22" s="5">
        <f>(L22*$M$20)/$L$20</f>
        <v>25</v>
      </c>
      <c r="O22" s="5">
        <v>5</v>
      </c>
      <c r="P22" s="5">
        <v>64</v>
      </c>
      <c r="Q22" s="5">
        <f t="shared" si="16"/>
        <v>35.555555555555557</v>
      </c>
    </row>
    <row r="23" spans="3:20" x14ac:dyDescent="0.25">
      <c r="C23" s="5">
        <v>7</v>
      </c>
      <c r="D23" s="5">
        <v>2</v>
      </c>
      <c r="E23" s="5">
        <f>(D23*$E$20)/$D$20</f>
        <v>33.333333333333336</v>
      </c>
      <c r="G23" s="5">
        <v>7</v>
      </c>
      <c r="H23" s="5" t="s">
        <v>788</v>
      </c>
      <c r="I23" s="5">
        <f t="shared" si="15"/>
        <v>0</v>
      </c>
      <c r="K23" s="5">
        <v>7</v>
      </c>
      <c r="L23" s="5">
        <v>3</v>
      </c>
      <c r="M23" s="5">
        <f>(L23*$M$20)/$L$20</f>
        <v>25</v>
      </c>
      <c r="O23" s="5">
        <v>1</v>
      </c>
      <c r="P23" s="5">
        <v>58</v>
      </c>
      <c r="Q23" s="5">
        <f t="shared" si="16"/>
        <v>32.222222222222221</v>
      </c>
    </row>
    <row r="24" spans="3:20" x14ac:dyDescent="0.25">
      <c r="C24" s="5">
        <v>8</v>
      </c>
      <c r="D24" s="5">
        <v>2</v>
      </c>
      <c r="E24" s="5">
        <f>(D24*$E$20)/$D$20</f>
        <v>33.333333333333336</v>
      </c>
      <c r="G24" s="5">
        <v>8</v>
      </c>
      <c r="H24" s="5" t="s">
        <v>788</v>
      </c>
      <c r="I24" s="5">
        <f t="shared" si="15"/>
        <v>0</v>
      </c>
      <c r="K24" s="5">
        <v>8</v>
      </c>
      <c r="L24" s="5">
        <v>2</v>
      </c>
      <c r="M24" s="5">
        <f>(L24*$M$20)/$L$20</f>
        <v>16.666666666666668</v>
      </c>
      <c r="O24" s="5">
        <v>8</v>
      </c>
      <c r="P24" s="5">
        <v>50</v>
      </c>
      <c r="Q24" s="5">
        <f t="shared" si="16"/>
        <v>27.777777777777779</v>
      </c>
    </row>
    <row r="25" spans="3:20" x14ac:dyDescent="0.25">
      <c r="Q25" s="104"/>
    </row>
    <row r="26" spans="3:20" x14ac:dyDescent="0.25">
      <c r="Q26" s="104"/>
    </row>
    <row r="27" spans="3:20" x14ac:dyDescent="0.25">
      <c r="E27" s="1052" t="s">
        <v>790</v>
      </c>
      <c r="F27" s="1052"/>
      <c r="G27" s="1052"/>
      <c r="I27" s="1052" t="s">
        <v>769</v>
      </c>
      <c r="J27" s="1052"/>
      <c r="K27" s="1052"/>
      <c r="M27" s="1052" t="s">
        <v>770</v>
      </c>
      <c r="N27" s="1052"/>
      <c r="O27" s="1052"/>
      <c r="Q27" s="1052" t="s">
        <v>771</v>
      </c>
      <c r="R27" s="1052"/>
      <c r="S27" s="1052"/>
    </row>
    <row r="28" spans="3:20" x14ac:dyDescent="0.25">
      <c r="E28" s="5" t="s">
        <v>180</v>
      </c>
      <c r="F28" s="5" t="s">
        <v>785</v>
      </c>
      <c r="G28" s="5" t="s">
        <v>784</v>
      </c>
      <c r="I28" s="5" t="s">
        <v>180</v>
      </c>
      <c r="J28" s="5" t="s">
        <v>769</v>
      </c>
      <c r="K28" s="5" t="s">
        <v>784</v>
      </c>
      <c r="M28" s="5" t="s">
        <v>180</v>
      </c>
      <c r="N28" s="5" t="s">
        <v>791</v>
      </c>
      <c r="O28" s="5" t="s">
        <v>784</v>
      </c>
      <c r="Q28" s="5" t="s">
        <v>180</v>
      </c>
      <c r="R28" s="5" t="s">
        <v>792</v>
      </c>
      <c r="S28" s="5" t="s">
        <v>784</v>
      </c>
      <c r="T28" s="104"/>
    </row>
    <row r="29" spans="3:20" x14ac:dyDescent="0.25">
      <c r="E29" s="5">
        <v>1</v>
      </c>
      <c r="F29" s="5">
        <v>1568000</v>
      </c>
      <c r="G29" s="5">
        <v>50</v>
      </c>
      <c r="I29" s="5">
        <v>1</v>
      </c>
      <c r="J29" s="5">
        <v>0</v>
      </c>
      <c r="K29" s="5">
        <f>IF(J29=0,50,0)</f>
        <v>50</v>
      </c>
      <c r="M29" s="5">
        <v>1</v>
      </c>
      <c r="N29" s="5" t="s">
        <v>788</v>
      </c>
      <c r="O29" s="5">
        <f>IF(N29="No",0,50)</f>
        <v>0</v>
      </c>
      <c r="Q29" s="5">
        <v>1</v>
      </c>
      <c r="R29" s="5" t="s">
        <v>788</v>
      </c>
      <c r="S29" s="5">
        <f>IF(R29="No",0,50)</f>
        <v>0</v>
      </c>
      <c r="T29" s="104"/>
    </row>
    <row r="30" spans="3:20" x14ac:dyDescent="0.25">
      <c r="E30" s="5">
        <v>4</v>
      </c>
      <c r="F30" s="5">
        <v>2300000</v>
      </c>
      <c r="G30" s="5">
        <f>($F$29*$G$29)/F30</f>
        <v>34.086956521739133</v>
      </c>
      <c r="I30" s="5">
        <v>2</v>
      </c>
      <c r="J30" s="5">
        <v>0</v>
      </c>
      <c r="K30" s="5">
        <f t="shared" ref="K30:K36" si="17">IF(J30=0,50,0)</f>
        <v>50</v>
      </c>
      <c r="M30" s="5">
        <v>2</v>
      </c>
      <c r="N30" s="5" t="s">
        <v>789</v>
      </c>
      <c r="O30" s="5">
        <f t="shared" ref="O30:O36" si="18">IF(N30="No",0,50)</f>
        <v>50</v>
      </c>
      <c r="Q30" s="5">
        <v>2</v>
      </c>
      <c r="R30" s="5" t="s">
        <v>789</v>
      </c>
      <c r="S30" s="5">
        <f t="shared" ref="S30:S36" si="19">IF(R30="No",0,50)</f>
        <v>50</v>
      </c>
    </row>
    <row r="31" spans="3:20" x14ac:dyDescent="0.25">
      <c r="E31" s="5">
        <v>6</v>
      </c>
      <c r="F31" s="5">
        <v>2500000</v>
      </c>
      <c r="G31" s="5">
        <f t="shared" ref="G31:G36" si="20">($F$29*$G$29)/F31</f>
        <v>31.36</v>
      </c>
      <c r="I31" s="5">
        <v>3</v>
      </c>
      <c r="J31" s="5">
        <v>0</v>
      </c>
      <c r="K31" s="5">
        <f t="shared" si="17"/>
        <v>50</v>
      </c>
      <c r="M31" s="5">
        <v>3</v>
      </c>
      <c r="N31" s="5" t="s">
        <v>789</v>
      </c>
      <c r="O31" s="5">
        <f t="shared" si="18"/>
        <v>50</v>
      </c>
      <c r="Q31" s="5">
        <v>3</v>
      </c>
      <c r="R31" s="5" t="s">
        <v>789</v>
      </c>
      <c r="S31" s="5">
        <f t="shared" si="19"/>
        <v>50</v>
      </c>
    </row>
    <row r="32" spans="3:20" x14ac:dyDescent="0.25">
      <c r="E32" s="5">
        <v>8</v>
      </c>
      <c r="F32" s="5">
        <v>2700000</v>
      </c>
      <c r="G32" s="5">
        <f t="shared" si="20"/>
        <v>29.037037037037038</v>
      </c>
      <c r="I32" s="5">
        <v>4</v>
      </c>
      <c r="J32" s="5">
        <v>0</v>
      </c>
      <c r="K32" s="5">
        <f t="shared" si="17"/>
        <v>50</v>
      </c>
      <c r="M32" s="5">
        <v>4</v>
      </c>
      <c r="N32" s="5" t="s">
        <v>789</v>
      </c>
      <c r="O32" s="5">
        <f t="shared" si="18"/>
        <v>50</v>
      </c>
      <c r="Q32" s="5">
        <v>4</v>
      </c>
      <c r="R32" s="5" t="s">
        <v>789</v>
      </c>
      <c r="S32" s="5">
        <f t="shared" si="19"/>
        <v>50</v>
      </c>
    </row>
    <row r="33" spans="5:19" x14ac:dyDescent="0.25">
      <c r="E33" s="5">
        <v>5</v>
      </c>
      <c r="F33" s="5">
        <v>3500000</v>
      </c>
      <c r="G33" s="5">
        <f t="shared" si="20"/>
        <v>22.4</v>
      </c>
      <c r="I33" s="5">
        <v>5</v>
      </c>
      <c r="J33" s="5">
        <v>0</v>
      </c>
      <c r="K33" s="5">
        <f t="shared" si="17"/>
        <v>50</v>
      </c>
      <c r="M33" s="5">
        <v>5</v>
      </c>
      <c r="N33" s="5" t="s">
        <v>789</v>
      </c>
      <c r="O33" s="5">
        <f t="shared" si="18"/>
        <v>50</v>
      </c>
      <c r="Q33" s="5">
        <v>5</v>
      </c>
      <c r="R33" s="5" t="s">
        <v>789</v>
      </c>
      <c r="S33" s="5">
        <f t="shared" si="19"/>
        <v>50</v>
      </c>
    </row>
    <row r="34" spans="5:19" x14ac:dyDescent="0.25">
      <c r="E34" s="5">
        <v>7</v>
      </c>
      <c r="F34" s="5">
        <v>3800000</v>
      </c>
      <c r="G34" s="5">
        <f t="shared" si="20"/>
        <v>20.631578947368421</v>
      </c>
      <c r="I34" s="5">
        <v>6</v>
      </c>
      <c r="J34" s="5">
        <v>0</v>
      </c>
      <c r="K34" s="5">
        <f t="shared" si="17"/>
        <v>50</v>
      </c>
      <c r="M34" s="5">
        <v>6</v>
      </c>
      <c r="N34" s="5" t="s">
        <v>789</v>
      </c>
      <c r="O34" s="5">
        <f t="shared" si="18"/>
        <v>50</v>
      </c>
      <c r="Q34" s="5">
        <v>6</v>
      </c>
      <c r="R34" s="5" t="s">
        <v>789</v>
      </c>
      <c r="S34" s="5">
        <f t="shared" si="19"/>
        <v>50</v>
      </c>
    </row>
    <row r="35" spans="5:19" x14ac:dyDescent="0.25">
      <c r="E35" s="5">
        <v>2</v>
      </c>
      <c r="F35" s="5">
        <v>4800000</v>
      </c>
      <c r="G35" s="5">
        <f>($F$29*$G$29)/F35</f>
        <v>16.333333333333332</v>
      </c>
      <c r="I35" s="5">
        <v>7</v>
      </c>
      <c r="J35" s="5">
        <v>0</v>
      </c>
      <c r="K35" s="5">
        <f t="shared" si="17"/>
        <v>50</v>
      </c>
      <c r="M35" s="5">
        <v>7</v>
      </c>
      <c r="N35" s="5" t="s">
        <v>789</v>
      </c>
      <c r="O35" s="5">
        <f t="shared" si="18"/>
        <v>50</v>
      </c>
      <c r="Q35" s="5">
        <v>7</v>
      </c>
      <c r="R35" s="5" t="s">
        <v>789</v>
      </c>
      <c r="S35" s="5">
        <f t="shared" si="19"/>
        <v>50</v>
      </c>
    </row>
    <row r="36" spans="5:19" x14ac:dyDescent="0.25">
      <c r="E36" s="5">
        <v>3</v>
      </c>
      <c r="F36" s="5">
        <v>4800000</v>
      </c>
      <c r="G36" s="5">
        <f t="shared" si="20"/>
        <v>16.333333333333332</v>
      </c>
      <c r="I36" s="5">
        <v>8</v>
      </c>
      <c r="J36" s="5">
        <v>0</v>
      </c>
      <c r="K36" s="5">
        <f t="shared" si="17"/>
        <v>50</v>
      </c>
      <c r="M36" s="5">
        <v>8</v>
      </c>
      <c r="N36" s="5" t="s">
        <v>789</v>
      </c>
      <c r="O36" s="5">
        <f t="shared" si="18"/>
        <v>50</v>
      </c>
      <c r="Q36" s="5">
        <v>8</v>
      </c>
      <c r="R36" s="5" t="s">
        <v>789</v>
      </c>
      <c r="S36" s="5">
        <f t="shared" si="19"/>
        <v>50</v>
      </c>
    </row>
  </sheetData>
  <sortState xmlns:xlrd2="http://schemas.microsoft.com/office/spreadsheetml/2017/richdata2" ref="F29:F36">
    <sortCondition ref="F29"/>
  </sortState>
  <mergeCells count="26">
    <mergeCell ref="D2:S2"/>
    <mergeCell ref="E27:G27"/>
    <mergeCell ref="I27:K27"/>
    <mergeCell ref="M27:O27"/>
    <mergeCell ref="Q27:S27"/>
    <mergeCell ref="C15:E15"/>
    <mergeCell ref="G15:I15"/>
    <mergeCell ref="K15:M15"/>
    <mergeCell ref="O15:Q15"/>
    <mergeCell ref="D3:E3"/>
    <mergeCell ref="F3:G3"/>
    <mergeCell ref="H3:I3"/>
    <mergeCell ref="J3:K3"/>
    <mergeCell ref="L3:M3"/>
    <mergeCell ref="D4:E4"/>
    <mergeCell ref="F4:G4"/>
    <mergeCell ref="H4:I4"/>
    <mergeCell ref="J4:K4"/>
    <mergeCell ref="L4:M4"/>
    <mergeCell ref="N3:O3"/>
    <mergeCell ref="W4:X4"/>
    <mergeCell ref="R3:S3"/>
    <mergeCell ref="R4:S4"/>
    <mergeCell ref="P3:Q3"/>
    <mergeCell ref="N4:O4"/>
    <mergeCell ref="P4:Q4"/>
  </mergeCells>
  <pageMargins left="0.7" right="0.7" top="0.75" bottom="0.75" header="0.3" footer="0.3"/>
  <pageSetup paperSize="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541D-E1E9-4AA6-A432-AEF2DC7F1B69}">
  <dimension ref="A1:AM197"/>
  <sheetViews>
    <sheetView zoomScaleNormal="100" workbookViewId="0"/>
  </sheetViews>
  <sheetFormatPr baseColWidth="10" defaultColWidth="9.140625" defaultRowHeight="12.75" x14ac:dyDescent="0.2"/>
  <cols>
    <col min="1" max="1" width="9.140625" style="156"/>
    <col min="2" max="2" width="66.140625" style="155" customWidth="1"/>
    <col min="3" max="3" width="29.28515625" style="155" bestFit="1" customWidth="1"/>
    <col min="4" max="4" width="9.85546875" style="158" bestFit="1" customWidth="1"/>
    <col min="5" max="5" width="13.7109375" style="159" bestFit="1" customWidth="1"/>
    <col min="6" max="6" width="13.7109375" style="158" bestFit="1" customWidth="1"/>
    <col min="7" max="7" width="3.5703125" style="158" customWidth="1"/>
    <col min="8" max="8" width="4.140625" style="158" customWidth="1"/>
    <col min="9" max="11" width="3.5703125" style="158" customWidth="1"/>
    <col min="12" max="12" width="14.140625" style="155" customWidth="1"/>
    <col min="13" max="13" width="15.7109375" style="155" bestFit="1" customWidth="1"/>
    <col min="14" max="39" width="9.140625" style="156"/>
    <col min="40" max="16384" width="9.140625" style="155"/>
  </cols>
  <sheetData>
    <row r="1" spans="1:39" s="156" customFormat="1" x14ac:dyDescent="0.2">
      <c r="D1" s="159"/>
      <c r="E1" s="159"/>
      <c r="F1" s="159"/>
      <c r="G1" s="159"/>
      <c r="H1" s="159"/>
      <c r="I1" s="159"/>
      <c r="J1" s="159"/>
      <c r="K1" s="159"/>
    </row>
    <row r="2" spans="1:39" ht="33" customHeight="1" x14ac:dyDescent="0.2">
      <c r="B2" s="1223" t="s">
        <v>1483</v>
      </c>
      <c r="C2" s="1224"/>
      <c r="D2" s="1224"/>
      <c r="E2" s="1224"/>
      <c r="F2" s="1224"/>
      <c r="G2" s="1224"/>
      <c r="H2" s="1224"/>
      <c r="I2" s="1224"/>
      <c r="J2" s="1224"/>
      <c r="K2" s="1224"/>
      <c r="L2" s="1224"/>
      <c r="M2" s="1225"/>
    </row>
    <row r="3" spans="1:39" x14ac:dyDescent="0.2">
      <c r="B3" s="178" t="s">
        <v>1484</v>
      </c>
      <c r="C3" s="208">
        <v>1</v>
      </c>
      <c r="D3" s="1226" t="s">
        <v>1485</v>
      </c>
      <c r="E3" s="1226"/>
      <c r="F3" s="1226"/>
      <c r="G3" s="1226"/>
      <c r="H3" s="1226"/>
      <c r="I3" s="1226"/>
      <c r="J3" s="1226"/>
      <c r="K3" s="1226"/>
      <c r="L3" s="1226"/>
      <c r="M3" s="1226"/>
    </row>
    <row r="4" spans="1:39" s="151" customFormat="1" x14ac:dyDescent="0.25">
      <c r="A4" s="157"/>
      <c r="B4" s="1227" t="s">
        <v>1496</v>
      </c>
      <c r="C4" s="1228"/>
      <c r="D4" s="1195" t="s">
        <v>302</v>
      </c>
      <c r="E4" s="1195"/>
      <c r="F4" s="1195"/>
      <c r="G4" s="1195"/>
      <c r="H4" s="1195"/>
      <c r="I4" s="1195" t="s">
        <v>1486</v>
      </c>
      <c r="J4" s="1195"/>
      <c r="K4" s="1195"/>
      <c r="L4" s="186" t="s">
        <v>1487</v>
      </c>
      <c r="M4" s="186" t="s">
        <v>1488</v>
      </c>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row>
    <row r="5" spans="1:39" s="151" customFormat="1" ht="15" customHeight="1" x14ac:dyDescent="0.25">
      <c r="A5" s="157"/>
      <c r="B5" s="1229"/>
      <c r="C5" s="1230"/>
      <c r="D5" s="1231" t="s">
        <v>1489</v>
      </c>
      <c r="E5" s="1231"/>
      <c r="F5" s="1231"/>
      <c r="G5" s="1231"/>
      <c r="H5" s="1231"/>
      <c r="I5" s="1197" t="s">
        <v>1539</v>
      </c>
      <c r="J5" s="1197"/>
      <c r="K5" s="1197"/>
      <c r="L5" s="1232" t="s">
        <v>2230</v>
      </c>
      <c r="M5" s="1232" t="str">
        <f>L5</f>
        <v>37
1
1
15
1</v>
      </c>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row>
    <row r="6" spans="1:39" s="151" customFormat="1" x14ac:dyDescent="0.25">
      <c r="A6" s="157"/>
      <c r="B6" s="1233" t="s">
        <v>1535</v>
      </c>
      <c r="C6" s="1234"/>
      <c r="D6" s="1231"/>
      <c r="E6" s="1231"/>
      <c r="F6" s="1231"/>
      <c r="G6" s="1231"/>
      <c r="H6" s="1231"/>
      <c r="I6" s="1197"/>
      <c r="J6" s="1197"/>
      <c r="K6" s="1197"/>
      <c r="L6" s="1197"/>
      <c r="M6" s="119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row>
    <row r="7" spans="1:39" s="151" customFormat="1" x14ac:dyDescent="0.25">
      <c r="A7" s="157"/>
      <c r="B7" s="1235"/>
      <c r="C7" s="1236"/>
      <c r="D7" s="1231"/>
      <c r="E7" s="1231"/>
      <c r="F7" s="1231"/>
      <c r="G7" s="1231"/>
      <c r="H7" s="1231"/>
      <c r="I7" s="1197"/>
      <c r="J7" s="1197"/>
      <c r="K7" s="1197"/>
      <c r="L7" s="1197"/>
      <c r="M7" s="119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row>
    <row r="8" spans="1:39" x14ac:dyDescent="0.2">
      <c r="B8" s="1214" t="s">
        <v>1540</v>
      </c>
      <c r="C8" s="1215"/>
      <c r="D8" s="1231"/>
      <c r="E8" s="1231"/>
      <c r="F8" s="1231"/>
      <c r="G8" s="1231"/>
      <c r="H8" s="1231"/>
      <c r="I8" s="1197"/>
      <c r="J8" s="1197"/>
      <c r="K8" s="1197"/>
      <c r="L8" s="1197"/>
      <c r="M8" s="1197"/>
    </row>
    <row r="9" spans="1:39" x14ac:dyDescent="0.2">
      <c r="B9" s="1216" t="s">
        <v>1537</v>
      </c>
      <c r="C9" s="1237" t="s">
        <v>1490</v>
      </c>
      <c r="D9" s="1231"/>
      <c r="E9" s="1231"/>
      <c r="F9" s="1231"/>
      <c r="G9" s="1231"/>
      <c r="H9" s="1231"/>
      <c r="I9" s="1197"/>
      <c r="J9" s="1197"/>
      <c r="K9" s="1197"/>
      <c r="L9" s="1197"/>
      <c r="M9" s="1197"/>
    </row>
    <row r="10" spans="1:39" x14ac:dyDescent="0.2">
      <c r="B10" s="1217"/>
      <c r="C10" s="1238"/>
      <c r="D10" s="1240" t="s">
        <v>1491</v>
      </c>
      <c r="E10" s="1240"/>
      <c r="F10" s="1240"/>
      <c r="G10" s="1240"/>
      <c r="H10" s="1240"/>
      <c r="I10" s="1197" t="s">
        <v>1539</v>
      </c>
      <c r="J10" s="1197"/>
      <c r="K10" s="1197"/>
      <c r="L10" s="177">
        <v>29</v>
      </c>
      <c r="M10" s="177">
        <f>L10</f>
        <v>29</v>
      </c>
    </row>
    <row r="11" spans="1:39" x14ac:dyDescent="0.2">
      <c r="B11" s="1218"/>
      <c r="C11" s="1239"/>
      <c r="D11" s="1241" t="s">
        <v>1492</v>
      </c>
      <c r="E11" s="1241"/>
      <c r="F11" s="1241"/>
      <c r="G11" s="1241"/>
      <c r="H11" s="1241"/>
      <c r="I11" s="1197" t="s">
        <v>1539</v>
      </c>
      <c r="J11" s="1197"/>
      <c r="K11" s="1197"/>
      <c r="L11" s="177">
        <f>E79</f>
        <v>655</v>
      </c>
      <c r="M11" s="177">
        <f>L11</f>
        <v>655</v>
      </c>
    </row>
    <row r="12" spans="1:39" ht="57.75" customHeight="1" x14ac:dyDescent="0.2">
      <c r="B12" s="210" t="s">
        <v>1498</v>
      </c>
      <c r="C12" s="211" t="s">
        <v>1536</v>
      </c>
      <c r="D12" s="1196" t="s">
        <v>1493</v>
      </c>
      <c r="E12" s="1196"/>
      <c r="F12" s="1196"/>
      <c r="G12" s="1196"/>
      <c r="H12" s="1196"/>
      <c r="I12" s="1197" t="s">
        <v>1539</v>
      </c>
      <c r="J12" s="1197"/>
      <c r="K12" s="1197"/>
      <c r="L12" s="209" t="s">
        <v>1538</v>
      </c>
      <c r="M12" s="209" t="s">
        <v>1538</v>
      </c>
    </row>
    <row r="13" spans="1:39" x14ac:dyDescent="0.2">
      <c r="B13" s="1195" t="s">
        <v>1</v>
      </c>
      <c r="C13" s="1195"/>
      <c r="D13" s="1195" t="s">
        <v>176</v>
      </c>
      <c r="E13" s="1195" t="s">
        <v>1529</v>
      </c>
      <c r="F13" s="1195" t="s">
        <v>1491</v>
      </c>
      <c r="G13" s="1195" t="s">
        <v>1494</v>
      </c>
      <c r="H13" s="1195"/>
      <c r="I13" s="1195"/>
      <c r="J13" s="1195"/>
      <c r="K13" s="1195"/>
      <c r="L13" s="1195" t="s">
        <v>1495</v>
      </c>
      <c r="M13" s="1195"/>
    </row>
    <row r="14" spans="1:39" x14ac:dyDescent="0.2">
      <c r="B14" s="1195"/>
      <c r="C14" s="1195"/>
      <c r="D14" s="1195"/>
      <c r="E14" s="1195"/>
      <c r="F14" s="1195"/>
      <c r="G14" s="186"/>
      <c r="H14" s="186"/>
      <c r="I14" s="186"/>
      <c r="J14" s="186"/>
      <c r="K14" s="186"/>
      <c r="L14" s="1195"/>
      <c r="M14" s="1195"/>
    </row>
    <row r="15" spans="1:39" x14ac:dyDescent="0.2">
      <c r="B15" s="160" t="s">
        <v>1499</v>
      </c>
      <c r="C15" s="160" t="s">
        <v>1631</v>
      </c>
      <c r="D15" s="161"/>
      <c r="E15" s="161">
        <v>6</v>
      </c>
      <c r="F15" s="161"/>
      <c r="G15" s="187"/>
      <c r="H15" s="161"/>
      <c r="I15" s="161"/>
      <c r="J15" s="161"/>
      <c r="K15" s="161"/>
      <c r="L15" s="161" t="s">
        <v>1533</v>
      </c>
      <c r="M15" s="161" t="s">
        <v>1533</v>
      </c>
    </row>
    <row r="16" spans="1:39" x14ac:dyDescent="0.2">
      <c r="B16" s="160" t="s">
        <v>1500</v>
      </c>
      <c r="C16" s="160" t="s">
        <v>1631</v>
      </c>
      <c r="D16" s="161"/>
      <c r="E16" s="161">
        <v>15</v>
      </c>
      <c r="F16" s="161">
        <v>1.5</v>
      </c>
      <c r="G16" s="187"/>
      <c r="H16" s="161"/>
      <c r="I16" s="161"/>
      <c r="J16" s="161"/>
      <c r="K16" s="161"/>
      <c r="L16" s="161" t="s">
        <v>1533</v>
      </c>
      <c r="M16" s="161" t="s">
        <v>1533</v>
      </c>
    </row>
    <row r="17" spans="2:13" x14ac:dyDescent="0.2">
      <c r="B17" s="160" t="s">
        <v>1501</v>
      </c>
      <c r="C17" s="160" t="s">
        <v>1631</v>
      </c>
      <c r="D17" s="161"/>
      <c r="E17" s="161">
        <v>5</v>
      </c>
      <c r="F17" s="161"/>
      <c r="G17" s="187"/>
      <c r="H17" s="161"/>
      <c r="I17" s="161"/>
      <c r="J17" s="161"/>
      <c r="K17" s="161"/>
      <c r="L17" s="161" t="s">
        <v>1533</v>
      </c>
      <c r="M17" s="161" t="s">
        <v>1533</v>
      </c>
    </row>
    <row r="18" spans="2:13" x14ac:dyDescent="0.2">
      <c r="B18" s="160" t="s">
        <v>1502</v>
      </c>
      <c r="C18" s="160" t="s">
        <v>1631</v>
      </c>
      <c r="D18" s="161"/>
      <c r="E18" s="161">
        <v>30</v>
      </c>
      <c r="F18" s="161"/>
      <c r="G18" s="187"/>
      <c r="H18" s="161"/>
      <c r="I18" s="161"/>
      <c r="J18" s="161"/>
      <c r="K18" s="161"/>
      <c r="L18" s="161" t="s">
        <v>1533</v>
      </c>
      <c r="M18" s="161" t="s">
        <v>1533</v>
      </c>
    </row>
    <row r="19" spans="2:13" x14ac:dyDescent="0.2">
      <c r="B19" s="160" t="s">
        <v>1503</v>
      </c>
      <c r="C19" s="160" t="s">
        <v>1631</v>
      </c>
      <c r="D19" s="161"/>
      <c r="E19" s="161">
        <v>30</v>
      </c>
      <c r="F19" s="161">
        <v>1.5</v>
      </c>
      <c r="G19" s="187"/>
      <c r="H19" s="161"/>
      <c r="I19" s="161"/>
      <c r="J19" s="161"/>
      <c r="K19" s="161"/>
      <c r="L19" s="161" t="s">
        <v>1533</v>
      </c>
      <c r="M19" s="161" t="s">
        <v>1533</v>
      </c>
    </row>
    <row r="20" spans="2:13" x14ac:dyDescent="0.2">
      <c r="B20" s="160" t="s">
        <v>1504</v>
      </c>
      <c r="C20" s="160" t="s">
        <v>1631</v>
      </c>
      <c r="D20" s="161"/>
      <c r="E20" s="161">
        <v>1</v>
      </c>
      <c r="F20" s="161"/>
      <c r="G20" s="187"/>
      <c r="H20" s="161"/>
      <c r="I20" s="161"/>
      <c r="J20" s="161"/>
      <c r="K20" s="161"/>
      <c r="L20" s="161" t="s">
        <v>1533</v>
      </c>
      <c r="M20" s="161" t="s">
        <v>1533</v>
      </c>
    </row>
    <row r="21" spans="2:13" x14ac:dyDescent="0.2">
      <c r="B21" s="1198"/>
      <c r="C21" s="1199"/>
      <c r="D21" s="179" t="s">
        <v>337</v>
      </c>
      <c r="E21" s="289">
        <f>SUM(E15:E20)</f>
        <v>87</v>
      </c>
      <c r="F21" s="179">
        <f>SUM(F15:F20)</f>
        <v>3</v>
      </c>
      <c r="G21" s="188">
        <v>4</v>
      </c>
      <c r="H21" s="179">
        <v>1</v>
      </c>
      <c r="I21" s="179">
        <v>0</v>
      </c>
      <c r="J21" s="179">
        <v>1</v>
      </c>
      <c r="K21" s="179">
        <v>1</v>
      </c>
      <c r="L21" s="1198"/>
      <c r="M21" s="1199"/>
    </row>
    <row r="22" spans="2:13" x14ac:dyDescent="0.2">
      <c r="B22" s="162" t="s">
        <v>1499</v>
      </c>
      <c r="C22" s="162" t="s">
        <v>1614</v>
      </c>
      <c r="D22" s="163"/>
      <c r="E22" s="163">
        <v>5</v>
      </c>
      <c r="F22" s="163"/>
      <c r="G22" s="189"/>
      <c r="H22" s="163"/>
      <c r="I22" s="163"/>
      <c r="J22" s="163"/>
      <c r="K22" s="163"/>
      <c r="L22" s="163" t="s">
        <v>1533</v>
      </c>
      <c r="M22" s="163" t="s">
        <v>1533</v>
      </c>
    </row>
    <row r="23" spans="2:13" x14ac:dyDescent="0.2">
      <c r="B23" s="162" t="s">
        <v>1500</v>
      </c>
      <c r="C23" s="162" t="s">
        <v>1614</v>
      </c>
      <c r="D23" s="163"/>
      <c r="E23" s="163">
        <v>15</v>
      </c>
      <c r="F23" s="163">
        <v>1.5</v>
      </c>
      <c r="G23" s="189"/>
      <c r="H23" s="163"/>
      <c r="I23" s="163"/>
      <c r="J23" s="163"/>
      <c r="K23" s="163"/>
      <c r="L23" s="163" t="s">
        <v>1533</v>
      </c>
      <c r="M23" s="163" t="s">
        <v>1533</v>
      </c>
    </row>
    <row r="24" spans="2:13" x14ac:dyDescent="0.2">
      <c r="B24" s="162" t="s">
        <v>1505</v>
      </c>
      <c r="C24" s="162" t="s">
        <v>1614</v>
      </c>
      <c r="D24" s="163"/>
      <c r="E24" s="163">
        <v>5</v>
      </c>
      <c r="F24" s="163"/>
      <c r="G24" s="189"/>
      <c r="H24" s="163"/>
      <c r="I24" s="163"/>
      <c r="J24" s="163"/>
      <c r="K24" s="163"/>
      <c r="L24" s="163" t="s">
        <v>1533</v>
      </c>
      <c r="M24" s="163" t="s">
        <v>1533</v>
      </c>
    </row>
    <row r="25" spans="2:13" x14ac:dyDescent="0.2">
      <c r="B25" s="162" t="s">
        <v>1609</v>
      </c>
      <c r="C25" s="162" t="s">
        <v>1614</v>
      </c>
      <c r="D25" s="163"/>
      <c r="E25" s="163">
        <v>40</v>
      </c>
      <c r="F25" s="163"/>
      <c r="G25" s="189"/>
      <c r="H25" s="163"/>
      <c r="I25" s="163"/>
      <c r="J25" s="163"/>
      <c r="K25" s="163"/>
      <c r="L25" s="163" t="s">
        <v>1533</v>
      </c>
      <c r="M25" s="163" t="s">
        <v>1533</v>
      </c>
    </row>
    <row r="26" spans="2:13" x14ac:dyDescent="0.2">
      <c r="B26" s="162" t="s">
        <v>1610</v>
      </c>
      <c r="C26" s="162" t="s">
        <v>1614</v>
      </c>
      <c r="D26" s="163"/>
      <c r="E26" s="163">
        <v>30</v>
      </c>
      <c r="F26" s="163"/>
      <c r="G26" s="189"/>
      <c r="H26" s="163"/>
      <c r="I26" s="163"/>
      <c r="J26" s="163"/>
      <c r="K26" s="163"/>
      <c r="L26" s="163" t="s">
        <v>1533</v>
      </c>
      <c r="M26" s="163" t="s">
        <v>1533</v>
      </c>
    </row>
    <row r="27" spans="2:13" x14ac:dyDescent="0.2">
      <c r="B27" s="162" t="s">
        <v>1611</v>
      </c>
      <c r="C27" s="162" t="s">
        <v>1614</v>
      </c>
      <c r="D27" s="163"/>
      <c r="E27" s="163">
        <v>15</v>
      </c>
      <c r="F27" s="163"/>
      <c r="G27" s="189"/>
      <c r="H27" s="163"/>
      <c r="I27" s="163"/>
      <c r="J27" s="163"/>
      <c r="K27" s="163"/>
      <c r="L27" s="163" t="s">
        <v>1533</v>
      </c>
      <c r="M27" s="163" t="s">
        <v>1533</v>
      </c>
    </row>
    <row r="28" spans="2:13" x14ac:dyDescent="0.2">
      <c r="B28" s="162" t="s">
        <v>1612</v>
      </c>
      <c r="C28" s="162" t="s">
        <v>1615</v>
      </c>
      <c r="D28" s="163"/>
      <c r="E28" s="163">
        <v>5</v>
      </c>
      <c r="F28" s="163"/>
      <c r="G28" s="189"/>
      <c r="H28" s="163"/>
      <c r="I28" s="163"/>
      <c r="J28" s="163"/>
      <c r="K28" s="163"/>
      <c r="L28" s="163" t="s">
        <v>1534</v>
      </c>
      <c r="M28" s="163" t="s">
        <v>1534</v>
      </c>
    </row>
    <row r="29" spans="2:13" x14ac:dyDescent="0.2">
      <c r="B29" s="162" t="s">
        <v>1551</v>
      </c>
      <c r="C29" s="162" t="s">
        <v>1615</v>
      </c>
      <c r="D29" s="163"/>
      <c r="E29" s="163">
        <v>5</v>
      </c>
      <c r="F29" s="163"/>
      <c r="G29" s="189"/>
      <c r="H29" s="163"/>
      <c r="I29" s="163"/>
      <c r="J29" s="163"/>
      <c r="K29" s="163"/>
      <c r="L29" s="163" t="s">
        <v>1534</v>
      </c>
      <c r="M29" s="163" t="s">
        <v>1534</v>
      </c>
    </row>
    <row r="30" spans="2:13" x14ac:dyDescent="0.2">
      <c r="B30" s="162" t="s">
        <v>1506</v>
      </c>
      <c r="C30" s="162" t="s">
        <v>1615</v>
      </c>
      <c r="D30" s="163"/>
      <c r="E30" s="163">
        <v>1</v>
      </c>
      <c r="F30" s="163"/>
      <c r="G30" s="189"/>
      <c r="H30" s="163"/>
      <c r="I30" s="163"/>
      <c r="J30" s="163"/>
      <c r="K30" s="163"/>
      <c r="L30" s="163" t="s">
        <v>1534</v>
      </c>
      <c r="M30" s="163" t="s">
        <v>1534</v>
      </c>
    </row>
    <row r="31" spans="2:13" x14ac:dyDescent="0.2">
      <c r="B31" s="162" t="s">
        <v>1111</v>
      </c>
      <c r="C31" s="162" t="s">
        <v>1508</v>
      </c>
      <c r="D31" s="163"/>
      <c r="E31" s="163">
        <v>2</v>
      </c>
      <c r="F31" s="163"/>
      <c r="G31" s="189"/>
      <c r="H31" s="163"/>
      <c r="I31" s="163"/>
      <c r="J31" s="163"/>
      <c r="K31" s="163"/>
      <c r="L31" s="163" t="s">
        <v>1534</v>
      </c>
      <c r="M31" s="163" t="s">
        <v>1534</v>
      </c>
    </row>
    <row r="32" spans="2:13" x14ac:dyDescent="0.2">
      <c r="B32" s="162" t="s">
        <v>1507</v>
      </c>
      <c r="C32" s="162" t="s">
        <v>1508</v>
      </c>
      <c r="D32" s="163"/>
      <c r="E32" s="163">
        <v>3</v>
      </c>
      <c r="F32" s="163">
        <v>2</v>
      </c>
      <c r="G32" s="189"/>
      <c r="H32" s="163"/>
      <c r="I32" s="163"/>
      <c r="J32" s="163"/>
      <c r="K32" s="163"/>
      <c r="L32" s="163" t="s">
        <v>1534</v>
      </c>
      <c r="M32" s="163" t="s">
        <v>1534</v>
      </c>
    </row>
    <row r="33" spans="2:13" x14ac:dyDescent="0.2">
      <c r="B33" s="164" t="s">
        <v>1613</v>
      </c>
      <c r="C33" s="162" t="s">
        <v>1616</v>
      </c>
      <c r="D33" s="163"/>
      <c r="E33" s="163">
        <v>20</v>
      </c>
      <c r="F33" s="163"/>
      <c r="G33" s="189"/>
      <c r="H33" s="163"/>
      <c r="I33" s="163"/>
      <c r="J33" s="163"/>
      <c r="K33" s="163"/>
      <c r="L33" s="163" t="s">
        <v>1534</v>
      </c>
      <c r="M33" s="163" t="s">
        <v>1534</v>
      </c>
    </row>
    <row r="34" spans="2:13" x14ac:dyDescent="0.2">
      <c r="B34" s="1200"/>
      <c r="C34" s="1201"/>
      <c r="D34" s="180" t="s">
        <v>337</v>
      </c>
      <c r="E34" s="290">
        <f>SUM(E22:E33)</f>
        <v>146</v>
      </c>
      <c r="F34" s="180">
        <f>SUM(F22:F32)</f>
        <v>3.5</v>
      </c>
      <c r="G34" s="180">
        <v>9</v>
      </c>
      <c r="H34" s="180">
        <v>0</v>
      </c>
      <c r="I34" s="180">
        <v>0</v>
      </c>
      <c r="J34" s="180">
        <v>2</v>
      </c>
      <c r="K34" s="180">
        <v>0</v>
      </c>
      <c r="L34" s="1200"/>
      <c r="M34" s="1201"/>
    </row>
    <row r="35" spans="2:13" x14ac:dyDescent="0.2">
      <c r="B35" s="165" t="s">
        <v>1499</v>
      </c>
      <c r="C35" s="165" t="s">
        <v>1621</v>
      </c>
      <c r="D35" s="166"/>
      <c r="E35" s="166">
        <v>5</v>
      </c>
      <c r="F35" s="166"/>
      <c r="G35" s="190"/>
      <c r="H35" s="166"/>
      <c r="I35" s="166"/>
      <c r="J35" s="166"/>
      <c r="K35" s="166"/>
      <c r="L35" s="166" t="s">
        <v>1533</v>
      </c>
      <c r="M35" s="166" t="s">
        <v>1533</v>
      </c>
    </row>
    <row r="36" spans="2:13" x14ac:dyDescent="0.2">
      <c r="B36" s="165" t="s">
        <v>1618</v>
      </c>
      <c r="C36" s="165" t="s">
        <v>1621</v>
      </c>
      <c r="D36" s="166"/>
      <c r="E36" s="166">
        <v>40</v>
      </c>
      <c r="F36" s="166">
        <v>1.5</v>
      </c>
      <c r="G36" s="190"/>
      <c r="H36" s="166"/>
      <c r="I36" s="166"/>
      <c r="J36" s="166"/>
      <c r="K36" s="166"/>
      <c r="L36" s="166" t="s">
        <v>1533</v>
      </c>
      <c r="M36" s="166" t="s">
        <v>1533</v>
      </c>
    </row>
    <row r="37" spans="2:13" x14ac:dyDescent="0.2">
      <c r="B37" s="165" t="s">
        <v>1610</v>
      </c>
      <c r="C37" s="165" t="s">
        <v>1621</v>
      </c>
      <c r="D37" s="166"/>
      <c r="E37" s="166">
        <v>20</v>
      </c>
      <c r="F37" s="166"/>
      <c r="G37" s="190"/>
      <c r="H37" s="166"/>
      <c r="I37" s="166"/>
      <c r="J37" s="166"/>
      <c r="K37" s="166"/>
      <c r="L37" s="166" t="s">
        <v>1533</v>
      </c>
      <c r="M37" s="166" t="s">
        <v>1533</v>
      </c>
    </row>
    <row r="38" spans="2:13" x14ac:dyDescent="0.2">
      <c r="B38" s="165" t="s">
        <v>1639</v>
      </c>
      <c r="C38" s="165" t="s">
        <v>1621</v>
      </c>
      <c r="D38" s="166"/>
      <c r="E38" s="166">
        <v>5</v>
      </c>
      <c r="F38" s="166"/>
      <c r="G38" s="190"/>
      <c r="H38" s="166"/>
      <c r="I38" s="166"/>
      <c r="J38" s="166"/>
      <c r="K38" s="166"/>
      <c r="L38" s="166" t="s">
        <v>1533</v>
      </c>
      <c r="M38" s="166" t="s">
        <v>1533</v>
      </c>
    </row>
    <row r="39" spans="2:13" x14ac:dyDescent="0.2">
      <c r="B39" s="165" t="s">
        <v>1619</v>
      </c>
      <c r="C39" s="165" t="s">
        <v>1622</v>
      </c>
      <c r="D39" s="166"/>
      <c r="E39" s="166">
        <v>10</v>
      </c>
      <c r="F39" s="166"/>
      <c r="G39" s="190"/>
      <c r="H39" s="166"/>
      <c r="I39" s="166"/>
      <c r="J39" s="166"/>
      <c r="K39" s="166"/>
      <c r="L39" s="1219" t="s">
        <v>1630</v>
      </c>
      <c r="M39" s="1220"/>
    </row>
    <row r="40" spans="2:13" x14ac:dyDescent="0.2">
      <c r="B40" s="165" t="s">
        <v>1557</v>
      </c>
      <c r="C40" s="165" t="s">
        <v>1622</v>
      </c>
      <c r="D40" s="166"/>
      <c r="E40" s="166">
        <v>15</v>
      </c>
      <c r="F40" s="166"/>
      <c r="G40" s="190"/>
      <c r="H40" s="166"/>
      <c r="I40" s="166"/>
      <c r="J40" s="166"/>
      <c r="K40" s="166"/>
      <c r="L40" s="1219"/>
      <c r="M40" s="1220"/>
    </row>
    <row r="41" spans="2:13" x14ac:dyDescent="0.2">
      <c r="B41" s="165" t="s">
        <v>1620</v>
      </c>
      <c r="C41" s="165" t="s">
        <v>1622</v>
      </c>
      <c r="D41" s="166"/>
      <c r="E41" s="166">
        <v>15</v>
      </c>
      <c r="F41" s="166"/>
      <c r="G41" s="190"/>
      <c r="H41" s="166"/>
      <c r="I41" s="166"/>
      <c r="J41" s="166"/>
      <c r="K41" s="166"/>
      <c r="L41" s="1221"/>
      <c r="M41" s="1222"/>
    </row>
    <row r="42" spans="2:13" x14ac:dyDescent="0.2">
      <c r="B42" s="165" t="s">
        <v>287</v>
      </c>
      <c r="C42" s="165" t="s">
        <v>1622</v>
      </c>
      <c r="D42" s="166"/>
      <c r="E42" s="166">
        <v>4</v>
      </c>
      <c r="F42" s="166"/>
      <c r="G42" s="190"/>
      <c r="H42" s="166"/>
      <c r="I42" s="166"/>
      <c r="J42" s="166"/>
      <c r="K42" s="166"/>
      <c r="L42" s="166" t="s">
        <v>1534</v>
      </c>
      <c r="M42" s="166" t="s">
        <v>1534</v>
      </c>
    </row>
    <row r="43" spans="2:13" x14ac:dyDescent="0.2">
      <c r="B43" s="167" t="s">
        <v>1506</v>
      </c>
      <c r="C43" s="165" t="s">
        <v>1622</v>
      </c>
      <c r="D43" s="166"/>
      <c r="E43" s="166">
        <v>2</v>
      </c>
      <c r="F43" s="166"/>
      <c r="G43" s="190"/>
      <c r="H43" s="166"/>
      <c r="I43" s="166"/>
      <c r="J43" s="166"/>
      <c r="K43" s="166"/>
      <c r="L43" s="166" t="s">
        <v>1534</v>
      </c>
      <c r="M43" s="166" t="s">
        <v>1534</v>
      </c>
    </row>
    <row r="44" spans="2:13" x14ac:dyDescent="0.2">
      <c r="B44" s="167" t="s">
        <v>1111</v>
      </c>
      <c r="C44" s="165" t="s">
        <v>1509</v>
      </c>
      <c r="D44" s="166"/>
      <c r="E44" s="166">
        <v>2</v>
      </c>
      <c r="F44" s="166"/>
      <c r="G44" s="190"/>
      <c r="H44" s="166"/>
      <c r="I44" s="166"/>
      <c r="J44" s="166"/>
      <c r="K44" s="166"/>
      <c r="L44" s="166" t="s">
        <v>1534</v>
      </c>
      <c r="M44" s="166" t="s">
        <v>1534</v>
      </c>
    </row>
    <row r="45" spans="2:13" x14ac:dyDescent="0.2">
      <c r="B45" s="167" t="s">
        <v>1507</v>
      </c>
      <c r="C45" s="165" t="s">
        <v>1509</v>
      </c>
      <c r="D45" s="166"/>
      <c r="E45" s="166">
        <v>3</v>
      </c>
      <c r="F45" s="166">
        <v>2</v>
      </c>
      <c r="G45" s="190"/>
      <c r="H45" s="166"/>
      <c r="I45" s="166"/>
      <c r="J45" s="166"/>
      <c r="K45" s="166"/>
      <c r="L45" s="166" t="s">
        <v>1534</v>
      </c>
      <c r="M45" s="166" t="s">
        <v>1534</v>
      </c>
    </row>
    <row r="46" spans="2:13" x14ac:dyDescent="0.2">
      <c r="B46" s="167" t="s">
        <v>1613</v>
      </c>
      <c r="C46" s="165" t="s">
        <v>1623</v>
      </c>
      <c r="D46" s="166"/>
      <c r="E46" s="166">
        <v>20</v>
      </c>
      <c r="F46" s="166"/>
      <c r="G46" s="190"/>
      <c r="H46" s="166"/>
      <c r="I46" s="166"/>
      <c r="J46" s="166"/>
      <c r="K46" s="166"/>
      <c r="L46" s="166" t="s">
        <v>1534</v>
      </c>
      <c r="M46" s="166" t="s">
        <v>1534</v>
      </c>
    </row>
    <row r="47" spans="2:13" x14ac:dyDescent="0.2">
      <c r="B47" s="1202"/>
      <c r="C47" s="1203"/>
      <c r="D47" s="181" t="s">
        <v>337</v>
      </c>
      <c r="E47" s="291">
        <f>SUM(E35:E46)</f>
        <v>141</v>
      </c>
      <c r="F47" s="181">
        <f>SUM(F35:F46)</f>
        <v>3.5</v>
      </c>
      <c r="G47" s="191">
        <v>9</v>
      </c>
      <c r="H47" s="181">
        <v>0</v>
      </c>
      <c r="I47" s="181">
        <v>0</v>
      </c>
      <c r="J47" s="181">
        <v>2</v>
      </c>
      <c r="K47" s="181">
        <v>0</v>
      </c>
      <c r="L47" s="1202"/>
      <c r="M47" s="1203"/>
    </row>
    <row r="48" spans="2:13" x14ac:dyDescent="0.2">
      <c r="B48" s="168" t="s">
        <v>1499</v>
      </c>
      <c r="C48" s="168" t="s">
        <v>1625</v>
      </c>
      <c r="D48" s="169"/>
      <c r="E48" s="169">
        <v>5</v>
      </c>
      <c r="F48" s="169"/>
      <c r="G48" s="192"/>
      <c r="H48" s="169"/>
      <c r="I48" s="169"/>
      <c r="J48" s="169"/>
      <c r="K48" s="169"/>
      <c r="L48" s="169" t="s">
        <v>1534</v>
      </c>
      <c r="M48" s="169" t="s">
        <v>1534</v>
      </c>
    </row>
    <row r="49" spans="2:13" x14ac:dyDescent="0.2">
      <c r="B49" s="168" t="s">
        <v>1633</v>
      </c>
      <c r="C49" s="168" t="s">
        <v>1625</v>
      </c>
      <c r="D49" s="169"/>
      <c r="E49" s="169">
        <v>5</v>
      </c>
      <c r="F49" s="169">
        <v>1.5</v>
      </c>
      <c r="G49" s="192"/>
      <c r="H49" s="169"/>
      <c r="I49" s="169"/>
      <c r="J49" s="169"/>
      <c r="K49" s="169"/>
      <c r="L49" s="169" t="s">
        <v>1534</v>
      </c>
      <c r="M49" s="169" t="s">
        <v>1534</v>
      </c>
    </row>
    <row r="50" spans="2:13" x14ac:dyDescent="0.2">
      <c r="B50" s="168" t="s">
        <v>1632</v>
      </c>
      <c r="C50" s="168" t="s">
        <v>1625</v>
      </c>
      <c r="D50" s="169"/>
      <c r="E50" s="169">
        <v>5</v>
      </c>
      <c r="F50" s="169"/>
      <c r="G50" s="192"/>
      <c r="H50" s="169"/>
      <c r="I50" s="169"/>
      <c r="J50" s="169"/>
      <c r="K50" s="169"/>
      <c r="L50" s="169" t="s">
        <v>1534</v>
      </c>
      <c r="M50" s="169" t="s">
        <v>1534</v>
      </c>
    </row>
    <row r="51" spans="2:13" x14ac:dyDescent="0.2">
      <c r="B51" s="168" t="s">
        <v>1634</v>
      </c>
      <c r="C51" s="168" t="s">
        <v>1626</v>
      </c>
      <c r="D51" s="169"/>
      <c r="E51" s="169">
        <v>3</v>
      </c>
      <c r="F51" s="169"/>
      <c r="G51" s="192"/>
      <c r="H51" s="169"/>
      <c r="I51" s="169"/>
      <c r="J51" s="169"/>
      <c r="K51" s="169"/>
      <c r="L51" s="169" t="s">
        <v>1534</v>
      </c>
      <c r="M51" s="169" t="s">
        <v>1534</v>
      </c>
    </row>
    <row r="52" spans="2:13" x14ac:dyDescent="0.2">
      <c r="B52" s="168" t="s">
        <v>1513</v>
      </c>
      <c r="C52" s="168" t="s">
        <v>1635</v>
      </c>
      <c r="D52" s="169"/>
      <c r="E52" s="169">
        <v>2</v>
      </c>
      <c r="F52" s="169"/>
      <c r="G52" s="192"/>
      <c r="H52" s="169"/>
      <c r="I52" s="169"/>
      <c r="J52" s="169"/>
      <c r="K52" s="169"/>
      <c r="L52" s="169" t="s">
        <v>1534</v>
      </c>
      <c r="M52" s="169" t="s">
        <v>1534</v>
      </c>
    </row>
    <row r="53" spans="2:13" x14ac:dyDescent="0.2">
      <c r="B53" s="168" t="s">
        <v>1624</v>
      </c>
      <c r="C53" s="168" t="s">
        <v>1635</v>
      </c>
      <c r="D53" s="169"/>
      <c r="E53" s="169">
        <v>1</v>
      </c>
      <c r="F53" s="169"/>
      <c r="G53" s="192"/>
      <c r="H53" s="169"/>
      <c r="I53" s="169"/>
      <c r="J53" s="169"/>
      <c r="K53" s="169"/>
      <c r="L53" s="169" t="s">
        <v>1534</v>
      </c>
      <c r="M53" s="169" t="s">
        <v>1534</v>
      </c>
    </row>
    <row r="54" spans="2:13" x14ac:dyDescent="0.2">
      <c r="B54" s="168" t="s">
        <v>1507</v>
      </c>
      <c r="C54" s="168" t="s">
        <v>1635</v>
      </c>
      <c r="D54" s="169"/>
      <c r="E54" s="169">
        <v>3</v>
      </c>
      <c r="F54" s="169">
        <v>2</v>
      </c>
      <c r="G54" s="192"/>
      <c r="H54" s="169"/>
      <c r="I54" s="169"/>
      <c r="J54" s="169"/>
      <c r="K54" s="169"/>
      <c r="L54" s="169" t="s">
        <v>1534</v>
      </c>
      <c r="M54" s="169" t="s">
        <v>1534</v>
      </c>
    </row>
    <row r="55" spans="2:13" x14ac:dyDescent="0.2">
      <c r="B55" s="170" t="s">
        <v>1613</v>
      </c>
      <c r="C55" s="168" t="s">
        <v>1636</v>
      </c>
      <c r="D55" s="169"/>
      <c r="E55" s="169">
        <v>20</v>
      </c>
      <c r="F55" s="169"/>
      <c r="G55" s="192"/>
      <c r="H55" s="169"/>
      <c r="I55" s="169"/>
      <c r="J55" s="169"/>
      <c r="K55" s="169"/>
      <c r="L55" s="169" t="s">
        <v>1534</v>
      </c>
      <c r="M55" s="169" t="s">
        <v>1534</v>
      </c>
    </row>
    <row r="56" spans="2:13" x14ac:dyDescent="0.2">
      <c r="B56" s="1206"/>
      <c r="C56" s="1207"/>
      <c r="D56" s="182" t="s">
        <v>337</v>
      </c>
      <c r="E56" s="292">
        <f>SUM(E48:E55)</f>
        <v>44</v>
      </c>
      <c r="F56" s="182">
        <f>SUM(F48:F54)</f>
        <v>3.5</v>
      </c>
      <c r="G56" s="193">
        <v>5</v>
      </c>
      <c r="H56" s="182">
        <v>0</v>
      </c>
      <c r="I56" s="182">
        <v>0</v>
      </c>
      <c r="J56" s="182">
        <v>2</v>
      </c>
      <c r="K56" s="171">
        <v>0</v>
      </c>
      <c r="L56" s="1206"/>
      <c r="M56" s="1207"/>
    </row>
    <row r="57" spans="2:13" x14ac:dyDescent="0.2">
      <c r="B57" s="172" t="s">
        <v>1499</v>
      </c>
      <c r="C57" s="172" t="s">
        <v>1629</v>
      </c>
      <c r="D57" s="173"/>
      <c r="E57" s="173">
        <v>5</v>
      </c>
      <c r="F57" s="173"/>
      <c r="G57" s="194"/>
      <c r="H57" s="173"/>
      <c r="I57" s="173"/>
      <c r="J57" s="173"/>
      <c r="K57" s="173"/>
      <c r="L57" s="173" t="s">
        <v>1534</v>
      </c>
      <c r="M57" s="173" t="s">
        <v>1534</v>
      </c>
    </row>
    <row r="58" spans="2:13" x14ac:dyDescent="0.2">
      <c r="B58" s="172" t="s">
        <v>1500</v>
      </c>
      <c r="C58" s="172" t="s">
        <v>1629</v>
      </c>
      <c r="D58" s="173"/>
      <c r="E58" s="173">
        <v>5</v>
      </c>
      <c r="F58" s="173">
        <v>1.5</v>
      </c>
      <c r="G58" s="194"/>
      <c r="H58" s="173"/>
      <c r="I58" s="173"/>
      <c r="J58" s="173"/>
      <c r="K58" s="173"/>
      <c r="L58" s="173" t="s">
        <v>1534</v>
      </c>
      <c r="M58" s="173" t="s">
        <v>1534</v>
      </c>
    </row>
    <row r="59" spans="2:13" x14ac:dyDescent="0.2">
      <c r="B59" s="172" t="s">
        <v>1510</v>
      </c>
      <c r="C59" s="172" t="s">
        <v>1629</v>
      </c>
      <c r="D59" s="173"/>
      <c r="E59" s="173">
        <v>40</v>
      </c>
      <c r="F59" s="173"/>
      <c r="G59" s="194"/>
      <c r="H59" s="173"/>
      <c r="I59" s="173"/>
      <c r="J59" s="173"/>
      <c r="K59" s="173"/>
      <c r="L59" s="173" t="s">
        <v>1534</v>
      </c>
      <c r="M59" s="173" t="s">
        <v>1534</v>
      </c>
    </row>
    <row r="60" spans="2:13" x14ac:dyDescent="0.2">
      <c r="B60" s="172" t="s">
        <v>1511</v>
      </c>
      <c r="C60" s="172" t="s">
        <v>1629</v>
      </c>
      <c r="D60" s="173"/>
      <c r="E60" s="173">
        <v>40</v>
      </c>
      <c r="F60" s="173"/>
      <c r="G60" s="194"/>
      <c r="H60" s="173"/>
      <c r="I60" s="173"/>
      <c r="J60" s="173"/>
      <c r="K60" s="173"/>
      <c r="L60" s="173" t="s">
        <v>1534</v>
      </c>
      <c r="M60" s="173" t="s">
        <v>1534</v>
      </c>
    </row>
    <row r="61" spans="2:13" x14ac:dyDescent="0.2">
      <c r="B61" s="172" t="s">
        <v>1512</v>
      </c>
      <c r="C61" s="172" t="s">
        <v>1629</v>
      </c>
      <c r="D61" s="173"/>
      <c r="E61" s="173">
        <v>20</v>
      </c>
      <c r="F61" s="173"/>
      <c r="G61" s="194"/>
      <c r="H61" s="173"/>
      <c r="I61" s="173"/>
      <c r="J61" s="173"/>
      <c r="K61" s="173"/>
      <c r="L61" s="173" t="s">
        <v>1534</v>
      </c>
      <c r="M61" s="173" t="s">
        <v>1534</v>
      </c>
    </row>
    <row r="62" spans="2:13" x14ac:dyDescent="0.2">
      <c r="B62" s="172" t="s">
        <v>1627</v>
      </c>
      <c r="C62" s="172" t="s">
        <v>1514</v>
      </c>
      <c r="D62" s="173"/>
      <c r="E62" s="173">
        <v>5</v>
      </c>
      <c r="F62" s="173">
        <v>2</v>
      </c>
      <c r="G62" s="194"/>
      <c r="H62" s="173"/>
      <c r="I62" s="173"/>
      <c r="J62" s="173"/>
      <c r="K62" s="173"/>
      <c r="L62" s="173" t="s">
        <v>1534</v>
      </c>
      <c r="M62" s="173" t="s">
        <v>1534</v>
      </c>
    </row>
    <row r="63" spans="2:13" x14ac:dyDescent="0.2">
      <c r="B63" s="174" t="s">
        <v>1613</v>
      </c>
      <c r="C63" s="172" t="s">
        <v>1628</v>
      </c>
      <c r="D63" s="173"/>
      <c r="E63" s="173">
        <v>20</v>
      </c>
      <c r="F63" s="173"/>
      <c r="G63" s="194"/>
      <c r="H63" s="173"/>
      <c r="I63" s="173"/>
      <c r="J63" s="173"/>
      <c r="K63" s="173"/>
      <c r="L63" s="173" t="s">
        <v>1534</v>
      </c>
      <c r="M63" s="173" t="s">
        <v>1534</v>
      </c>
    </row>
    <row r="64" spans="2:13" x14ac:dyDescent="0.2">
      <c r="B64" s="1204"/>
      <c r="C64" s="1205"/>
      <c r="D64" s="183" t="s">
        <v>337</v>
      </c>
      <c r="E64" s="293">
        <f>SUM(E57:E63)</f>
        <v>135</v>
      </c>
      <c r="F64" s="183">
        <f>SUM(F57:F62)</f>
        <v>3.5</v>
      </c>
      <c r="G64" s="195">
        <v>5</v>
      </c>
      <c r="H64" s="183">
        <v>0</v>
      </c>
      <c r="I64" s="183">
        <v>0</v>
      </c>
      <c r="J64" s="183">
        <v>2</v>
      </c>
      <c r="K64" s="175">
        <v>0</v>
      </c>
      <c r="L64" s="1204"/>
      <c r="M64" s="1205"/>
    </row>
    <row r="65" spans="2:14" x14ac:dyDescent="0.2">
      <c r="B65" s="162" t="s">
        <v>2165</v>
      </c>
      <c r="C65" s="162" t="s">
        <v>1515</v>
      </c>
      <c r="D65" s="163"/>
      <c r="E65" s="163">
        <v>8</v>
      </c>
      <c r="F65" s="163">
        <v>2</v>
      </c>
      <c r="G65" s="163"/>
      <c r="H65" s="163"/>
      <c r="I65" s="163"/>
      <c r="J65" s="163"/>
      <c r="K65" s="163"/>
      <c r="L65" s="163" t="s">
        <v>1534</v>
      </c>
      <c r="M65" s="163" t="s">
        <v>1534</v>
      </c>
      <c r="N65" s="156" t="s">
        <v>1532</v>
      </c>
    </row>
    <row r="66" spans="2:14" x14ac:dyDescent="0.2">
      <c r="B66" s="162" t="s">
        <v>2166</v>
      </c>
      <c r="C66" s="162" t="s">
        <v>1515</v>
      </c>
      <c r="D66" s="163"/>
      <c r="E66" s="163">
        <v>5</v>
      </c>
      <c r="F66" s="163"/>
      <c r="G66" s="163"/>
      <c r="H66" s="163"/>
      <c r="I66" s="163"/>
      <c r="J66" s="163"/>
      <c r="K66" s="163"/>
      <c r="L66" s="163" t="s">
        <v>1534</v>
      </c>
      <c r="M66" s="163" t="s">
        <v>1534</v>
      </c>
    </row>
    <row r="67" spans="2:14" x14ac:dyDescent="0.2">
      <c r="B67" s="162" t="s">
        <v>1914</v>
      </c>
      <c r="C67" s="162" t="s">
        <v>1515</v>
      </c>
      <c r="D67" s="163"/>
      <c r="E67" s="163">
        <f>SUM(E51:E54)</f>
        <v>9</v>
      </c>
      <c r="F67" s="163">
        <v>2</v>
      </c>
      <c r="G67" s="163"/>
      <c r="H67" s="163"/>
      <c r="I67" s="163"/>
      <c r="J67" s="163"/>
      <c r="K67" s="163"/>
      <c r="L67" s="1208" t="s">
        <v>2168</v>
      </c>
      <c r="M67" s="1209"/>
    </row>
    <row r="68" spans="2:14" x14ac:dyDescent="0.2">
      <c r="B68" s="162" t="s">
        <v>1915</v>
      </c>
      <c r="C68" s="162" t="s">
        <v>1515</v>
      </c>
      <c r="D68" s="163"/>
      <c r="E68" s="163">
        <f>E29+E30+E31+E32</f>
        <v>11</v>
      </c>
      <c r="F68" s="163">
        <v>2</v>
      </c>
      <c r="G68" s="163"/>
      <c r="H68" s="163"/>
      <c r="I68" s="163"/>
      <c r="J68" s="163"/>
      <c r="K68" s="163"/>
      <c r="L68" s="1210"/>
      <c r="M68" s="1211"/>
    </row>
    <row r="69" spans="2:14" x14ac:dyDescent="0.2">
      <c r="B69" s="162" t="s">
        <v>1916</v>
      </c>
      <c r="C69" s="162" t="s">
        <v>1515</v>
      </c>
      <c r="D69" s="163"/>
      <c r="E69" s="163">
        <f>E41+E42+E43+E44+E45</f>
        <v>26</v>
      </c>
      <c r="F69" s="163">
        <v>2</v>
      </c>
      <c r="G69" s="163"/>
      <c r="H69" s="163"/>
      <c r="I69" s="163"/>
      <c r="J69" s="163"/>
      <c r="K69" s="163"/>
      <c r="L69" s="1212"/>
      <c r="M69" s="1213"/>
    </row>
    <row r="70" spans="2:14" x14ac:dyDescent="0.2">
      <c r="B70" s="162" t="s">
        <v>2167</v>
      </c>
      <c r="C70" s="162" t="s">
        <v>1515</v>
      </c>
      <c r="D70" s="163"/>
      <c r="E70" s="163">
        <v>30</v>
      </c>
      <c r="F70" s="163"/>
      <c r="G70" s="163"/>
      <c r="H70" s="163"/>
      <c r="I70" s="163"/>
      <c r="J70" s="163"/>
      <c r="K70" s="163"/>
      <c r="L70" s="163" t="s">
        <v>1534</v>
      </c>
      <c r="M70" s="163" t="s">
        <v>1534</v>
      </c>
    </row>
    <row r="71" spans="2:14" x14ac:dyDescent="0.2">
      <c r="B71" s="162" t="s">
        <v>1664</v>
      </c>
      <c r="C71" s="162" t="s">
        <v>1515</v>
      </c>
      <c r="D71" s="163"/>
      <c r="E71" s="163">
        <v>3</v>
      </c>
      <c r="F71" s="163"/>
      <c r="G71" s="163"/>
      <c r="H71" s="163"/>
      <c r="I71" s="163"/>
      <c r="J71" s="163"/>
      <c r="K71" s="163"/>
      <c r="L71" s="163" t="s">
        <v>1534</v>
      </c>
      <c r="M71" s="163" t="s">
        <v>1534</v>
      </c>
    </row>
    <row r="72" spans="2:14" x14ac:dyDescent="0.2">
      <c r="B72" s="162" t="s">
        <v>2164</v>
      </c>
      <c r="C72" s="162" t="s">
        <v>1515</v>
      </c>
      <c r="D72" s="163"/>
      <c r="E72" s="163">
        <f>E62+10</f>
        <v>15</v>
      </c>
      <c r="F72" s="163">
        <v>2</v>
      </c>
      <c r="G72" s="163"/>
      <c r="H72" s="163"/>
      <c r="I72" s="163"/>
      <c r="J72" s="163"/>
      <c r="K72" s="163"/>
      <c r="L72" s="163" t="s">
        <v>1534</v>
      </c>
      <c r="M72" s="163" t="s">
        <v>1534</v>
      </c>
    </row>
    <row r="73" spans="2:14" x14ac:dyDescent="0.2">
      <c r="B73" s="162" t="s">
        <v>1665</v>
      </c>
      <c r="C73" s="162" t="s">
        <v>1515</v>
      </c>
      <c r="D73" s="163"/>
      <c r="E73" s="163">
        <v>5</v>
      </c>
      <c r="F73" s="163"/>
      <c r="G73" s="189"/>
      <c r="H73" s="163"/>
      <c r="I73" s="163"/>
      <c r="J73" s="163"/>
      <c r="K73" s="163"/>
      <c r="L73" s="163" t="s">
        <v>1534</v>
      </c>
      <c r="M73" s="163" t="s">
        <v>1534</v>
      </c>
    </row>
    <row r="74" spans="2:14" s="156" customFormat="1" x14ac:dyDescent="0.2">
      <c r="B74" s="162" t="s">
        <v>1666</v>
      </c>
      <c r="C74" s="162" t="s">
        <v>1515</v>
      </c>
      <c r="D74" s="163"/>
      <c r="E74" s="163">
        <v>5</v>
      </c>
      <c r="F74" s="163"/>
      <c r="G74" s="163"/>
      <c r="H74" s="163"/>
      <c r="I74" s="163"/>
      <c r="J74" s="163"/>
      <c r="K74" s="163"/>
      <c r="L74" s="163" t="s">
        <v>1534</v>
      </c>
      <c r="M74" s="163" t="s">
        <v>1534</v>
      </c>
    </row>
    <row r="75" spans="2:14" s="156" customFormat="1" x14ac:dyDescent="0.2">
      <c r="B75" s="162" t="s">
        <v>1516</v>
      </c>
      <c r="C75" s="162" t="s">
        <v>1515</v>
      </c>
      <c r="D75" s="163"/>
      <c r="E75" s="163">
        <v>5</v>
      </c>
      <c r="F75" s="163">
        <v>2</v>
      </c>
      <c r="G75" s="189"/>
      <c r="H75" s="163"/>
      <c r="I75" s="163"/>
      <c r="J75" s="163"/>
      <c r="K75" s="163"/>
      <c r="L75" s="163" t="s">
        <v>1534</v>
      </c>
      <c r="M75" s="163" t="s">
        <v>1534</v>
      </c>
    </row>
    <row r="76" spans="2:14" s="156" customFormat="1" x14ac:dyDescent="0.2">
      <c r="B76" s="162" t="s">
        <v>1667</v>
      </c>
      <c r="C76" s="162" t="s">
        <v>1515</v>
      </c>
      <c r="D76" s="162"/>
      <c r="E76" s="163">
        <v>10</v>
      </c>
      <c r="F76" s="163"/>
      <c r="G76" s="189"/>
      <c r="H76" s="162"/>
      <c r="I76" s="162"/>
      <c r="J76" s="162"/>
      <c r="K76" s="162"/>
      <c r="L76" s="163" t="s">
        <v>1534</v>
      </c>
      <c r="M76" s="163" t="s">
        <v>1534</v>
      </c>
    </row>
    <row r="77" spans="2:14" s="156" customFormat="1" x14ac:dyDescent="0.2">
      <c r="B77" s="1189" t="s">
        <v>337</v>
      </c>
      <c r="C77" s="1190"/>
      <c r="D77" s="1191"/>
      <c r="E77" s="184">
        <f>E65+E66+E69+E70+E71+E72+E73+E74+E75</f>
        <v>102</v>
      </c>
      <c r="F77" s="184">
        <f>SUM(F65:F76)</f>
        <v>12</v>
      </c>
      <c r="G77" s="184">
        <v>5</v>
      </c>
      <c r="H77" s="184">
        <v>0</v>
      </c>
      <c r="I77" s="184">
        <v>1</v>
      </c>
      <c r="J77" s="184">
        <v>6</v>
      </c>
      <c r="K77" s="184">
        <v>0</v>
      </c>
      <c r="L77" s="302"/>
      <c r="M77" s="303"/>
    </row>
    <row r="78" spans="2:14" s="156" customFormat="1" x14ac:dyDescent="0.2">
      <c r="B78" s="1188" t="s">
        <v>1348</v>
      </c>
      <c r="C78" s="1188"/>
      <c r="D78" s="1188"/>
      <c r="E78" s="614">
        <f>E65+E66+E69+E70+E73+E74+E75</f>
        <v>84</v>
      </c>
      <c r="F78" s="614">
        <f>SUM(F65:F76)</f>
        <v>12</v>
      </c>
      <c r="G78" s="614">
        <v>5</v>
      </c>
      <c r="H78" s="614">
        <v>0</v>
      </c>
      <c r="I78" s="614">
        <v>1</v>
      </c>
      <c r="J78" s="614">
        <v>6</v>
      </c>
      <c r="K78" s="614">
        <v>0</v>
      </c>
    </row>
    <row r="79" spans="2:14" s="156" customFormat="1" x14ac:dyDescent="0.2">
      <c r="B79" s="1192" t="s">
        <v>337</v>
      </c>
      <c r="C79" s="1193"/>
      <c r="D79" s="1194"/>
      <c r="E79" s="176">
        <f t="shared" ref="E79:K79" si="0">E77+E64+E56+E47+E34+E21</f>
        <v>655</v>
      </c>
      <c r="F79" s="176">
        <f t="shared" si="0"/>
        <v>29</v>
      </c>
      <c r="G79" s="176">
        <f t="shared" si="0"/>
        <v>37</v>
      </c>
      <c r="H79" s="176">
        <f t="shared" si="0"/>
        <v>1</v>
      </c>
      <c r="I79" s="176">
        <f t="shared" si="0"/>
        <v>1</v>
      </c>
      <c r="J79" s="176">
        <f t="shared" si="0"/>
        <v>15</v>
      </c>
      <c r="K79" s="176">
        <f t="shared" si="0"/>
        <v>1</v>
      </c>
    </row>
    <row r="80" spans="2:14" s="156" customFormat="1" x14ac:dyDescent="0.2">
      <c r="D80" s="159"/>
      <c r="E80" s="159"/>
      <c r="F80" s="159"/>
      <c r="G80" s="159"/>
      <c r="H80" s="159"/>
      <c r="I80" s="159"/>
      <c r="J80" s="159"/>
      <c r="K80" s="159"/>
    </row>
    <row r="81" spans="2:14" s="156" customFormat="1" x14ac:dyDescent="0.2">
      <c r="B81" s="613" t="s">
        <v>2169</v>
      </c>
      <c r="C81" s="613">
        <v>480</v>
      </c>
      <c r="D81" s="159"/>
      <c r="E81" s="1184" t="s">
        <v>2229</v>
      </c>
      <c r="F81" s="1185"/>
      <c r="G81" s="159"/>
      <c r="H81" s="159"/>
      <c r="I81" s="159"/>
      <c r="J81" s="159"/>
      <c r="K81" s="159"/>
      <c r="L81" s="1181" t="s">
        <v>2338</v>
      </c>
      <c r="M81" s="1181"/>
    </row>
    <row r="82" spans="2:14" s="156" customFormat="1" x14ac:dyDescent="0.2">
      <c r="B82" s="613" t="s">
        <v>2170</v>
      </c>
      <c r="C82" s="613">
        <f>E77</f>
        <v>102</v>
      </c>
      <c r="D82" s="159"/>
      <c r="E82" s="1184"/>
      <c r="F82" s="1185"/>
      <c r="G82" s="159"/>
      <c r="H82" s="159"/>
      <c r="I82" s="159"/>
      <c r="J82" s="159"/>
      <c r="K82" s="159"/>
      <c r="L82" s="1182"/>
      <c r="M82" s="1183"/>
    </row>
    <row r="83" spans="2:14" s="156" customFormat="1" x14ac:dyDescent="0.2">
      <c r="B83" s="613" t="s">
        <v>2171</v>
      </c>
      <c r="C83" s="613">
        <f>C81/C82</f>
        <v>4.7058823529411766</v>
      </c>
      <c r="D83" s="159"/>
      <c r="E83" s="161" t="s">
        <v>2183</v>
      </c>
      <c r="F83" s="161">
        <v>188.23529411764699</v>
      </c>
      <c r="G83" s="159"/>
      <c r="H83" s="159"/>
      <c r="I83" s="159"/>
      <c r="J83" s="159"/>
      <c r="K83" s="159"/>
      <c r="L83" s="163" t="s">
        <v>2183</v>
      </c>
      <c r="M83" s="163">
        <v>228.57142857142901</v>
      </c>
    </row>
    <row r="84" spans="2:14" s="156" customFormat="1" x14ac:dyDescent="0.2">
      <c r="B84" s="613" t="s">
        <v>2206</v>
      </c>
      <c r="C84" s="613">
        <f>C83*40</f>
        <v>188.23529411764707</v>
      </c>
      <c r="D84" s="159"/>
      <c r="E84" s="161" t="s">
        <v>2184</v>
      </c>
      <c r="F84" s="161">
        <v>235.29411764705901</v>
      </c>
      <c r="G84" s="159"/>
      <c r="H84" s="159"/>
      <c r="I84" s="159"/>
      <c r="J84" s="159"/>
      <c r="K84" s="159"/>
      <c r="L84" s="163" t="s">
        <v>2184</v>
      </c>
      <c r="M84" s="163">
        <v>285.71428571428601</v>
      </c>
    </row>
    <row r="85" spans="2:14" s="156" customFormat="1" x14ac:dyDescent="0.2">
      <c r="D85" s="159"/>
      <c r="E85" s="1184"/>
      <c r="F85" s="1185"/>
      <c r="G85" s="159"/>
      <c r="H85" s="159"/>
      <c r="I85" s="159"/>
      <c r="J85" s="159"/>
      <c r="K85" s="159"/>
      <c r="L85" s="1182"/>
      <c r="M85" s="1183"/>
    </row>
    <row r="86" spans="2:14" s="156" customFormat="1" x14ac:dyDescent="0.2">
      <c r="B86" s="613" t="s">
        <v>2169</v>
      </c>
      <c r="C86" s="613">
        <v>480</v>
      </c>
      <c r="D86" s="159"/>
      <c r="E86" s="161" t="s">
        <v>2209</v>
      </c>
      <c r="F86" s="161">
        <f>F83*4+F84*3</f>
        <v>1458.8235294117649</v>
      </c>
      <c r="G86" s="159"/>
      <c r="H86" s="159"/>
      <c r="I86" s="159"/>
      <c r="J86" s="159"/>
      <c r="K86" s="159"/>
      <c r="L86" s="163" t="s">
        <v>2209</v>
      </c>
      <c r="M86" s="163">
        <f>M83*4+M84*3</f>
        <v>1771.4285714285741</v>
      </c>
    </row>
    <row r="87" spans="2:14" s="156" customFormat="1" x14ac:dyDescent="0.2">
      <c r="B87" s="613" t="s">
        <v>2180</v>
      </c>
      <c r="C87" s="613">
        <f>E78</f>
        <v>84</v>
      </c>
      <c r="D87" s="159"/>
      <c r="E87" s="161" t="s">
        <v>2183</v>
      </c>
      <c r="F87" s="161">
        <f>F83*4</f>
        <v>752.94117647058795</v>
      </c>
      <c r="G87" s="159"/>
      <c r="H87" s="159"/>
      <c r="I87" s="159"/>
      <c r="J87" s="159"/>
      <c r="K87" s="159"/>
      <c r="L87" s="163" t="s">
        <v>2183</v>
      </c>
      <c r="M87" s="163">
        <f>M83*4</f>
        <v>914.28571428571604</v>
      </c>
    </row>
    <row r="88" spans="2:14" s="156" customFormat="1" x14ac:dyDescent="0.2">
      <c r="B88" s="613" t="s">
        <v>2171</v>
      </c>
      <c r="C88" s="613">
        <f>C86/C87</f>
        <v>5.7142857142857144</v>
      </c>
      <c r="D88" s="159"/>
      <c r="E88" s="161" t="s">
        <v>2184</v>
      </c>
      <c r="F88" s="161">
        <f>F84*3</f>
        <v>705.88235294117703</v>
      </c>
      <c r="I88" s="159"/>
      <c r="J88" s="159"/>
      <c r="K88" s="159"/>
      <c r="L88" s="163" t="s">
        <v>2184</v>
      </c>
      <c r="M88" s="163">
        <f>M84*3</f>
        <v>857.14285714285802</v>
      </c>
    </row>
    <row r="89" spans="2:14" s="156" customFormat="1" x14ac:dyDescent="0.2">
      <c r="B89" s="613" t="s">
        <v>2206</v>
      </c>
      <c r="C89" s="613">
        <f>C88*40</f>
        <v>228.57142857142858</v>
      </c>
      <c r="D89" s="159"/>
      <c r="E89" s="1186"/>
      <c r="F89" s="1187"/>
      <c r="I89" s="159"/>
      <c r="J89" s="159"/>
      <c r="K89" s="159"/>
      <c r="L89" s="1182"/>
      <c r="M89" s="1183"/>
    </row>
    <row r="90" spans="2:14" s="156" customFormat="1" x14ac:dyDescent="0.2">
      <c r="D90" s="159"/>
      <c r="E90" s="161" t="s">
        <v>2210</v>
      </c>
      <c r="F90" s="161">
        <f>F86*4.34524</f>
        <v>6338.938352941178</v>
      </c>
      <c r="G90" s="159"/>
      <c r="H90" s="159"/>
      <c r="I90" s="159"/>
      <c r="J90" s="159"/>
      <c r="K90" s="159"/>
      <c r="L90" s="163" t="s">
        <v>2210</v>
      </c>
      <c r="M90" s="163">
        <f>M86*4.34524</f>
        <v>7697.2822857142983</v>
      </c>
      <c r="N90" s="159"/>
    </row>
    <row r="91" spans="2:14" s="156" customFormat="1" x14ac:dyDescent="0.2">
      <c r="B91" s="613" t="s">
        <v>2172</v>
      </c>
      <c r="C91" s="613">
        <v>600</v>
      </c>
      <c r="D91" s="159"/>
      <c r="E91" s="161" t="s">
        <v>2183</v>
      </c>
      <c r="F91" s="161">
        <f>F87*4.34524</f>
        <v>3271.7101176470578</v>
      </c>
      <c r="G91" s="159"/>
      <c r="H91" s="159"/>
      <c r="I91" s="159"/>
      <c r="J91" s="159"/>
      <c r="K91" s="159"/>
      <c r="L91" s="163" t="s">
        <v>2183</v>
      </c>
      <c r="M91" s="163">
        <f>M87*4.34524</f>
        <v>3972.7908571428652</v>
      </c>
    </row>
    <row r="92" spans="2:14" s="156" customFormat="1" x14ac:dyDescent="0.2">
      <c r="B92" s="613" t="s">
        <v>2170</v>
      </c>
      <c r="C92" s="613">
        <f>E77</f>
        <v>102</v>
      </c>
      <c r="D92" s="159"/>
      <c r="E92" s="161" t="s">
        <v>2184</v>
      </c>
      <c r="F92" s="161">
        <f>F88*4.34524</f>
        <v>3067.2282352941202</v>
      </c>
      <c r="J92" s="159"/>
      <c r="K92" s="159"/>
      <c r="L92" s="163" t="s">
        <v>2184</v>
      </c>
      <c r="M92" s="163">
        <f>M88*4.34524</f>
        <v>3724.4914285714326</v>
      </c>
    </row>
    <row r="93" spans="2:14" s="156" customFormat="1" x14ac:dyDescent="0.2">
      <c r="B93" s="613" t="s">
        <v>2171</v>
      </c>
      <c r="C93" s="613">
        <f>C91/C92</f>
        <v>5.882352941176471</v>
      </c>
      <c r="D93" s="159"/>
      <c r="E93" s="1184"/>
      <c r="F93" s="1185"/>
      <c r="G93" s="159"/>
      <c r="H93" s="159"/>
      <c r="I93" s="159"/>
      <c r="J93" s="159"/>
      <c r="K93" s="159"/>
      <c r="L93" s="1182"/>
      <c r="M93" s="1183"/>
    </row>
    <row r="94" spans="2:14" s="156" customFormat="1" x14ac:dyDescent="0.2">
      <c r="B94" s="613" t="s">
        <v>2207</v>
      </c>
      <c r="C94" s="613">
        <f>C93*40</f>
        <v>235.29411764705884</v>
      </c>
      <c r="D94" s="159"/>
      <c r="E94" s="161" t="s">
        <v>276</v>
      </c>
      <c r="F94" s="161">
        <f>F90*12</f>
        <v>76067.260235294132</v>
      </c>
      <c r="G94" s="159"/>
      <c r="H94" s="159"/>
      <c r="I94" s="159"/>
      <c r="J94" s="159"/>
      <c r="K94" s="159"/>
      <c r="L94" s="163" t="s">
        <v>276</v>
      </c>
      <c r="M94" s="163">
        <f>M90*12</f>
        <v>92367.387428571586</v>
      </c>
    </row>
    <row r="95" spans="2:14" s="156" customFormat="1" x14ac:dyDescent="0.2">
      <c r="D95" s="159"/>
      <c r="E95" s="161" t="s">
        <v>2183</v>
      </c>
      <c r="F95" s="161">
        <f>F91*12</f>
        <v>39260.521411764697</v>
      </c>
      <c r="G95" s="159"/>
      <c r="H95" s="159"/>
      <c r="I95" s="159"/>
      <c r="J95" s="159"/>
      <c r="K95" s="159"/>
      <c r="L95" s="163" t="s">
        <v>2183</v>
      </c>
      <c r="M95" s="163">
        <f>M91*12</f>
        <v>47673.490285714382</v>
      </c>
    </row>
    <row r="96" spans="2:14" s="156" customFormat="1" x14ac:dyDescent="0.2">
      <c r="B96" s="613" t="s">
        <v>2179</v>
      </c>
      <c r="C96" s="613">
        <v>600</v>
      </c>
      <c r="D96" s="159"/>
      <c r="E96" s="161" t="s">
        <v>2184</v>
      </c>
      <c r="F96" s="161">
        <f>F92*12</f>
        <v>36806.738823529442</v>
      </c>
      <c r="G96" s="159"/>
      <c r="H96" s="159"/>
      <c r="I96" s="159"/>
      <c r="J96" s="159"/>
      <c r="K96" s="159"/>
      <c r="L96" s="163" t="s">
        <v>2184</v>
      </c>
      <c r="M96" s="163">
        <f>M92*12</f>
        <v>44693.897142857189</v>
      </c>
    </row>
    <row r="97" spans="2:11" s="156" customFormat="1" x14ac:dyDescent="0.2">
      <c r="B97" s="613" t="s">
        <v>2180</v>
      </c>
      <c r="C97" s="613">
        <f>E78</f>
        <v>84</v>
      </c>
      <c r="D97" s="159"/>
      <c r="G97" s="159"/>
      <c r="H97" s="159"/>
      <c r="I97" s="159"/>
      <c r="J97" s="159"/>
      <c r="K97" s="159"/>
    </row>
    <row r="98" spans="2:11" s="156" customFormat="1" x14ac:dyDescent="0.2">
      <c r="B98" s="613" t="s">
        <v>2171</v>
      </c>
      <c r="C98" s="613">
        <f>C96/C97</f>
        <v>7.1428571428571432</v>
      </c>
      <c r="D98" s="159"/>
      <c r="E98" s="159"/>
      <c r="F98" s="159"/>
      <c r="G98" s="159"/>
      <c r="H98" s="159"/>
      <c r="I98" s="159"/>
      <c r="J98" s="159"/>
      <c r="K98" s="159"/>
    </row>
    <row r="99" spans="2:11" s="156" customFormat="1" x14ac:dyDescent="0.2">
      <c r="B99" s="613" t="s">
        <v>2207</v>
      </c>
      <c r="C99" s="613">
        <f>C98*40</f>
        <v>285.71428571428572</v>
      </c>
      <c r="D99" s="159"/>
      <c r="E99" s="159"/>
      <c r="F99" s="159"/>
      <c r="G99" s="159"/>
      <c r="H99" s="159"/>
      <c r="I99" s="159"/>
      <c r="J99" s="159"/>
      <c r="K99" s="159"/>
    </row>
    <row r="100" spans="2:11" s="156" customFormat="1" x14ac:dyDescent="0.2">
      <c r="D100" s="159"/>
      <c r="E100" s="159"/>
      <c r="F100" s="159"/>
      <c r="G100" s="159"/>
      <c r="H100" s="159"/>
      <c r="I100" s="159"/>
      <c r="J100" s="159"/>
      <c r="K100" s="159"/>
    </row>
    <row r="101" spans="2:11" s="156" customFormat="1" x14ac:dyDescent="0.2">
      <c r="D101" s="159"/>
      <c r="E101" s="159"/>
      <c r="F101" s="159"/>
      <c r="G101" s="159"/>
      <c r="H101" s="159"/>
      <c r="I101" s="159"/>
      <c r="J101" s="159"/>
      <c r="K101" s="159"/>
    </row>
    <row r="102" spans="2:11" s="156" customFormat="1" x14ac:dyDescent="0.2">
      <c r="D102" s="159"/>
      <c r="E102" s="159"/>
      <c r="F102" s="159"/>
      <c r="G102" s="159"/>
      <c r="H102" s="159"/>
      <c r="I102" s="159"/>
      <c r="J102" s="159"/>
      <c r="K102" s="159"/>
    </row>
    <row r="103" spans="2:11" s="156" customFormat="1" x14ac:dyDescent="0.2">
      <c r="D103" s="159"/>
      <c r="E103" s="159"/>
      <c r="F103" s="159"/>
      <c r="G103" s="159"/>
      <c r="H103" s="159"/>
      <c r="I103" s="159"/>
      <c r="J103" s="159"/>
      <c r="K103" s="159"/>
    </row>
    <row r="104" spans="2:11" s="156" customFormat="1" x14ac:dyDescent="0.2">
      <c r="D104" s="159"/>
      <c r="E104" s="159"/>
      <c r="F104" s="159"/>
      <c r="G104" s="159"/>
      <c r="H104" s="159"/>
      <c r="I104" s="159"/>
      <c r="J104" s="159"/>
      <c r="K104" s="159"/>
    </row>
    <row r="105" spans="2:11" s="156" customFormat="1" x14ac:dyDescent="0.2">
      <c r="D105" s="159"/>
      <c r="E105" s="159"/>
      <c r="F105" s="159"/>
      <c r="G105" s="159"/>
      <c r="H105" s="159"/>
      <c r="I105" s="159"/>
      <c r="J105" s="159"/>
      <c r="K105" s="159"/>
    </row>
    <row r="106" spans="2:11" s="156" customFormat="1" x14ac:dyDescent="0.2">
      <c r="D106" s="159"/>
      <c r="E106" s="159"/>
      <c r="F106" s="159"/>
      <c r="G106" s="159"/>
      <c r="H106" s="159"/>
      <c r="I106" s="159"/>
      <c r="J106" s="159"/>
      <c r="K106" s="159"/>
    </row>
    <row r="107" spans="2:11" s="156" customFormat="1" x14ac:dyDescent="0.2">
      <c r="D107" s="159"/>
      <c r="E107" s="159"/>
      <c r="F107" s="159"/>
      <c r="G107" s="159"/>
      <c r="H107" s="159"/>
      <c r="I107" s="159"/>
      <c r="J107" s="159"/>
      <c r="K107" s="159"/>
    </row>
    <row r="108" spans="2:11" s="156" customFormat="1" x14ac:dyDescent="0.2">
      <c r="D108" s="159"/>
      <c r="E108" s="159"/>
      <c r="F108" s="159"/>
      <c r="G108" s="159"/>
      <c r="H108" s="159"/>
      <c r="I108" s="159"/>
      <c r="J108" s="159"/>
      <c r="K108" s="159"/>
    </row>
    <row r="109" spans="2:11" s="156" customFormat="1" x14ac:dyDescent="0.2">
      <c r="D109" s="159"/>
      <c r="E109" s="159"/>
      <c r="F109" s="159"/>
      <c r="G109" s="159"/>
      <c r="H109" s="159"/>
      <c r="I109" s="159"/>
      <c r="J109" s="159"/>
      <c r="K109" s="159"/>
    </row>
    <row r="110" spans="2:11" s="156" customFormat="1" x14ac:dyDescent="0.2">
      <c r="D110" s="159"/>
      <c r="E110" s="159"/>
      <c r="F110" s="159"/>
      <c r="G110" s="159"/>
      <c r="H110" s="159"/>
      <c r="I110" s="159"/>
      <c r="J110" s="159"/>
      <c r="K110" s="159"/>
    </row>
    <row r="111" spans="2:11" s="156" customFormat="1" x14ac:dyDescent="0.2">
      <c r="D111" s="159"/>
      <c r="E111" s="159"/>
      <c r="F111" s="159"/>
      <c r="G111" s="159"/>
      <c r="H111" s="159"/>
      <c r="I111" s="159"/>
      <c r="J111" s="159"/>
      <c r="K111" s="159"/>
    </row>
    <row r="112" spans="2:11" s="156" customFormat="1" x14ac:dyDescent="0.2">
      <c r="D112" s="159"/>
      <c r="E112" s="159"/>
      <c r="F112" s="159"/>
      <c r="G112" s="159"/>
      <c r="H112" s="159"/>
      <c r="I112" s="159"/>
      <c r="J112" s="159"/>
      <c r="K112" s="159"/>
    </row>
    <row r="113" spans="4:11" s="156" customFormat="1" x14ac:dyDescent="0.2">
      <c r="D113" s="159"/>
      <c r="E113" s="159"/>
      <c r="F113" s="159"/>
      <c r="G113" s="159"/>
      <c r="H113" s="159"/>
      <c r="I113" s="159"/>
      <c r="J113" s="159"/>
      <c r="K113" s="159"/>
    </row>
    <row r="114" spans="4:11" s="156" customFormat="1" x14ac:dyDescent="0.2">
      <c r="D114" s="159"/>
      <c r="E114" s="159"/>
      <c r="F114" s="159"/>
      <c r="G114" s="159"/>
      <c r="H114" s="159"/>
      <c r="I114" s="159"/>
      <c r="J114" s="159"/>
      <c r="K114" s="159"/>
    </row>
    <row r="115" spans="4:11" s="156" customFormat="1" x14ac:dyDescent="0.2">
      <c r="D115" s="159"/>
      <c r="E115" s="159"/>
      <c r="F115" s="159"/>
      <c r="G115" s="159"/>
      <c r="H115" s="159"/>
      <c r="I115" s="159"/>
      <c r="J115" s="159"/>
      <c r="K115" s="159"/>
    </row>
    <row r="116" spans="4:11" s="156" customFormat="1" x14ac:dyDescent="0.2">
      <c r="D116" s="159"/>
      <c r="E116" s="159"/>
      <c r="F116" s="159"/>
      <c r="G116" s="159"/>
      <c r="H116" s="159"/>
      <c r="I116" s="159"/>
      <c r="J116" s="159"/>
      <c r="K116" s="159"/>
    </row>
    <row r="117" spans="4:11" s="156" customFormat="1" x14ac:dyDescent="0.2">
      <c r="D117" s="159"/>
      <c r="E117" s="159"/>
      <c r="F117" s="159"/>
      <c r="G117" s="159"/>
      <c r="H117" s="159"/>
      <c r="I117" s="159"/>
      <c r="J117" s="159"/>
      <c r="K117" s="159"/>
    </row>
    <row r="118" spans="4:11" s="156" customFormat="1" x14ac:dyDescent="0.2">
      <c r="D118" s="159"/>
      <c r="E118" s="159"/>
      <c r="F118" s="159"/>
      <c r="G118" s="159"/>
      <c r="H118" s="159"/>
      <c r="I118" s="159"/>
      <c r="J118" s="159"/>
      <c r="K118" s="159"/>
    </row>
    <row r="119" spans="4:11" s="156" customFormat="1" x14ac:dyDescent="0.2">
      <c r="D119" s="159"/>
      <c r="E119" s="159"/>
      <c r="F119" s="159"/>
      <c r="G119" s="159"/>
      <c r="H119" s="159"/>
      <c r="I119" s="159"/>
      <c r="J119" s="159"/>
      <c r="K119" s="159"/>
    </row>
    <row r="120" spans="4:11" s="156" customFormat="1" x14ac:dyDescent="0.2">
      <c r="D120" s="159"/>
      <c r="E120" s="159"/>
      <c r="F120" s="159"/>
      <c r="G120" s="159"/>
      <c r="H120" s="159"/>
      <c r="I120" s="159"/>
      <c r="J120" s="159"/>
      <c r="K120" s="159"/>
    </row>
    <row r="121" spans="4:11" s="156" customFormat="1" x14ac:dyDescent="0.2">
      <c r="D121" s="159"/>
      <c r="E121" s="159"/>
      <c r="F121" s="159"/>
      <c r="G121" s="159"/>
      <c r="H121" s="159"/>
      <c r="I121" s="159"/>
      <c r="J121" s="159"/>
      <c r="K121" s="159"/>
    </row>
    <row r="122" spans="4:11" s="156" customFormat="1" x14ac:dyDescent="0.2">
      <c r="D122" s="159"/>
      <c r="E122" s="159"/>
      <c r="F122" s="159"/>
      <c r="G122" s="159"/>
      <c r="H122" s="159"/>
      <c r="I122" s="159"/>
      <c r="J122" s="159"/>
      <c r="K122" s="159"/>
    </row>
    <row r="123" spans="4:11" s="156" customFormat="1" x14ac:dyDescent="0.2">
      <c r="D123" s="159"/>
      <c r="E123" s="159"/>
      <c r="F123" s="159"/>
      <c r="G123" s="159"/>
      <c r="H123" s="159"/>
      <c r="I123" s="159"/>
      <c r="J123" s="159"/>
      <c r="K123" s="159"/>
    </row>
    <row r="124" spans="4:11" s="156" customFormat="1" x14ac:dyDescent="0.2">
      <c r="D124" s="159"/>
      <c r="E124" s="159"/>
      <c r="F124" s="159"/>
      <c r="G124" s="159"/>
      <c r="H124" s="159"/>
      <c r="I124" s="159"/>
      <c r="J124" s="159"/>
      <c r="K124" s="159"/>
    </row>
    <row r="125" spans="4:11" s="156" customFormat="1" x14ac:dyDescent="0.2">
      <c r="D125" s="159"/>
      <c r="E125" s="159"/>
      <c r="F125" s="159"/>
      <c r="G125" s="159"/>
      <c r="H125" s="159"/>
      <c r="I125" s="159"/>
      <c r="J125" s="159"/>
      <c r="K125" s="159"/>
    </row>
    <row r="126" spans="4:11" s="156" customFormat="1" x14ac:dyDescent="0.2">
      <c r="D126" s="159"/>
      <c r="E126" s="159"/>
      <c r="F126" s="159"/>
      <c r="G126" s="159"/>
      <c r="H126" s="159"/>
      <c r="I126" s="159"/>
      <c r="J126" s="159"/>
      <c r="K126" s="159"/>
    </row>
    <row r="127" spans="4:11" s="156" customFormat="1" x14ac:dyDescent="0.2">
      <c r="D127" s="159"/>
      <c r="E127" s="159"/>
      <c r="F127" s="159"/>
      <c r="G127" s="159"/>
      <c r="H127" s="159"/>
      <c r="I127" s="159"/>
      <c r="J127" s="159"/>
      <c r="K127" s="159"/>
    </row>
    <row r="128" spans="4:11" s="156" customFormat="1" x14ac:dyDescent="0.2">
      <c r="D128" s="159"/>
      <c r="E128" s="159"/>
      <c r="F128" s="159"/>
      <c r="G128" s="159"/>
      <c r="H128" s="159"/>
      <c r="I128" s="159"/>
      <c r="J128" s="159"/>
      <c r="K128" s="159"/>
    </row>
    <row r="129" spans="4:11" s="156" customFormat="1" x14ac:dyDescent="0.2">
      <c r="D129" s="159"/>
      <c r="E129" s="159"/>
      <c r="F129" s="159"/>
      <c r="G129" s="159"/>
      <c r="H129" s="159"/>
      <c r="I129" s="159"/>
      <c r="J129" s="159"/>
      <c r="K129" s="159"/>
    </row>
    <row r="130" spans="4:11" s="156" customFormat="1" x14ac:dyDescent="0.2">
      <c r="D130" s="159"/>
      <c r="E130" s="159"/>
      <c r="F130" s="159"/>
      <c r="G130" s="159"/>
      <c r="H130" s="159"/>
      <c r="I130" s="159"/>
      <c r="J130" s="159"/>
      <c r="K130" s="159"/>
    </row>
    <row r="131" spans="4:11" s="156" customFormat="1" x14ac:dyDescent="0.2">
      <c r="D131" s="159"/>
      <c r="E131" s="159"/>
      <c r="F131" s="159"/>
      <c r="G131" s="159"/>
      <c r="H131" s="159"/>
      <c r="I131" s="159"/>
      <c r="J131" s="159"/>
      <c r="K131" s="159"/>
    </row>
    <row r="132" spans="4:11" s="156" customFormat="1" x14ac:dyDescent="0.2">
      <c r="D132" s="159"/>
      <c r="E132" s="159"/>
      <c r="F132" s="159"/>
      <c r="G132" s="159"/>
      <c r="H132" s="159"/>
      <c r="I132" s="159"/>
      <c r="J132" s="159"/>
      <c r="K132" s="159"/>
    </row>
    <row r="133" spans="4:11" s="156" customFormat="1" x14ac:dyDescent="0.2">
      <c r="D133" s="159"/>
      <c r="E133" s="159"/>
      <c r="F133" s="159"/>
      <c r="G133" s="159"/>
      <c r="H133" s="159"/>
      <c r="I133" s="159"/>
      <c r="J133" s="159"/>
      <c r="K133" s="159"/>
    </row>
    <row r="134" spans="4:11" s="156" customFormat="1" x14ac:dyDescent="0.2">
      <c r="D134" s="159"/>
      <c r="E134" s="159"/>
      <c r="F134" s="159"/>
      <c r="G134" s="159"/>
      <c r="H134" s="159"/>
      <c r="I134" s="159"/>
      <c r="J134" s="159"/>
      <c r="K134" s="159"/>
    </row>
    <row r="135" spans="4:11" s="156" customFormat="1" x14ac:dyDescent="0.2">
      <c r="D135" s="159"/>
      <c r="E135" s="159"/>
      <c r="F135" s="159"/>
      <c r="G135" s="159"/>
      <c r="H135" s="159"/>
      <c r="I135" s="159"/>
      <c r="J135" s="159"/>
      <c r="K135" s="159"/>
    </row>
    <row r="136" spans="4:11" s="156" customFormat="1" x14ac:dyDescent="0.2">
      <c r="D136" s="159"/>
      <c r="E136" s="159"/>
      <c r="F136" s="159"/>
      <c r="G136" s="159"/>
      <c r="H136" s="159"/>
      <c r="I136" s="159"/>
      <c r="J136" s="159"/>
      <c r="K136" s="159"/>
    </row>
    <row r="137" spans="4:11" s="156" customFormat="1" x14ac:dyDescent="0.2">
      <c r="D137" s="159"/>
      <c r="E137" s="159"/>
      <c r="F137" s="159"/>
      <c r="G137" s="159"/>
      <c r="H137" s="159"/>
      <c r="I137" s="159"/>
      <c r="J137" s="159"/>
      <c r="K137" s="159"/>
    </row>
    <row r="138" spans="4:11" s="156" customFormat="1" x14ac:dyDescent="0.2">
      <c r="D138" s="159"/>
      <c r="E138" s="159"/>
      <c r="F138" s="159"/>
      <c r="G138" s="159"/>
      <c r="H138" s="159"/>
      <c r="I138" s="159"/>
      <c r="J138" s="159"/>
      <c r="K138" s="159"/>
    </row>
    <row r="139" spans="4:11" s="156" customFormat="1" x14ac:dyDescent="0.2">
      <c r="D139" s="159"/>
      <c r="E139" s="159"/>
      <c r="F139" s="159"/>
      <c r="G139" s="159"/>
      <c r="H139" s="159"/>
      <c r="I139" s="159"/>
      <c r="J139" s="159"/>
      <c r="K139" s="159"/>
    </row>
    <row r="140" spans="4:11" s="156" customFormat="1" x14ac:dyDescent="0.2">
      <c r="D140" s="159"/>
      <c r="E140" s="159"/>
      <c r="F140" s="159"/>
      <c r="G140" s="159"/>
      <c r="H140" s="159"/>
      <c r="I140" s="159"/>
      <c r="J140" s="159"/>
      <c r="K140" s="159"/>
    </row>
    <row r="141" spans="4:11" s="156" customFormat="1" x14ac:dyDescent="0.2">
      <c r="D141" s="159"/>
      <c r="E141" s="159"/>
      <c r="F141" s="159"/>
      <c r="G141" s="159"/>
      <c r="H141" s="159"/>
      <c r="I141" s="159"/>
      <c r="J141" s="159"/>
      <c r="K141" s="159"/>
    </row>
    <row r="142" spans="4:11" s="156" customFormat="1" x14ac:dyDescent="0.2">
      <c r="D142" s="159"/>
      <c r="E142" s="159"/>
      <c r="F142" s="159"/>
      <c r="G142" s="159"/>
      <c r="H142" s="159"/>
      <c r="I142" s="159"/>
      <c r="J142" s="159"/>
      <c r="K142" s="159"/>
    </row>
    <row r="143" spans="4:11" s="156" customFormat="1" x14ac:dyDescent="0.2">
      <c r="D143" s="159"/>
      <c r="E143" s="159"/>
      <c r="F143" s="159"/>
      <c r="G143" s="159"/>
      <c r="H143" s="159"/>
      <c r="I143" s="159"/>
      <c r="J143" s="159"/>
      <c r="K143" s="159"/>
    </row>
    <row r="144" spans="4:11" s="156" customFormat="1" x14ac:dyDescent="0.2">
      <c r="D144" s="159"/>
      <c r="E144" s="159"/>
      <c r="F144" s="159"/>
      <c r="G144" s="159"/>
      <c r="H144" s="159"/>
      <c r="I144" s="159"/>
      <c r="J144" s="159"/>
      <c r="K144" s="159"/>
    </row>
    <row r="145" spans="4:11" s="156" customFormat="1" x14ac:dyDescent="0.2">
      <c r="D145" s="159"/>
      <c r="E145" s="159"/>
      <c r="F145" s="159"/>
      <c r="G145" s="159"/>
      <c r="H145" s="159"/>
      <c r="I145" s="159"/>
      <c r="J145" s="159"/>
      <c r="K145" s="159"/>
    </row>
    <row r="146" spans="4:11" s="156" customFormat="1" x14ac:dyDescent="0.2">
      <c r="D146" s="159"/>
      <c r="E146" s="159"/>
      <c r="F146" s="159"/>
      <c r="G146" s="159"/>
      <c r="H146" s="159"/>
      <c r="I146" s="159"/>
      <c r="J146" s="159"/>
      <c r="K146" s="159"/>
    </row>
    <row r="147" spans="4:11" s="156" customFormat="1" x14ac:dyDescent="0.2">
      <c r="D147" s="159"/>
      <c r="E147" s="159"/>
      <c r="F147" s="159"/>
      <c r="G147" s="159"/>
      <c r="H147" s="159"/>
      <c r="I147" s="159"/>
      <c r="J147" s="159"/>
      <c r="K147" s="159"/>
    </row>
    <row r="148" spans="4:11" s="156" customFormat="1" x14ac:dyDescent="0.2">
      <c r="D148" s="159"/>
      <c r="E148" s="159"/>
      <c r="F148" s="159"/>
      <c r="G148" s="159"/>
      <c r="H148" s="159"/>
      <c r="I148" s="159"/>
      <c r="J148" s="159"/>
      <c r="K148" s="159"/>
    </row>
    <row r="149" spans="4:11" s="156" customFormat="1" x14ac:dyDescent="0.2">
      <c r="D149" s="159"/>
      <c r="E149" s="159"/>
      <c r="F149" s="159"/>
      <c r="G149" s="159"/>
      <c r="H149" s="159"/>
      <c r="I149" s="159"/>
      <c r="J149" s="159"/>
      <c r="K149" s="159"/>
    </row>
    <row r="150" spans="4:11" s="156" customFormat="1" x14ac:dyDescent="0.2">
      <c r="D150" s="159"/>
      <c r="E150" s="159"/>
      <c r="F150" s="159"/>
      <c r="G150" s="159"/>
      <c r="H150" s="159"/>
      <c r="I150" s="159"/>
      <c r="J150" s="159"/>
      <c r="K150" s="159"/>
    </row>
    <row r="151" spans="4:11" s="156" customFormat="1" x14ac:dyDescent="0.2">
      <c r="D151" s="159"/>
      <c r="E151" s="159"/>
      <c r="F151" s="159"/>
      <c r="G151" s="159"/>
      <c r="H151" s="159"/>
      <c r="I151" s="159"/>
      <c r="J151" s="159"/>
      <c r="K151" s="159"/>
    </row>
    <row r="152" spans="4:11" s="156" customFormat="1" x14ac:dyDescent="0.2">
      <c r="D152" s="159"/>
      <c r="E152" s="159"/>
      <c r="F152" s="159"/>
      <c r="G152" s="159"/>
      <c r="H152" s="159"/>
      <c r="I152" s="159"/>
      <c r="J152" s="159"/>
      <c r="K152" s="159"/>
    </row>
    <row r="153" spans="4:11" s="156" customFormat="1" x14ac:dyDescent="0.2">
      <c r="D153" s="159"/>
      <c r="E153" s="159"/>
      <c r="F153" s="159"/>
      <c r="G153" s="159"/>
      <c r="H153" s="159"/>
      <c r="I153" s="159"/>
      <c r="J153" s="159"/>
      <c r="K153" s="159"/>
    </row>
    <row r="154" spans="4:11" s="156" customFormat="1" x14ac:dyDescent="0.2">
      <c r="D154" s="159"/>
      <c r="E154" s="159"/>
      <c r="F154" s="159"/>
      <c r="G154" s="159"/>
      <c r="H154" s="159"/>
      <c r="I154" s="159"/>
      <c r="J154" s="159"/>
      <c r="K154" s="159"/>
    </row>
    <row r="155" spans="4:11" s="156" customFormat="1" x14ac:dyDescent="0.2">
      <c r="D155" s="159"/>
      <c r="E155" s="159"/>
      <c r="F155" s="159"/>
      <c r="G155" s="159"/>
      <c r="H155" s="159"/>
      <c r="I155" s="159"/>
      <c r="J155" s="159"/>
      <c r="K155" s="159"/>
    </row>
    <row r="156" spans="4:11" s="156" customFormat="1" x14ac:dyDescent="0.2">
      <c r="D156" s="159"/>
      <c r="E156" s="159"/>
      <c r="F156" s="159"/>
      <c r="G156" s="159"/>
      <c r="H156" s="159"/>
      <c r="I156" s="159"/>
      <c r="J156" s="159"/>
      <c r="K156" s="159"/>
    </row>
    <row r="157" spans="4:11" s="156" customFormat="1" x14ac:dyDescent="0.2">
      <c r="D157" s="159"/>
      <c r="E157" s="159"/>
      <c r="F157" s="159"/>
      <c r="G157" s="159"/>
      <c r="H157" s="159"/>
      <c r="I157" s="159"/>
      <c r="J157" s="159"/>
      <c r="K157" s="159"/>
    </row>
    <row r="158" spans="4:11" s="156" customFormat="1" x14ac:dyDescent="0.2">
      <c r="D158" s="159"/>
      <c r="E158" s="159"/>
      <c r="F158" s="159"/>
      <c r="G158" s="159"/>
      <c r="H158" s="159"/>
      <c r="I158" s="159"/>
      <c r="J158" s="159"/>
      <c r="K158" s="159"/>
    </row>
    <row r="159" spans="4:11" s="156" customFormat="1" x14ac:dyDescent="0.2">
      <c r="D159" s="159"/>
      <c r="E159" s="159"/>
      <c r="F159" s="159"/>
      <c r="G159" s="159"/>
      <c r="H159" s="159"/>
      <c r="I159" s="159"/>
      <c r="J159" s="159"/>
      <c r="K159" s="159"/>
    </row>
    <row r="160" spans="4:11" s="156" customFormat="1" x14ac:dyDescent="0.2">
      <c r="D160" s="159"/>
      <c r="E160" s="159"/>
      <c r="F160" s="159"/>
      <c r="G160" s="159"/>
      <c r="H160" s="159"/>
      <c r="I160" s="159"/>
      <c r="J160" s="159"/>
      <c r="K160" s="159"/>
    </row>
    <row r="161" spans="4:11" s="156" customFormat="1" x14ac:dyDescent="0.2">
      <c r="D161" s="159"/>
      <c r="E161" s="159"/>
      <c r="F161" s="159"/>
      <c r="G161" s="159"/>
      <c r="H161" s="159"/>
      <c r="I161" s="159"/>
      <c r="J161" s="159"/>
      <c r="K161" s="159"/>
    </row>
    <row r="162" spans="4:11" s="156" customFormat="1" x14ac:dyDescent="0.2">
      <c r="D162" s="159"/>
      <c r="E162" s="159"/>
      <c r="F162" s="159"/>
      <c r="G162" s="159"/>
      <c r="H162" s="159"/>
      <c r="I162" s="159"/>
      <c r="J162" s="159"/>
      <c r="K162" s="159"/>
    </row>
    <row r="163" spans="4:11" s="156" customFormat="1" x14ac:dyDescent="0.2">
      <c r="D163" s="159"/>
      <c r="E163" s="159"/>
      <c r="F163" s="159"/>
      <c r="G163" s="159"/>
      <c r="H163" s="159"/>
      <c r="I163" s="159"/>
      <c r="J163" s="159"/>
      <c r="K163" s="159"/>
    </row>
    <row r="164" spans="4:11" s="156" customFormat="1" x14ac:dyDescent="0.2">
      <c r="D164" s="159"/>
      <c r="E164" s="159"/>
      <c r="F164" s="159"/>
      <c r="G164" s="159"/>
      <c r="H164" s="159"/>
      <c r="I164" s="159"/>
      <c r="J164" s="159"/>
      <c r="K164" s="159"/>
    </row>
    <row r="165" spans="4:11" s="156" customFormat="1" x14ac:dyDescent="0.2">
      <c r="D165" s="159"/>
      <c r="E165" s="159"/>
      <c r="F165" s="159"/>
      <c r="G165" s="159"/>
      <c r="H165" s="159"/>
      <c r="I165" s="159"/>
      <c r="J165" s="159"/>
      <c r="K165" s="159"/>
    </row>
    <row r="166" spans="4:11" s="156" customFormat="1" x14ac:dyDescent="0.2">
      <c r="D166" s="159"/>
      <c r="E166" s="159"/>
      <c r="F166" s="159"/>
      <c r="G166" s="159"/>
      <c r="H166" s="159"/>
      <c r="I166" s="159"/>
      <c r="J166" s="159"/>
      <c r="K166" s="159"/>
    </row>
    <row r="167" spans="4:11" s="156" customFormat="1" x14ac:dyDescent="0.2">
      <c r="D167" s="159"/>
      <c r="E167" s="159"/>
      <c r="F167" s="159"/>
      <c r="G167" s="159"/>
      <c r="H167" s="159"/>
      <c r="I167" s="159"/>
      <c r="J167" s="159"/>
      <c r="K167" s="159"/>
    </row>
    <row r="168" spans="4:11" s="156" customFormat="1" x14ac:dyDescent="0.2">
      <c r="D168" s="159"/>
      <c r="E168" s="159"/>
      <c r="F168" s="159"/>
      <c r="G168" s="159"/>
      <c r="H168" s="159"/>
      <c r="I168" s="159"/>
      <c r="J168" s="159"/>
      <c r="K168" s="159"/>
    </row>
    <row r="169" spans="4:11" s="156" customFormat="1" x14ac:dyDescent="0.2">
      <c r="D169" s="159"/>
      <c r="E169" s="159"/>
      <c r="F169" s="159"/>
      <c r="G169" s="159"/>
      <c r="H169" s="159"/>
      <c r="I169" s="159"/>
      <c r="J169" s="159"/>
      <c r="K169" s="159"/>
    </row>
    <row r="170" spans="4:11" s="156" customFormat="1" x14ac:dyDescent="0.2">
      <c r="D170" s="159"/>
      <c r="E170" s="159"/>
      <c r="F170" s="159"/>
      <c r="G170" s="159"/>
      <c r="H170" s="159"/>
      <c r="I170" s="159"/>
      <c r="J170" s="159"/>
      <c r="K170" s="159"/>
    </row>
    <row r="171" spans="4:11" s="156" customFormat="1" x14ac:dyDescent="0.2">
      <c r="D171" s="159"/>
      <c r="E171" s="159"/>
      <c r="F171" s="159"/>
      <c r="G171" s="159"/>
      <c r="H171" s="159"/>
      <c r="I171" s="159"/>
      <c r="J171" s="159"/>
      <c r="K171" s="159"/>
    </row>
    <row r="172" spans="4:11" s="156" customFormat="1" x14ac:dyDescent="0.2">
      <c r="D172" s="159"/>
      <c r="E172" s="159"/>
      <c r="F172" s="159"/>
      <c r="G172" s="159"/>
      <c r="H172" s="159"/>
      <c r="I172" s="159"/>
      <c r="J172" s="159"/>
      <c r="K172" s="159"/>
    </row>
    <row r="173" spans="4:11" s="156" customFormat="1" x14ac:dyDescent="0.2">
      <c r="D173" s="159"/>
      <c r="E173" s="159"/>
      <c r="F173" s="159"/>
      <c r="G173" s="159"/>
      <c r="H173" s="159"/>
      <c r="I173" s="159"/>
      <c r="J173" s="159"/>
      <c r="K173" s="159"/>
    </row>
    <row r="174" spans="4:11" s="156" customFormat="1" x14ac:dyDescent="0.2">
      <c r="D174" s="159"/>
      <c r="E174" s="159"/>
      <c r="F174" s="159"/>
      <c r="G174" s="159"/>
      <c r="H174" s="159"/>
      <c r="I174" s="159"/>
      <c r="J174" s="159"/>
      <c r="K174" s="159"/>
    </row>
    <row r="175" spans="4:11" s="156" customFormat="1" x14ac:dyDescent="0.2">
      <c r="D175" s="159"/>
      <c r="E175" s="159"/>
      <c r="F175" s="159"/>
      <c r="G175" s="159"/>
      <c r="H175" s="159"/>
      <c r="I175" s="159"/>
      <c r="J175" s="159"/>
      <c r="K175" s="159"/>
    </row>
    <row r="176" spans="4:11" s="156" customFormat="1" x14ac:dyDescent="0.2">
      <c r="D176" s="159"/>
      <c r="E176" s="159"/>
      <c r="F176" s="159"/>
      <c r="G176" s="159"/>
      <c r="H176" s="159"/>
      <c r="I176" s="159"/>
      <c r="J176" s="159"/>
      <c r="K176" s="159"/>
    </row>
    <row r="177" spans="4:11" s="156" customFormat="1" x14ac:dyDescent="0.2">
      <c r="D177" s="159"/>
      <c r="E177" s="159"/>
      <c r="F177" s="159"/>
      <c r="G177" s="159"/>
      <c r="H177" s="159"/>
      <c r="I177" s="159"/>
      <c r="J177" s="159"/>
      <c r="K177" s="159"/>
    </row>
    <row r="178" spans="4:11" s="156" customFormat="1" x14ac:dyDescent="0.2">
      <c r="D178" s="159"/>
      <c r="E178" s="159"/>
      <c r="F178" s="159"/>
      <c r="G178" s="159"/>
      <c r="H178" s="159"/>
      <c r="I178" s="159"/>
      <c r="J178" s="159"/>
      <c r="K178" s="159"/>
    </row>
    <row r="179" spans="4:11" s="156" customFormat="1" x14ac:dyDescent="0.2">
      <c r="D179" s="159"/>
      <c r="E179" s="159"/>
      <c r="F179" s="159"/>
      <c r="G179" s="159"/>
      <c r="H179" s="159"/>
      <c r="I179" s="159"/>
      <c r="J179" s="159"/>
      <c r="K179" s="159"/>
    </row>
    <row r="180" spans="4:11" s="156" customFormat="1" x14ac:dyDescent="0.2">
      <c r="D180" s="159"/>
      <c r="E180" s="159"/>
      <c r="F180" s="159"/>
      <c r="G180" s="159"/>
      <c r="H180" s="159"/>
      <c r="I180" s="159"/>
      <c r="J180" s="159"/>
      <c r="K180" s="159"/>
    </row>
    <row r="181" spans="4:11" s="156" customFormat="1" x14ac:dyDescent="0.2">
      <c r="D181" s="159"/>
      <c r="E181" s="159"/>
      <c r="F181" s="159"/>
      <c r="G181" s="159"/>
      <c r="H181" s="159"/>
      <c r="I181" s="159"/>
      <c r="J181" s="159"/>
      <c r="K181" s="159"/>
    </row>
    <row r="182" spans="4:11" s="156" customFormat="1" x14ac:dyDescent="0.2">
      <c r="D182" s="159"/>
      <c r="E182" s="159"/>
      <c r="F182" s="159"/>
      <c r="G182" s="159"/>
      <c r="H182" s="159"/>
      <c r="I182" s="159"/>
      <c r="J182" s="159"/>
      <c r="K182" s="159"/>
    </row>
    <row r="183" spans="4:11" s="156" customFormat="1" x14ac:dyDescent="0.2">
      <c r="D183" s="159"/>
      <c r="E183" s="159"/>
      <c r="F183" s="159"/>
      <c r="G183" s="159"/>
      <c r="H183" s="159"/>
      <c r="I183" s="159"/>
      <c r="J183" s="159"/>
      <c r="K183" s="159"/>
    </row>
    <row r="184" spans="4:11" s="156" customFormat="1" x14ac:dyDescent="0.2">
      <c r="D184" s="159"/>
      <c r="E184" s="159"/>
      <c r="F184" s="159"/>
      <c r="G184" s="159"/>
      <c r="H184" s="159"/>
      <c r="I184" s="159"/>
      <c r="J184" s="159"/>
      <c r="K184" s="159"/>
    </row>
    <row r="185" spans="4:11" s="156" customFormat="1" x14ac:dyDescent="0.2">
      <c r="D185" s="159"/>
      <c r="E185" s="159"/>
      <c r="F185" s="159"/>
      <c r="G185" s="159"/>
      <c r="H185" s="159"/>
      <c r="I185" s="159"/>
      <c r="J185" s="159"/>
      <c r="K185" s="159"/>
    </row>
    <row r="186" spans="4:11" s="156" customFormat="1" x14ac:dyDescent="0.2">
      <c r="D186" s="159"/>
      <c r="E186" s="159"/>
      <c r="F186" s="159"/>
      <c r="G186" s="159"/>
      <c r="H186" s="159"/>
      <c r="I186" s="159"/>
      <c r="J186" s="159"/>
      <c r="K186" s="159"/>
    </row>
    <row r="187" spans="4:11" s="156" customFormat="1" x14ac:dyDescent="0.2">
      <c r="D187" s="159"/>
      <c r="E187" s="159"/>
      <c r="F187" s="159"/>
      <c r="G187" s="159"/>
      <c r="H187" s="159"/>
      <c r="I187" s="159"/>
      <c r="J187" s="159"/>
      <c r="K187" s="159"/>
    </row>
    <row r="188" spans="4:11" s="156" customFormat="1" x14ac:dyDescent="0.2">
      <c r="D188" s="159"/>
      <c r="E188" s="159"/>
      <c r="F188" s="159"/>
      <c r="G188" s="159"/>
      <c r="H188" s="159"/>
      <c r="I188" s="159"/>
      <c r="J188" s="159"/>
      <c r="K188" s="159"/>
    </row>
    <row r="189" spans="4:11" s="156" customFormat="1" x14ac:dyDescent="0.2">
      <c r="D189" s="159"/>
      <c r="E189" s="159"/>
      <c r="F189" s="159"/>
      <c r="G189" s="159"/>
      <c r="H189" s="159"/>
      <c r="I189" s="159"/>
      <c r="J189" s="159"/>
      <c r="K189" s="159"/>
    </row>
    <row r="190" spans="4:11" s="156" customFormat="1" x14ac:dyDescent="0.2">
      <c r="D190" s="159"/>
      <c r="E190" s="159"/>
      <c r="F190" s="159"/>
      <c r="G190" s="159"/>
      <c r="H190" s="159"/>
      <c r="I190" s="159"/>
      <c r="J190" s="159"/>
      <c r="K190" s="159"/>
    </row>
    <row r="191" spans="4:11" s="156" customFormat="1" x14ac:dyDescent="0.2">
      <c r="D191" s="159"/>
      <c r="E191" s="159"/>
      <c r="F191" s="159"/>
      <c r="G191" s="159"/>
      <c r="H191" s="159"/>
      <c r="I191" s="159"/>
      <c r="J191" s="159"/>
      <c r="K191" s="159"/>
    </row>
    <row r="192" spans="4:11" s="156" customFormat="1" x14ac:dyDescent="0.2">
      <c r="D192" s="159"/>
      <c r="E192" s="159"/>
      <c r="F192" s="159"/>
      <c r="G192" s="159"/>
      <c r="H192" s="159"/>
      <c r="I192" s="159"/>
      <c r="J192" s="159"/>
      <c r="K192" s="159"/>
    </row>
    <row r="193" spans="4:11" s="156" customFormat="1" x14ac:dyDescent="0.2">
      <c r="D193" s="159"/>
      <c r="E193" s="159"/>
      <c r="F193" s="159"/>
      <c r="G193" s="159"/>
      <c r="H193" s="159"/>
      <c r="I193" s="159"/>
      <c r="J193" s="159"/>
      <c r="K193" s="159"/>
    </row>
    <row r="194" spans="4:11" s="156" customFormat="1" x14ac:dyDescent="0.2">
      <c r="D194" s="159"/>
      <c r="E194" s="159"/>
      <c r="F194" s="159"/>
      <c r="G194" s="159"/>
      <c r="H194" s="159"/>
      <c r="I194" s="159"/>
      <c r="J194" s="159"/>
      <c r="K194" s="159"/>
    </row>
    <row r="195" spans="4:11" s="156" customFormat="1" x14ac:dyDescent="0.2">
      <c r="D195" s="159"/>
      <c r="E195" s="159"/>
      <c r="F195" s="159"/>
      <c r="G195" s="159"/>
      <c r="H195" s="159"/>
      <c r="I195" s="159"/>
      <c r="J195" s="159"/>
      <c r="K195" s="159"/>
    </row>
    <row r="196" spans="4:11" s="156" customFormat="1" x14ac:dyDescent="0.2">
      <c r="D196" s="159"/>
      <c r="E196" s="159"/>
      <c r="F196" s="159"/>
      <c r="G196" s="159"/>
      <c r="H196" s="159"/>
      <c r="I196" s="159"/>
      <c r="J196" s="159"/>
      <c r="K196" s="159"/>
    </row>
    <row r="197" spans="4:11" s="156" customFormat="1" x14ac:dyDescent="0.2">
      <c r="D197" s="159"/>
      <c r="E197" s="159"/>
      <c r="F197" s="159"/>
      <c r="G197" s="159"/>
      <c r="H197" s="159"/>
      <c r="I197" s="159"/>
      <c r="J197" s="159"/>
      <c r="K197" s="159"/>
    </row>
  </sheetData>
  <mergeCells count="50">
    <mergeCell ref="L39:M41"/>
    <mergeCell ref="L56:M56"/>
    <mergeCell ref="B2:M2"/>
    <mergeCell ref="D3:M3"/>
    <mergeCell ref="B4:C5"/>
    <mergeCell ref="D4:H4"/>
    <mergeCell ref="I4:K4"/>
    <mergeCell ref="D5:H9"/>
    <mergeCell ref="I5:K9"/>
    <mergeCell ref="L5:L9"/>
    <mergeCell ref="M5:M9"/>
    <mergeCell ref="B6:C7"/>
    <mergeCell ref="C9:C11"/>
    <mergeCell ref="D10:H10"/>
    <mergeCell ref="I10:K10"/>
    <mergeCell ref="D11:H11"/>
    <mergeCell ref="I11:K11"/>
    <mergeCell ref="B8:C8"/>
    <mergeCell ref="B9:B11"/>
    <mergeCell ref="E13:E14"/>
    <mergeCell ref="F13:F14"/>
    <mergeCell ref="G13:K13"/>
    <mergeCell ref="B13:C14"/>
    <mergeCell ref="D13:D14"/>
    <mergeCell ref="B78:D78"/>
    <mergeCell ref="B77:D77"/>
    <mergeCell ref="B79:D79"/>
    <mergeCell ref="L13:M14"/>
    <mergeCell ref="D12:H12"/>
    <mergeCell ref="I12:K12"/>
    <mergeCell ref="B21:C21"/>
    <mergeCell ref="B34:C34"/>
    <mergeCell ref="B47:C47"/>
    <mergeCell ref="B64:C64"/>
    <mergeCell ref="L64:M64"/>
    <mergeCell ref="B56:C56"/>
    <mergeCell ref="L67:M69"/>
    <mergeCell ref="L21:M21"/>
    <mergeCell ref="L34:M34"/>
    <mergeCell ref="L47:M47"/>
    <mergeCell ref="E81:F81"/>
    <mergeCell ref="E82:F82"/>
    <mergeCell ref="E85:F85"/>
    <mergeCell ref="E89:F89"/>
    <mergeCell ref="E93:F93"/>
    <mergeCell ref="L81:M81"/>
    <mergeCell ref="L93:M93"/>
    <mergeCell ref="L89:M89"/>
    <mergeCell ref="L85:M85"/>
    <mergeCell ref="L82:M82"/>
  </mergeCells>
  <phoneticPr fontId="4" type="noConversion"/>
  <pageMargins left="0.7" right="0.7" top="0.75" bottom="0.75" header="0.3" footer="0.3"/>
  <pageSetup paperSize="0" orientation="portrait" r:id="rId1"/>
  <ignoredErrors>
    <ignoredError sqref="E6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0DC3C-474D-4399-93E3-5664FDF400D1}">
  <dimension ref="A2:CR270"/>
  <sheetViews>
    <sheetView zoomScale="60" zoomScaleNormal="60" workbookViewId="0"/>
  </sheetViews>
  <sheetFormatPr baseColWidth="10" defaultRowHeight="15.75" x14ac:dyDescent="0.25"/>
  <cols>
    <col min="1" max="4" width="11.42578125" style="3"/>
    <col min="5" max="5" width="14.28515625" style="3" bestFit="1" customWidth="1"/>
    <col min="6" max="6" width="6.28515625" style="3" customWidth="1"/>
    <col min="7" max="7" width="5.140625" style="3" customWidth="1"/>
    <col min="8" max="8" width="3.28515625" style="3" customWidth="1"/>
    <col min="9" max="9" width="3.7109375" style="3" customWidth="1"/>
    <col min="10" max="10" width="7.5703125" style="3" customWidth="1"/>
    <col min="11" max="11" width="6.85546875" style="3" customWidth="1"/>
    <col min="12" max="12" width="10.42578125" style="3" customWidth="1"/>
    <col min="13" max="13" width="22.5703125" style="3" customWidth="1"/>
    <col min="14" max="14" width="13" style="3" bestFit="1" customWidth="1"/>
    <col min="15" max="17" width="11.42578125" style="3"/>
    <col min="18" max="18" width="255.7109375" style="412" bestFit="1" customWidth="1"/>
    <col min="19" max="96" width="11.42578125" style="3"/>
    <col min="97" max="16384" width="11.42578125" style="2"/>
  </cols>
  <sheetData>
    <row r="2" spans="2:19" ht="15.75" customHeight="1" thickBot="1" x14ac:dyDescent="0.3"/>
    <row r="3" spans="2:19" ht="15.75" customHeight="1" thickBot="1" x14ac:dyDescent="0.3">
      <c r="B3" s="1288" t="s">
        <v>175</v>
      </c>
      <c r="C3" s="1289"/>
      <c r="D3" s="1290"/>
      <c r="E3" s="1282" t="s">
        <v>1</v>
      </c>
      <c r="F3" s="1282"/>
      <c r="G3" s="1282"/>
      <c r="H3" s="1282"/>
      <c r="I3" s="1282"/>
      <c r="J3" s="8" t="s">
        <v>176</v>
      </c>
      <c r="K3" s="1282" t="s">
        <v>177</v>
      </c>
      <c r="L3" s="1282"/>
      <c r="M3" s="8" t="s">
        <v>291</v>
      </c>
      <c r="N3" s="1282" t="s">
        <v>178</v>
      </c>
      <c r="O3" s="1282"/>
      <c r="P3" s="1282"/>
      <c r="Q3" s="1282"/>
      <c r="R3" s="413" t="s">
        <v>292</v>
      </c>
    </row>
    <row r="4" spans="2:19" ht="15.75" customHeight="1" x14ac:dyDescent="0.25">
      <c r="B4" s="1291" t="s">
        <v>179</v>
      </c>
      <c r="C4" s="1292"/>
      <c r="D4" s="1293"/>
      <c r="E4" s="1263" t="s">
        <v>180</v>
      </c>
      <c r="F4" s="1263"/>
      <c r="G4" s="1263"/>
      <c r="H4" s="1263"/>
      <c r="I4" s="1263"/>
      <c r="J4" s="131">
        <v>12</v>
      </c>
      <c r="K4" s="1283">
        <v>2300000</v>
      </c>
      <c r="L4" s="1284"/>
      <c r="M4" s="132">
        <f>K4*J4</f>
        <v>27600000</v>
      </c>
      <c r="N4" s="1285" t="s">
        <v>270</v>
      </c>
      <c r="O4" s="1286"/>
      <c r="P4" s="1286"/>
      <c r="Q4" s="1286"/>
      <c r="R4" s="419" t="s">
        <v>269</v>
      </c>
      <c r="S4" s="3" t="s">
        <v>271</v>
      </c>
    </row>
    <row r="5" spans="2:19" ht="15.75" customHeight="1" thickBot="1" x14ac:dyDescent="0.3">
      <c r="B5" s="1294"/>
      <c r="C5" s="1295"/>
      <c r="D5" s="1296"/>
      <c r="E5" s="1266" t="s">
        <v>1806</v>
      </c>
      <c r="F5" s="1266"/>
      <c r="G5" s="1266"/>
      <c r="H5" s="1266"/>
      <c r="I5" s="1266"/>
      <c r="J5" s="5">
        <v>1</v>
      </c>
      <c r="K5" s="1273">
        <v>15000000</v>
      </c>
      <c r="L5" s="1242"/>
      <c r="M5" s="133">
        <f>J5*K5</f>
        <v>15000000</v>
      </c>
      <c r="N5" s="1262"/>
      <c r="O5" s="1242"/>
      <c r="P5" s="1242"/>
      <c r="Q5" s="1242"/>
      <c r="R5" s="414"/>
    </row>
    <row r="6" spans="2:19" ht="15.75" customHeight="1" x14ac:dyDescent="0.25">
      <c r="B6" s="1297" t="s">
        <v>1408</v>
      </c>
      <c r="C6" s="1298"/>
      <c r="D6" s="1298"/>
      <c r="E6" s="1263" t="s">
        <v>1115</v>
      </c>
      <c r="F6" s="1263"/>
      <c r="G6" s="1263"/>
      <c r="H6" s="1263"/>
      <c r="I6" s="1263"/>
      <c r="J6" s="131">
        <v>2</v>
      </c>
      <c r="K6" s="1281">
        <v>25407</v>
      </c>
      <c r="L6" s="1263"/>
      <c r="M6" s="132">
        <f>K6*J6</f>
        <v>50814</v>
      </c>
      <c r="N6" s="1287" t="s">
        <v>1116</v>
      </c>
      <c r="O6" s="1263"/>
      <c r="P6" s="1263"/>
      <c r="Q6" s="1263"/>
      <c r="R6" s="416" t="s">
        <v>1117</v>
      </c>
    </row>
    <row r="7" spans="2:19" ht="15.75" customHeight="1" x14ac:dyDescent="0.25">
      <c r="B7" s="1299"/>
      <c r="C7" s="1300"/>
      <c r="D7" s="1300"/>
      <c r="E7" s="1242" t="s">
        <v>1118</v>
      </c>
      <c r="F7" s="1242"/>
      <c r="G7" s="1242"/>
      <c r="H7" s="1242"/>
      <c r="I7" s="1242"/>
      <c r="J7" s="5">
        <v>3</v>
      </c>
      <c r="K7" s="1273">
        <v>41650</v>
      </c>
      <c r="L7" s="1242"/>
      <c r="M7" s="133">
        <f t="shared" ref="M7:M93" si="0">K7*J7</f>
        <v>124950</v>
      </c>
      <c r="N7" s="1262" t="s">
        <v>1119</v>
      </c>
      <c r="O7" s="1242"/>
      <c r="P7" s="1242"/>
      <c r="Q7" s="1242"/>
      <c r="R7" s="414" t="s">
        <v>1120</v>
      </c>
    </row>
    <row r="8" spans="2:19" ht="15.75" customHeight="1" x14ac:dyDescent="0.25">
      <c r="B8" s="1299"/>
      <c r="C8" s="1300"/>
      <c r="D8" s="1300"/>
      <c r="E8" s="1242" t="s">
        <v>183</v>
      </c>
      <c r="F8" s="1242"/>
      <c r="G8" s="1242"/>
      <c r="H8" s="1242"/>
      <c r="I8" s="1242"/>
      <c r="J8" s="5">
        <v>3</v>
      </c>
      <c r="K8" s="1273">
        <v>22907</v>
      </c>
      <c r="L8" s="1242"/>
      <c r="M8" s="133">
        <f t="shared" si="0"/>
        <v>68721</v>
      </c>
      <c r="N8" s="1262" t="s">
        <v>1121</v>
      </c>
      <c r="O8" s="1242"/>
      <c r="P8" s="1242"/>
      <c r="Q8" s="1242"/>
      <c r="R8" s="414" t="s">
        <v>1409</v>
      </c>
    </row>
    <row r="9" spans="2:19" ht="15.75" customHeight="1" x14ac:dyDescent="0.25">
      <c r="B9" s="1299"/>
      <c r="C9" s="1300"/>
      <c r="D9" s="1300"/>
      <c r="E9" s="1242" t="s">
        <v>1410</v>
      </c>
      <c r="F9" s="1242"/>
      <c r="G9" s="1242"/>
      <c r="H9" s="1242"/>
      <c r="I9" s="1242"/>
      <c r="J9" s="5">
        <v>4</v>
      </c>
      <c r="K9" s="1273">
        <v>40800</v>
      </c>
      <c r="L9" s="1242"/>
      <c r="M9" s="133">
        <f t="shared" si="0"/>
        <v>163200</v>
      </c>
      <c r="N9" s="1262" t="s">
        <v>1411</v>
      </c>
      <c r="O9" s="1242"/>
      <c r="P9" s="1242"/>
      <c r="Q9" s="1242"/>
      <c r="R9" s="420" t="s">
        <v>1412</v>
      </c>
    </row>
    <row r="10" spans="2:19" ht="15.75" customHeight="1" x14ac:dyDescent="0.25">
      <c r="B10" s="1299"/>
      <c r="C10" s="1300"/>
      <c r="D10" s="1300"/>
      <c r="E10" s="1242" t="s">
        <v>1122</v>
      </c>
      <c r="F10" s="1242"/>
      <c r="G10" s="1242"/>
      <c r="H10" s="1242"/>
      <c r="I10" s="1242"/>
      <c r="J10" s="5">
        <v>2</v>
      </c>
      <c r="K10" s="1273">
        <v>120785</v>
      </c>
      <c r="L10" s="1242"/>
      <c r="M10" s="133">
        <f t="shared" si="0"/>
        <v>241570</v>
      </c>
      <c r="N10" s="1262" t="s">
        <v>1123</v>
      </c>
      <c r="O10" s="1242"/>
      <c r="P10" s="1242"/>
      <c r="Q10" s="1242"/>
      <c r="R10" s="414" t="s">
        <v>1124</v>
      </c>
    </row>
    <row r="11" spans="2:19" ht="15.75" customHeight="1" x14ac:dyDescent="0.25">
      <c r="B11" s="1299"/>
      <c r="C11" s="1300"/>
      <c r="D11" s="1300"/>
      <c r="E11" s="1242" t="s">
        <v>1125</v>
      </c>
      <c r="F11" s="1242"/>
      <c r="G11" s="1242"/>
      <c r="H11" s="1242"/>
      <c r="I11" s="1242"/>
      <c r="J11" s="5">
        <v>2</v>
      </c>
      <c r="K11" s="1273">
        <v>19159</v>
      </c>
      <c r="L11" s="1242"/>
      <c r="M11" s="133">
        <f t="shared" si="0"/>
        <v>38318</v>
      </c>
      <c r="N11" s="1262" t="s">
        <v>1126</v>
      </c>
      <c r="O11" s="1242"/>
      <c r="P11" s="1242"/>
      <c r="Q11" s="1242"/>
      <c r="R11" s="420" t="s">
        <v>1127</v>
      </c>
    </row>
    <row r="12" spans="2:19" ht="15.75" customHeight="1" x14ac:dyDescent="0.25">
      <c r="B12" s="1299"/>
      <c r="C12" s="1300"/>
      <c r="D12" s="1300"/>
      <c r="E12" s="1242" t="s">
        <v>1413</v>
      </c>
      <c r="F12" s="1242"/>
      <c r="G12" s="1242"/>
      <c r="H12" s="1242"/>
      <c r="I12" s="1242"/>
      <c r="J12" s="5">
        <v>2</v>
      </c>
      <c r="K12" s="1273">
        <v>12900</v>
      </c>
      <c r="L12" s="1242"/>
      <c r="M12" s="133">
        <f t="shared" si="0"/>
        <v>25800</v>
      </c>
      <c r="N12" s="1262" t="s">
        <v>1414</v>
      </c>
      <c r="O12" s="1242"/>
      <c r="P12" s="1242"/>
      <c r="Q12" s="1242"/>
      <c r="R12" s="420" t="s">
        <v>1128</v>
      </c>
    </row>
    <row r="13" spans="2:19" ht="15.75" customHeight="1" x14ac:dyDescent="0.25">
      <c r="B13" s="1299"/>
      <c r="C13" s="1300"/>
      <c r="D13" s="1300"/>
      <c r="E13" s="1242" t="s">
        <v>1415</v>
      </c>
      <c r="F13" s="1242"/>
      <c r="G13" s="1242"/>
      <c r="H13" s="1242"/>
      <c r="I13" s="1242"/>
      <c r="J13" s="5">
        <v>2</v>
      </c>
      <c r="K13" s="1273">
        <v>14578</v>
      </c>
      <c r="L13" s="1242"/>
      <c r="M13" s="133">
        <f t="shared" si="0"/>
        <v>29156</v>
      </c>
      <c r="N13" s="1262" t="s">
        <v>1416</v>
      </c>
      <c r="O13" s="1242"/>
      <c r="P13" s="1242"/>
      <c r="Q13" s="1242"/>
      <c r="R13" s="420" t="s">
        <v>1417</v>
      </c>
    </row>
    <row r="14" spans="2:19" ht="15.75" customHeight="1" x14ac:dyDescent="0.25">
      <c r="B14" s="1299"/>
      <c r="C14" s="1300"/>
      <c r="D14" s="1300"/>
      <c r="E14" s="1259" t="s">
        <v>1129</v>
      </c>
      <c r="F14" s="1260"/>
      <c r="G14" s="1260"/>
      <c r="H14" s="1260"/>
      <c r="I14" s="1261"/>
      <c r="J14" s="5">
        <v>2</v>
      </c>
      <c r="K14" s="1264">
        <v>15411</v>
      </c>
      <c r="L14" s="1265"/>
      <c r="M14" s="133">
        <f t="shared" si="0"/>
        <v>30822</v>
      </c>
      <c r="N14" s="1246" t="s">
        <v>1130</v>
      </c>
      <c r="O14" s="1247"/>
      <c r="P14" s="1247"/>
      <c r="Q14" s="1248"/>
      <c r="R14" s="420" t="s">
        <v>1131</v>
      </c>
    </row>
    <row r="15" spans="2:19" ht="15.75" customHeight="1" x14ac:dyDescent="0.25">
      <c r="B15" s="1299"/>
      <c r="C15" s="1300"/>
      <c r="D15" s="1300"/>
      <c r="E15" s="1242" t="s">
        <v>1132</v>
      </c>
      <c r="F15" s="1242"/>
      <c r="G15" s="1242"/>
      <c r="H15" s="1242"/>
      <c r="I15" s="1242"/>
      <c r="J15" s="5">
        <v>2</v>
      </c>
      <c r="K15" s="1273">
        <v>36236</v>
      </c>
      <c r="L15" s="1242"/>
      <c r="M15" s="133">
        <f t="shared" si="0"/>
        <v>72472</v>
      </c>
      <c r="N15" s="1262" t="s">
        <v>1133</v>
      </c>
      <c r="O15" s="1242"/>
      <c r="P15" s="1242"/>
      <c r="Q15" s="1242"/>
      <c r="R15" s="414" t="s">
        <v>1134</v>
      </c>
    </row>
    <row r="16" spans="2:19" ht="15.75" customHeight="1" x14ac:dyDescent="0.25">
      <c r="B16" s="1299"/>
      <c r="C16" s="1300"/>
      <c r="D16" s="1300"/>
      <c r="E16" s="1242" t="s">
        <v>1135</v>
      </c>
      <c r="F16" s="1242"/>
      <c r="G16" s="1242"/>
      <c r="H16" s="1242"/>
      <c r="I16" s="1242"/>
      <c r="J16" s="5">
        <v>2</v>
      </c>
      <c r="K16" s="1273">
        <v>25407</v>
      </c>
      <c r="L16" s="1242"/>
      <c r="M16" s="133">
        <f t="shared" si="0"/>
        <v>50814</v>
      </c>
      <c r="N16" s="1262" t="s">
        <v>1136</v>
      </c>
      <c r="O16" s="1242"/>
      <c r="P16" s="1242"/>
      <c r="Q16" s="1242"/>
      <c r="R16" s="414" t="s">
        <v>1137</v>
      </c>
    </row>
    <row r="17" spans="2:18" ht="15.75" customHeight="1" x14ac:dyDescent="0.25">
      <c r="B17" s="1299"/>
      <c r="C17" s="1300"/>
      <c r="D17" s="1300"/>
      <c r="E17" s="1242" t="s">
        <v>1138</v>
      </c>
      <c r="F17" s="1242"/>
      <c r="G17" s="1242"/>
      <c r="H17" s="1242"/>
      <c r="I17" s="1242"/>
      <c r="J17" s="5">
        <v>1</v>
      </c>
      <c r="K17" s="1273">
        <v>27489</v>
      </c>
      <c r="L17" s="1242"/>
      <c r="M17" s="133">
        <f t="shared" si="0"/>
        <v>27489</v>
      </c>
      <c r="N17" s="1262" t="s">
        <v>1139</v>
      </c>
      <c r="O17" s="1242"/>
      <c r="P17" s="1242"/>
      <c r="Q17" s="1242"/>
      <c r="R17" s="414" t="s">
        <v>1140</v>
      </c>
    </row>
    <row r="18" spans="2:18" ht="15.75" customHeight="1" x14ac:dyDescent="0.25">
      <c r="B18" s="1299"/>
      <c r="C18" s="1300"/>
      <c r="D18" s="1300"/>
      <c r="E18" s="1242" t="s">
        <v>1142</v>
      </c>
      <c r="F18" s="1242"/>
      <c r="G18" s="1242"/>
      <c r="H18" s="1242"/>
      <c r="I18" s="1242"/>
      <c r="J18" s="5">
        <v>2</v>
      </c>
      <c r="K18" s="1273">
        <v>22908</v>
      </c>
      <c r="L18" s="1242"/>
      <c r="M18" s="133">
        <f t="shared" si="0"/>
        <v>45816</v>
      </c>
      <c r="N18" s="1262" t="s">
        <v>1143</v>
      </c>
      <c r="O18" s="1242"/>
      <c r="P18" s="1242"/>
      <c r="Q18" s="1242"/>
      <c r="R18" s="420" t="s">
        <v>1141</v>
      </c>
    </row>
    <row r="19" spans="2:18" ht="15.75" customHeight="1" x14ac:dyDescent="0.25">
      <c r="B19" s="1299"/>
      <c r="C19" s="1300"/>
      <c r="D19" s="1300"/>
      <c r="E19" s="1242" t="s">
        <v>1144</v>
      </c>
      <c r="F19" s="1242"/>
      <c r="G19" s="1242"/>
      <c r="H19" s="1242"/>
      <c r="I19" s="1242"/>
      <c r="J19" s="5">
        <v>1</v>
      </c>
      <c r="K19" s="1273">
        <v>20825</v>
      </c>
      <c r="L19" s="1242"/>
      <c r="M19" s="133">
        <f t="shared" si="0"/>
        <v>20825</v>
      </c>
      <c r="N19" s="1262" t="s">
        <v>1145</v>
      </c>
      <c r="O19" s="1242"/>
      <c r="P19" s="1242"/>
      <c r="Q19" s="1242"/>
      <c r="R19" s="414" t="s">
        <v>1146</v>
      </c>
    </row>
    <row r="20" spans="2:18" ht="15.75" customHeight="1" x14ac:dyDescent="0.25">
      <c r="B20" s="1299"/>
      <c r="C20" s="1300"/>
      <c r="D20" s="1300"/>
      <c r="E20" s="1242" t="s">
        <v>1147</v>
      </c>
      <c r="F20" s="1242"/>
      <c r="G20" s="1242"/>
      <c r="H20" s="1242"/>
      <c r="I20" s="1242"/>
      <c r="J20" s="5">
        <v>1</v>
      </c>
      <c r="K20" s="1273">
        <v>19159</v>
      </c>
      <c r="L20" s="1242"/>
      <c r="M20" s="133">
        <f t="shared" si="0"/>
        <v>19159</v>
      </c>
      <c r="N20" s="1262" t="s">
        <v>1148</v>
      </c>
      <c r="O20" s="1242"/>
      <c r="P20" s="1242"/>
      <c r="Q20" s="1242"/>
      <c r="R20" s="414" t="s">
        <v>1149</v>
      </c>
    </row>
    <row r="21" spans="2:18" ht="15.75" customHeight="1" x14ac:dyDescent="0.25">
      <c r="B21" s="1299"/>
      <c r="C21" s="1300"/>
      <c r="D21" s="1300"/>
      <c r="E21" s="1242" t="s">
        <v>1150</v>
      </c>
      <c r="F21" s="1242"/>
      <c r="G21" s="1242"/>
      <c r="H21" s="1242"/>
      <c r="I21" s="1242"/>
      <c r="J21" s="5">
        <v>1</v>
      </c>
      <c r="K21" s="1273">
        <v>12495</v>
      </c>
      <c r="L21" s="1242"/>
      <c r="M21" s="133">
        <f t="shared" si="0"/>
        <v>12495</v>
      </c>
      <c r="N21" s="1262" t="s">
        <v>1151</v>
      </c>
      <c r="O21" s="1242"/>
      <c r="P21" s="1242"/>
      <c r="Q21" s="1242"/>
      <c r="R21" s="414" t="s">
        <v>1152</v>
      </c>
    </row>
    <row r="22" spans="2:18" ht="15.75" customHeight="1" x14ac:dyDescent="0.25">
      <c r="B22" s="1299"/>
      <c r="C22" s="1300"/>
      <c r="D22" s="1300"/>
      <c r="E22" s="1242" t="s">
        <v>1153</v>
      </c>
      <c r="F22" s="1242"/>
      <c r="G22" s="1242"/>
      <c r="H22" s="1242"/>
      <c r="I22" s="1242"/>
      <c r="J22" s="5">
        <v>1</v>
      </c>
      <c r="K22" s="1273">
        <v>21658</v>
      </c>
      <c r="L22" s="1242"/>
      <c r="M22" s="133">
        <f t="shared" si="0"/>
        <v>21658</v>
      </c>
      <c r="N22" s="1262" t="s">
        <v>1154</v>
      </c>
      <c r="O22" s="1242"/>
      <c r="P22" s="1242"/>
      <c r="Q22" s="1242"/>
      <c r="R22" s="414" t="s">
        <v>1155</v>
      </c>
    </row>
    <row r="23" spans="2:18" ht="15.75" customHeight="1" x14ac:dyDescent="0.25">
      <c r="B23" s="1299"/>
      <c r="C23" s="1300"/>
      <c r="D23" s="1300"/>
      <c r="E23" s="1242" t="s">
        <v>1418</v>
      </c>
      <c r="F23" s="1242"/>
      <c r="G23" s="1242"/>
      <c r="H23" s="1242"/>
      <c r="I23" s="1242"/>
      <c r="J23" s="5">
        <v>2</v>
      </c>
      <c r="K23" s="1273">
        <v>416900</v>
      </c>
      <c r="L23" s="1242"/>
      <c r="M23" s="133">
        <f t="shared" si="0"/>
        <v>833800</v>
      </c>
      <c r="N23" s="1262" t="s">
        <v>1156</v>
      </c>
      <c r="O23" s="1242"/>
      <c r="P23" s="1242"/>
      <c r="Q23" s="1242"/>
      <c r="R23" s="414" t="s">
        <v>1157</v>
      </c>
    </row>
    <row r="24" spans="2:18" ht="15.75" customHeight="1" x14ac:dyDescent="0.25">
      <c r="B24" s="1299"/>
      <c r="C24" s="1300"/>
      <c r="D24" s="1300"/>
      <c r="E24" s="1242" t="s">
        <v>1158</v>
      </c>
      <c r="F24" s="1242"/>
      <c r="G24" s="1242"/>
      <c r="H24" s="1242"/>
      <c r="I24" s="1242"/>
      <c r="J24" s="5">
        <v>1</v>
      </c>
      <c r="K24" s="1280">
        <v>6600</v>
      </c>
      <c r="L24" s="1280"/>
      <c r="M24" s="133">
        <f t="shared" si="0"/>
        <v>6600</v>
      </c>
      <c r="N24" s="1242" t="s">
        <v>1419</v>
      </c>
      <c r="O24" s="1242"/>
      <c r="P24" s="1242"/>
      <c r="Q24" s="1242"/>
      <c r="R24" s="414" t="s">
        <v>1159</v>
      </c>
    </row>
    <row r="25" spans="2:18" ht="15.75" customHeight="1" x14ac:dyDescent="0.25">
      <c r="B25" s="1299"/>
      <c r="C25" s="1300"/>
      <c r="D25" s="1300"/>
      <c r="E25" s="1242" t="s">
        <v>255</v>
      </c>
      <c r="F25" s="1242"/>
      <c r="G25" s="1242"/>
      <c r="H25" s="1242"/>
      <c r="I25" s="1242"/>
      <c r="J25" s="5">
        <v>2</v>
      </c>
      <c r="K25" s="1273">
        <v>23741</v>
      </c>
      <c r="L25" s="1242"/>
      <c r="M25" s="133">
        <f t="shared" si="0"/>
        <v>47482</v>
      </c>
      <c r="N25" s="1262" t="s">
        <v>1160</v>
      </c>
      <c r="O25" s="1242"/>
      <c r="P25" s="1242"/>
      <c r="Q25" s="1242"/>
      <c r="R25" s="420" t="s">
        <v>1161</v>
      </c>
    </row>
    <row r="26" spans="2:18" ht="15.75" customHeight="1" x14ac:dyDescent="0.25">
      <c r="B26" s="1299"/>
      <c r="C26" s="1300"/>
      <c r="D26" s="1300"/>
      <c r="E26" s="1242" t="s">
        <v>1162</v>
      </c>
      <c r="F26" s="1242"/>
      <c r="G26" s="1242"/>
      <c r="H26" s="1242"/>
      <c r="I26" s="1242"/>
      <c r="J26" s="5">
        <v>1</v>
      </c>
      <c r="K26" s="1273">
        <v>232407</v>
      </c>
      <c r="L26" s="1242"/>
      <c r="M26" s="133">
        <f t="shared" si="0"/>
        <v>232407</v>
      </c>
      <c r="N26" s="1262" t="s">
        <v>1163</v>
      </c>
      <c r="O26" s="1242"/>
      <c r="P26" s="1242"/>
      <c r="Q26" s="1242"/>
      <c r="R26" s="414" t="s">
        <v>1164</v>
      </c>
    </row>
    <row r="27" spans="2:18" ht="15.75" customHeight="1" x14ac:dyDescent="0.25">
      <c r="B27" s="1299"/>
      <c r="C27" s="1300"/>
      <c r="D27" s="1300"/>
      <c r="E27" s="1242" t="s">
        <v>1165</v>
      </c>
      <c r="F27" s="1242"/>
      <c r="G27" s="1242"/>
      <c r="H27" s="1242"/>
      <c r="I27" s="1242"/>
      <c r="J27" s="5">
        <v>2</v>
      </c>
      <c r="K27" s="1273">
        <v>98461</v>
      </c>
      <c r="L27" s="1242"/>
      <c r="M27" s="133">
        <f t="shared" si="0"/>
        <v>196922</v>
      </c>
      <c r="N27" s="1262" t="s">
        <v>1167</v>
      </c>
      <c r="O27" s="1242"/>
      <c r="P27" s="1242"/>
      <c r="Q27" s="1242"/>
      <c r="R27" s="414" t="s">
        <v>1168</v>
      </c>
    </row>
    <row r="28" spans="2:18" ht="15.75" customHeight="1" x14ac:dyDescent="0.25">
      <c r="B28" s="1299"/>
      <c r="C28" s="1300"/>
      <c r="D28" s="1300"/>
      <c r="E28" s="1242" t="s">
        <v>1166</v>
      </c>
      <c r="F28" s="1242"/>
      <c r="G28" s="1242"/>
      <c r="H28" s="1242"/>
      <c r="I28" s="1242"/>
      <c r="J28" s="5">
        <v>2</v>
      </c>
      <c r="K28" s="1273">
        <v>149524</v>
      </c>
      <c r="L28" s="1242"/>
      <c r="M28" s="133">
        <f t="shared" si="0"/>
        <v>299048</v>
      </c>
      <c r="N28" s="1262" t="s">
        <v>1169</v>
      </c>
      <c r="O28" s="1242"/>
      <c r="P28" s="1242"/>
      <c r="Q28" s="1242"/>
      <c r="R28" s="414" t="s">
        <v>1170</v>
      </c>
    </row>
    <row r="29" spans="2:18" ht="15.75" customHeight="1" x14ac:dyDescent="0.25">
      <c r="B29" s="1299"/>
      <c r="C29" s="1300"/>
      <c r="D29" s="1300"/>
      <c r="E29" s="1242" t="s">
        <v>1420</v>
      </c>
      <c r="F29" s="1242"/>
      <c r="G29" s="1242"/>
      <c r="H29" s="1242"/>
      <c r="I29" s="1242"/>
      <c r="J29" s="5">
        <v>1</v>
      </c>
      <c r="K29" s="1273">
        <v>369852</v>
      </c>
      <c r="L29" s="1242"/>
      <c r="M29" s="133">
        <f t="shared" si="0"/>
        <v>369852</v>
      </c>
      <c r="N29" s="1262" t="s">
        <v>1171</v>
      </c>
      <c r="O29" s="1242"/>
      <c r="P29" s="1242"/>
      <c r="Q29" s="1242"/>
      <c r="R29" s="414" t="s">
        <v>1172</v>
      </c>
    </row>
    <row r="30" spans="2:18" ht="15.75" customHeight="1" x14ac:dyDescent="0.25">
      <c r="B30" s="1299"/>
      <c r="C30" s="1300"/>
      <c r="D30" s="1300"/>
      <c r="E30" s="1242" t="s">
        <v>1173</v>
      </c>
      <c r="F30" s="1242"/>
      <c r="G30" s="1242"/>
      <c r="H30" s="1242"/>
      <c r="I30" s="1242"/>
      <c r="J30" s="5">
        <v>4</v>
      </c>
      <c r="K30" s="1273">
        <v>106208</v>
      </c>
      <c r="L30" s="1242"/>
      <c r="M30" s="133">
        <f t="shared" si="0"/>
        <v>424832</v>
      </c>
      <c r="N30" s="1262" t="s">
        <v>1174</v>
      </c>
      <c r="O30" s="1242"/>
      <c r="P30" s="1242"/>
      <c r="Q30" s="1242"/>
      <c r="R30" s="414" t="s">
        <v>1175</v>
      </c>
    </row>
    <row r="31" spans="2:18" ht="15.75" customHeight="1" x14ac:dyDescent="0.25">
      <c r="B31" s="1299"/>
      <c r="C31" s="1300"/>
      <c r="D31" s="1300"/>
      <c r="E31" s="1242" t="s">
        <v>1176</v>
      </c>
      <c r="F31" s="1242"/>
      <c r="G31" s="1242"/>
      <c r="H31" s="1242"/>
      <c r="I31" s="1242"/>
      <c r="J31" s="5">
        <v>8</v>
      </c>
      <c r="K31" s="1273">
        <v>43316</v>
      </c>
      <c r="L31" s="1242"/>
      <c r="M31" s="133">
        <f t="shared" si="0"/>
        <v>346528</v>
      </c>
      <c r="N31" s="1262" t="s">
        <v>1177</v>
      </c>
      <c r="O31" s="1242"/>
      <c r="P31" s="1242"/>
      <c r="Q31" s="1242"/>
      <c r="R31" s="414" t="s">
        <v>1178</v>
      </c>
    </row>
    <row r="32" spans="2:18" ht="15.75" customHeight="1" x14ac:dyDescent="0.25">
      <c r="B32" s="1299"/>
      <c r="C32" s="1300"/>
      <c r="D32" s="1300"/>
      <c r="E32" s="1242" t="s">
        <v>1179</v>
      </c>
      <c r="F32" s="1242"/>
      <c r="G32" s="1242"/>
      <c r="H32" s="1242"/>
      <c r="I32" s="1242"/>
      <c r="J32" s="5">
        <v>8</v>
      </c>
      <c r="K32" s="1273">
        <v>22908</v>
      </c>
      <c r="L32" s="1242"/>
      <c r="M32" s="133">
        <f t="shared" si="0"/>
        <v>183264</v>
      </c>
      <c r="N32" s="1262" t="s">
        <v>1181</v>
      </c>
      <c r="O32" s="1242"/>
      <c r="P32" s="1242"/>
      <c r="Q32" s="1242"/>
      <c r="R32" s="414" t="s">
        <v>1180</v>
      </c>
    </row>
    <row r="33" spans="2:18" ht="15.75" customHeight="1" x14ac:dyDescent="0.25">
      <c r="B33" s="1299"/>
      <c r="C33" s="1300"/>
      <c r="D33" s="1300"/>
      <c r="E33" s="1242" t="s">
        <v>1182</v>
      </c>
      <c r="F33" s="1242"/>
      <c r="G33" s="1242"/>
      <c r="H33" s="1242"/>
      <c r="I33" s="1242"/>
      <c r="J33" s="5">
        <v>4</v>
      </c>
      <c r="K33" s="1273">
        <v>29572</v>
      </c>
      <c r="L33" s="1242"/>
      <c r="M33" s="133">
        <f t="shared" si="0"/>
        <v>118288</v>
      </c>
      <c r="N33" s="1262" t="s">
        <v>1185</v>
      </c>
      <c r="O33" s="1242"/>
      <c r="P33" s="1242"/>
      <c r="Q33" s="1242"/>
      <c r="R33" s="414" t="s">
        <v>1186</v>
      </c>
    </row>
    <row r="34" spans="2:18" ht="15.75" customHeight="1" x14ac:dyDescent="0.25">
      <c r="B34" s="1299"/>
      <c r="C34" s="1300"/>
      <c r="D34" s="1300"/>
      <c r="E34" s="1242" t="s">
        <v>1183</v>
      </c>
      <c r="F34" s="1242"/>
      <c r="G34" s="1242"/>
      <c r="H34" s="1242"/>
      <c r="I34" s="1242"/>
      <c r="J34" s="5">
        <v>8</v>
      </c>
      <c r="K34" s="1273">
        <v>14161</v>
      </c>
      <c r="L34" s="1242"/>
      <c r="M34" s="133">
        <f t="shared" si="0"/>
        <v>113288</v>
      </c>
      <c r="N34" s="1262" t="s">
        <v>1187</v>
      </c>
      <c r="O34" s="1242"/>
      <c r="P34" s="1242"/>
      <c r="Q34" s="1242"/>
      <c r="R34" s="414" t="s">
        <v>1188</v>
      </c>
    </row>
    <row r="35" spans="2:18" ht="15.75" customHeight="1" x14ac:dyDescent="0.25">
      <c r="B35" s="1299"/>
      <c r="C35" s="1300"/>
      <c r="D35" s="1300"/>
      <c r="E35" s="1242" t="s">
        <v>1184</v>
      </c>
      <c r="F35" s="1242"/>
      <c r="G35" s="1242"/>
      <c r="H35" s="1242"/>
      <c r="I35" s="1242"/>
      <c r="J35" s="5">
        <v>8</v>
      </c>
      <c r="K35" s="1273">
        <v>8747</v>
      </c>
      <c r="L35" s="1242"/>
      <c r="M35" s="133">
        <f t="shared" si="0"/>
        <v>69976</v>
      </c>
      <c r="N35" s="1262" t="s">
        <v>1190</v>
      </c>
      <c r="O35" s="1242"/>
      <c r="P35" s="1242"/>
      <c r="Q35" s="1242"/>
      <c r="R35" s="414" t="s">
        <v>1189</v>
      </c>
    </row>
    <row r="36" spans="2:18" ht="15.75" customHeight="1" x14ac:dyDescent="0.25">
      <c r="B36" s="1299"/>
      <c r="C36" s="1300"/>
      <c r="D36" s="1300"/>
      <c r="E36" s="1242" t="s">
        <v>1937</v>
      </c>
      <c r="F36" s="1242"/>
      <c r="G36" s="1242"/>
      <c r="H36" s="1242"/>
      <c r="I36" s="1242"/>
      <c r="J36" s="5">
        <v>10</v>
      </c>
      <c r="K36" s="1264">
        <v>35900</v>
      </c>
      <c r="L36" s="1265"/>
      <c r="M36" s="133">
        <f t="shared" si="0"/>
        <v>359000</v>
      </c>
      <c r="N36" s="1274" t="s">
        <v>1421</v>
      </c>
      <c r="O36" s="1275"/>
      <c r="P36" s="1275"/>
      <c r="Q36" s="1276"/>
      <c r="R36" s="420" t="s">
        <v>1422</v>
      </c>
    </row>
    <row r="37" spans="2:18" ht="15.75" customHeight="1" x14ac:dyDescent="0.25">
      <c r="B37" s="1299"/>
      <c r="C37" s="1300"/>
      <c r="D37" s="1300"/>
      <c r="E37" s="1242" t="s">
        <v>1938</v>
      </c>
      <c r="F37" s="1242"/>
      <c r="G37" s="1242"/>
      <c r="H37" s="1242"/>
      <c r="I37" s="1242"/>
      <c r="J37" s="5">
        <v>10</v>
      </c>
      <c r="K37" s="1264">
        <v>23900</v>
      </c>
      <c r="L37" s="1265"/>
      <c r="M37" s="133">
        <f t="shared" si="0"/>
        <v>239000</v>
      </c>
      <c r="N37" s="1254" t="s">
        <v>1423</v>
      </c>
      <c r="O37" s="1255"/>
      <c r="P37" s="1255"/>
      <c r="Q37" s="1256"/>
      <c r="R37" s="420" t="s">
        <v>1424</v>
      </c>
    </row>
    <row r="38" spans="2:18" ht="15.75" customHeight="1" x14ac:dyDescent="0.25">
      <c r="B38" s="1299"/>
      <c r="C38" s="1300"/>
      <c r="D38" s="1300"/>
      <c r="E38" s="1242" t="s">
        <v>1939</v>
      </c>
      <c r="F38" s="1242"/>
      <c r="G38" s="1242"/>
      <c r="H38" s="1242"/>
      <c r="I38" s="1242"/>
      <c r="J38" s="5">
        <v>10</v>
      </c>
      <c r="K38" s="1273">
        <v>22900</v>
      </c>
      <c r="L38" s="1242"/>
      <c r="M38" s="133">
        <f t="shared" si="0"/>
        <v>229000</v>
      </c>
      <c r="N38" s="1262" t="s">
        <v>1425</v>
      </c>
      <c r="O38" s="1242"/>
      <c r="P38" s="1242"/>
      <c r="Q38" s="1242"/>
      <c r="R38" s="420" t="s">
        <v>1426</v>
      </c>
    </row>
    <row r="39" spans="2:18" ht="15.75" customHeight="1" x14ac:dyDescent="0.25">
      <c r="B39" s="1299"/>
      <c r="C39" s="1300"/>
      <c r="D39" s="1300"/>
      <c r="E39" s="1242" t="s">
        <v>1191</v>
      </c>
      <c r="F39" s="1242"/>
      <c r="G39" s="1242"/>
      <c r="H39" s="1242"/>
      <c r="I39" s="1242"/>
      <c r="J39" s="5">
        <v>2</v>
      </c>
      <c r="K39" s="1273">
        <v>19576</v>
      </c>
      <c r="L39" s="1242"/>
      <c r="M39" s="133">
        <f t="shared" si="0"/>
        <v>39152</v>
      </c>
      <c r="N39" s="1262" t="s">
        <v>1192</v>
      </c>
      <c r="O39" s="1242"/>
      <c r="P39" s="1242"/>
      <c r="Q39" s="1242"/>
      <c r="R39" s="420" t="s">
        <v>1193</v>
      </c>
    </row>
    <row r="40" spans="2:18" ht="15.75" customHeight="1" x14ac:dyDescent="0.25">
      <c r="B40" s="1299"/>
      <c r="C40" s="1300"/>
      <c r="D40" s="1300"/>
      <c r="E40" s="1242" t="s">
        <v>1194</v>
      </c>
      <c r="F40" s="1242"/>
      <c r="G40" s="1242"/>
      <c r="H40" s="1242"/>
      <c r="I40" s="1242"/>
      <c r="J40" s="5">
        <v>2</v>
      </c>
      <c r="K40" s="1273">
        <v>5831</v>
      </c>
      <c r="L40" s="1242"/>
      <c r="M40" s="133">
        <f t="shared" si="0"/>
        <v>11662</v>
      </c>
      <c r="N40" s="1262" t="s">
        <v>1195</v>
      </c>
      <c r="O40" s="1242"/>
      <c r="P40" s="1242"/>
      <c r="Q40" s="1242"/>
      <c r="R40" s="414" t="s">
        <v>1196</v>
      </c>
    </row>
    <row r="41" spans="2:18" ht="15.75" customHeight="1" x14ac:dyDescent="0.25">
      <c r="B41" s="1299"/>
      <c r="C41" s="1300"/>
      <c r="D41" s="1300"/>
      <c r="E41" s="1249" t="s">
        <v>1427</v>
      </c>
      <c r="F41" s="1250"/>
      <c r="G41" s="1250"/>
      <c r="H41" s="1250"/>
      <c r="I41" s="1251"/>
      <c r="J41" s="5">
        <v>30</v>
      </c>
      <c r="K41" s="1257">
        <v>4500</v>
      </c>
      <c r="L41" s="1258"/>
      <c r="M41" s="133">
        <f t="shared" si="0"/>
        <v>135000</v>
      </c>
      <c r="N41" s="1274" t="s">
        <v>1428</v>
      </c>
      <c r="O41" s="1275"/>
      <c r="P41" s="1275"/>
      <c r="Q41" s="1276"/>
      <c r="R41" s="414" t="s">
        <v>1429</v>
      </c>
    </row>
    <row r="42" spans="2:18" ht="15.75" customHeight="1" x14ac:dyDescent="0.25">
      <c r="B42" s="1299"/>
      <c r="C42" s="1300"/>
      <c r="D42" s="1300"/>
      <c r="E42" s="1242" t="s">
        <v>1197</v>
      </c>
      <c r="F42" s="1242"/>
      <c r="G42" s="1242"/>
      <c r="H42" s="1242"/>
      <c r="I42" s="1242"/>
      <c r="J42" s="5">
        <v>4</v>
      </c>
      <c r="K42" s="1273">
        <v>49564</v>
      </c>
      <c r="L42" s="1242"/>
      <c r="M42" s="133">
        <f t="shared" si="0"/>
        <v>198256</v>
      </c>
      <c r="N42" s="1262" t="s">
        <v>1198</v>
      </c>
      <c r="O42" s="1242"/>
      <c r="P42" s="1242"/>
      <c r="Q42" s="1242"/>
      <c r="R42" s="420" t="s">
        <v>1199</v>
      </c>
    </row>
    <row r="43" spans="2:18" ht="15.75" customHeight="1" x14ac:dyDescent="0.25">
      <c r="B43" s="1299"/>
      <c r="C43" s="1300"/>
      <c r="D43" s="1300"/>
      <c r="E43" s="1242" t="s">
        <v>1200</v>
      </c>
      <c r="F43" s="1242"/>
      <c r="G43" s="1242"/>
      <c r="H43" s="1242"/>
      <c r="I43" s="1242"/>
      <c r="J43" s="5">
        <v>3</v>
      </c>
      <c r="K43" s="1277">
        <v>27489</v>
      </c>
      <c r="L43" s="1277"/>
      <c r="M43" s="133">
        <f t="shared" si="0"/>
        <v>82467</v>
      </c>
      <c r="N43" s="1262" t="s">
        <v>1201</v>
      </c>
      <c r="O43" s="1242"/>
      <c r="P43" s="1242"/>
      <c r="Q43" s="1242"/>
      <c r="R43" s="420" t="s">
        <v>1202</v>
      </c>
    </row>
    <row r="44" spans="2:18" ht="15.75" customHeight="1" x14ac:dyDescent="0.25">
      <c r="B44" s="1299"/>
      <c r="C44" s="1300"/>
      <c r="D44" s="1300"/>
      <c r="E44" s="1242" t="s">
        <v>1430</v>
      </c>
      <c r="F44" s="1242"/>
      <c r="G44" s="1242"/>
      <c r="H44" s="1242"/>
      <c r="I44" s="1242"/>
      <c r="J44" s="5">
        <v>2</v>
      </c>
      <c r="K44" s="1273">
        <v>32900</v>
      </c>
      <c r="L44" s="1242"/>
      <c r="M44" s="133">
        <f t="shared" si="0"/>
        <v>65800</v>
      </c>
      <c r="N44" s="1262" t="s">
        <v>1431</v>
      </c>
      <c r="O44" s="1242"/>
      <c r="P44" s="1242"/>
      <c r="Q44" s="1242"/>
      <c r="R44" s="420" t="s">
        <v>1432</v>
      </c>
    </row>
    <row r="45" spans="2:18" ht="15.75" customHeight="1" x14ac:dyDescent="0.25">
      <c r="B45" s="1299"/>
      <c r="C45" s="1300"/>
      <c r="D45" s="1300"/>
      <c r="E45" s="1242" t="s">
        <v>1203</v>
      </c>
      <c r="F45" s="1242"/>
      <c r="G45" s="1242"/>
      <c r="H45" s="1242"/>
      <c r="I45" s="1242"/>
      <c r="J45" s="5">
        <v>4</v>
      </c>
      <c r="K45" s="1273">
        <v>61226</v>
      </c>
      <c r="L45" s="1242"/>
      <c r="M45" s="133">
        <f t="shared" si="0"/>
        <v>244904</v>
      </c>
      <c r="N45" s="1262" t="s">
        <v>1204</v>
      </c>
      <c r="O45" s="1242"/>
      <c r="P45" s="1242"/>
      <c r="Q45" s="1242"/>
      <c r="R45" s="420" t="s">
        <v>1205</v>
      </c>
    </row>
    <row r="46" spans="2:18" ht="15.75" customHeight="1" x14ac:dyDescent="0.25">
      <c r="B46" s="1299"/>
      <c r="C46" s="1300"/>
      <c r="D46" s="1300"/>
      <c r="E46" s="1242" t="s">
        <v>1433</v>
      </c>
      <c r="F46" s="1242"/>
      <c r="G46" s="1242"/>
      <c r="H46" s="1242"/>
      <c r="I46" s="1242"/>
      <c r="J46" s="5">
        <v>5</v>
      </c>
      <c r="K46" s="1273">
        <v>17493</v>
      </c>
      <c r="L46" s="1242"/>
      <c r="M46" s="133">
        <f t="shared" si="0"/>
        <v>87465</v>
      </c>
      <c r="N46" s="1262" t="s">
        <v>1206</v>
      </c>
      <c r="O46" s="1242"/>
      <c r="P46" s="1242"/>
      <c r="Q46" s="1242"/>
      <c r="R46" s="420" t="s">
        <v>1207</v>
      </c>
    </row>
    <row r="47" spans="2:18" ht="15.75" customHeight="1" x14ac:dyDescent="0.25">
      <c r="B47" s="1299"/>
      <c r="C47" s="1300"/>
      <c r="D47" s="1300"/>
      <c r="E47" s="1242" t="s">
        <v>1434</v>
      </c>
      <c r="F47" s="1242"/>
      <c r="G47" s="1242"/>
      <c r="H47" s="1242"/>
      <c r="I47" s="1242"/>
      <c r="J47" s="5">
        <v>4</v>
      </c>
      <c r="K47" s="1273">
        <v>7735</v>
      </c>
      <c r="L47" s="1242"/>
      <c r="M47" s="133">
        <f t="shared" si="0"/>
        <v>30940</v>
      </c>
      <c r="N47" s="1242" t="s">
        <v>1208</v>
      </c>
      <c r="O47" s="1242"/>
      <c r="P47" s="1242"/>
      <c r="Q47" s="1242"/>
      <c r="R47" s="420" t="s">
        <v>1209</v>
      </c>
    </row>
    <row r="48" spans="2:18" ht="15.75" customHeight="1" x14ac:dyDescent="0.25">
      <c r="B48" s="1299"/>
      <c r="C48" s="1300"/>
      <c r="D48" s="1300"/>
      <c r="E48" s="1242" t="s">
        <v>1941</v>
      </c>
      <c r="F48" s="1242"/>
      <c r="G48" s="1242"/>
      <c r="H48" s="1242"/>
      <c r="I48" s="1242"/>
      <c r="J48" s="5">
        <v>15</v>
      </c>
      <c r="K48" s="1273">
        <v>49564</v>
      </c>
      <c r="L48" s="1242"/>
      <c r="M48" s="133">
        <f t="shared" si="0"/>
        <v>743460</v>
      </c>
      <c r="N48" s="1242" t="s">
        <v>1211</v>
      </c>
      <c r="O48" s="1242"/>
      <c r="P48" s="1242"/>
      <c r="Q48" s="1242"/>
      <c r="R48" s="421" t="s">
        <v>1210</v>
      </c>
    </row>
    <row r="49" spans="2:18" ht="15.75" customHeight="1" x14ac:dyDescent="0.25">
      <c r="B49" s="1299"/>
      <c r="C49" s="1300"/>
      <c r="D49" s="1300"/>
      <c r="E49" s="1270" t="s">
        <v>1674</v>
      </c>
      <c r="F49" s="1271"/>
      <c r="G49" s="1271"/>
      <c r="H49" s="1271"/>
      <c r="I49" s="1272"/>
      <c r="J49" s="304">
        <v>10</v>
      </c>
      <c r="K49" s="1278">
        <v>56228</v>
      </c>
      <c r="L49" s="1279"/>
      <c r="M49" s="306">
        <f t="shared" si="0"/>
        <v>562280</v>
      </c>
      <c r="N49" s="1243" t="s">
        <v>1212</v>
      </c>
      <c r="O49" s="1244"/>
      <c r="P49" s="1244"/>
      <c r="Q49" s="1245"/>
      <c r="R49" s="422" t="s">
        <v>1213</v>
      </c>
    </row>
    <row r="50" spans="2:18" ht="15.75" customHeight="1" x14ac:dyDescent="0.25">
      <c r="B50" s="1299"/>
      <c r="C50" s="1300"/>
      <c r="D50" s="1300"/>
      <c r="E50" s="1259" t="s">
        <v>1435</v>
      </c>
      <c r="F50" s="1260"/>
      <c r="G50" s="1260"/>
      <c r="H50" s="1260"/>
      <c r="I50" s="1261"/>
      <c r="J50" s="5">
        <v>8</v>
      </c>
      <c r="K50" s="1264">
        <v>5800</v>
      </c>
      <c r="L50" s="1265"/>
      <c r="M50" s="133">
        <f t="shared" si="0"/>
        <v>46400</v>
      </c>
      <c r="N50" s="1246" t="s">
        <v>1214</v>
      </c>
      <c r="O50" s="1247"/>
      <c r="P50" s="1247"/>
      <c r="Q50" s="1248"/>
      <c r="R50" s="420" t="s">
        <v>1436</v>
      </c>
    </row>
    <row r="51" spans="2:18" ht="15.75" customHeight="1" x14ac:dyDescent="0.25">
      <c r="B51" s="1299"/>
      <c r="C51" s="1300"/>
      <c r="D51" s="1300"/>
      <c r="E51" s="1249" t="s">
        <v>1437</v>
      </c>
      <c r="F51" s="1250"/>
      <c r="G51" s="1250"/>
      <c r="H51" s="1250"/>
      <c r="I51" s="1251"/>
      <c r="J51" s="5">
        <v>30</v>
      </c>
      <c r="K51" s="1264">
        <v>3749</v>
      </c>
      <c r="L51" s="1265"/>
      <c r="M51" s="133">
        <f t="shared" si="0"/>
        <v>112470</v>
      </c>
      <c r="N51" s="1274" t="s">
        <v>1438</v>
      </c>
      <c r="O51" s="1275"/>
      <c r="P51" s="1275"/>
      <c r="Q51" s="1276"/>
      <c r="R51" s="420" t="s">
        <v>1439</v>
      </c>
    </row>
    <row r="52" spans="2:18" ht="15.75" customHeight="1" x14ac:dyDescent="0.25">
      <c r="B52" s="1299"/>
      <c r="C52" s="1300"/>
      <c r="D52" s="1300"/>
      <c r="E52" s="1259" t="s">
        <v>1940</v>
      </c>
      <c r="F52" s="1260"/>
      <c r="G52" s="1260"/>
      <c r="H52" s="1260"/>
      <c r="I52" s="1261"/>
      <c r="J52" s="5">
        <v>20</v>
      </c>
      <c r="K52" s="1264">
        <v>4165</v>
      </c>
      <c r="L52" s="1265"/>
      <c r="M52" s="133">
        <f t="shared" si="0"/>
        <v>83300</v>
      </c>
      <c r="N52" s="1246" t="s">
        <v>1221</v>
      </c>
      <c r="O52" s="1247"/>
      <c r="P52" s="1247"/>
      <c r="Q52" s="1248"/>
      <c r="R52" s="414" t="s">
        <v>1222</v>
      </c>
    </row>
    <row r="53" spans="2:18" ht="15.75" customHeight="1" x14ac:dyDescent="0.25">
      <c r="B53" s="1299"/>
      <c r="C53" s="1300"/>
      <c r="D53" s="1300"/>
      <c r="E53" s="1259" t="s">
        <v>1216</v>
      </c>
      <c r="F53" s="1260"/>
      <c r="G53" s="1260"/>
      <c r="H53" s="1260"/>
      <c r="I53" s="1261"/>
      <c r="J53" s="5">
        <v>4</v>
      </c>
      <c r="K53" s="1264">
        <v>75803</v>
      </c>
      <c r="L53" s="1265"/>
      <c r="M53" s="133">
        <f t="shared" si="0"/>
        <v>303212</v>
      </c>
      <c r="N53" s="1246" t="s">
        <v>1217</v>
      </c>
      <c r="O53" s="1247"/>
      <c r="P53" s="1247"/>
      <c r="Q53" s="1248"/>
      <c r="R53" s="420" t="s">
        <v>1215</v>
      </c>
    </row>
    <row r="54" spans="2:18" ht="15.75" customHeight="1" x14ac:dyDescent="0.25">
      <c r="B54" s="1299"/>
      <c r="C54" s="1300"/>
      <c r="D54" s="1300"/>
      <c r="E54" s="1259" t="s">
        <v>1218</v>
      </c>
      <c r="F54" s="1260"/>
      <c r="G54" s="1260"/>
      <c r="H54" s="1260"/>
      <c r="I54" s="1261"/>
      <c r="J54" s="5">
        <v>2</v>
      </c>
      <c r="K54" s="1264">
        <v>307377</v>
      </c>
      <c r="L54" s="1265"/>
      <c r="M54" s="133">
        <f t="shared" si="0"/>
        <v>614754</v>
      </c>
      <c r="N54" s="1246" t="s">
        <v>1219</v>
      </c>
      <c r="O54" s="1247"/>
      <c r="P54" s="1247"/>
      <c r="Q54" s="1248"/>
      <c r="R54" s="414" t="s">
        <v>1220</v>
      </c>
    </row>
    <row r="55" spans="2:18" ht="15.75" customHeight="1" x14ac:dyDescent="0.25">
      <c r="B55" s="1299"/>
      <c r="C55" s="1300"/>
      <c r="D55" s="1300"/>
      <c r="E55" s="1259" t="s">
        <v>1223</v>
      </c>
      <c r="F55" s="1260"/>
      <c r="G55" s="1260"/>
      <c r="H55" s="1260"/>
      <c r="I55" s="1261"/>
      <c r="J55" s="5">
        <v>2</v>
      </c>
      <c r="K55" s="1264">
        <v>46232</v>
      </c>
      <c r="L55" s="1265"/>
      <c r="M55" s="133">
        <f t="shared" si="0"/>
        <v>92464</v>
      </c>
      <c r="N55" s="1246" t="s">
        <v>1440</v>
      </c>
      <c r="O55" s="1247"/>
      <c r="P55" s="1247"/>
      <c r="Q55" s="1248"/>
      <c r="R55" s="420" t="s">
        <v>1441</v>
      </c>
    </row>
    <row r="56" spans="2:18" ht="15.75" customHeight="1" x14ac:dyDescent="0.25">
      <c r="B56" s="1299"/>
      <c r="C56" s="1300"/>
      <c r="D56" s="1300"/>
      <c r="E56" s="1259" t="s">
        <v>1442</v>
      </c>
      <c r="F56" s="1260"/>
      <c r="G56" s="1260"/>
      <c r="H56" s="1260"/>
      <c r="I56" s="1261"/>
      <c r="J56" s="5">
        <v>2</v>
      </c>
      <c r="K56" s="1264">
        <v>15411</v>
      </c>
      <c r="L56" s="1265"/>
      <c r="M56" s="133">
        <f t="shared" si="0"/>
        <v>30822</v>
      </c>
      <c r="N56" s="1246" t="s">
        <v>1443</v>
      </c>
      <c r="O56" s="1247"/>
      <c r="P56" s="1247"/>
      <c r="Q56" s="1248"/>
      <c r="R56" s="420" t="s">
        <v>1444</v>
      </c>
    </row>
    <row r="57" spans="2:18" ht="15.75" customHeight="1" x14ac:dyDescent="0.25">
      <c r="B57" s="1299"/>
      <c r="C57" s="1300"/>
      <c r="D57" s="1300"/>
      <c r="E57" s="1259" t="s">
        <v>1445</v>
      </c>
      <c r="F57" s="1260"/>
      <c r="G57" s="1260"/>
      <c r="H57" s="1260"/>
      <c r="I57" s="1261"/>
      <c r="J57" s="5">
        <v>1</v>
      </c>
      <c r="K57" s="1264">
        <v>300000</v>
      </c>
      <c r="L57" s="1265"/>
      <c r="M57" s="133">
        <f t="shared" si="0"/>
        <v>300000</v>
      </c>
      <c r="N57" s="1246" t="s">
        <v>1446</v>
      </c>
      <c r="O57" s="1247"/>
      <c r="P57" s="1247"/>
      <c r="Q57" s="1248"/>
      <c r="R57" s="420" t="s">
        <v>1447</v>
      </c>
    </row>
    <row r="58" spans="2:18" ht="15.75" customHeight="1" x14ac:dyDescent="0.25">
      <c r="B58" s="1299"/>
      <c r="C58" s="1300"/>
      <c r="D58" s="1300"/>
      <c r="E58" s="1249" t="s">
        <v>1891</v>
      </c>
      <c r="F58" s="1250"/>
      <c r="G58" s="1250"/>
      <c r="H58" s="1250"/>
      <c r="I58" s="1251"/>
      <c r="J58" s="508">
        <v>1</v>
      </c>
      <c r="K58" s="1257">
        <v>29900</v>
      </c>
      <c r="L58" s="1258"/>
      <c r="M58" s="511">
        <f t="shared" si="0"/>
        <v>29900</v>
      </c>
      <c r="N58" s="1274" t="s">
        <v>1893</v>
      </c>
      <c r="O58" s="1275"/>
      <c r="P58" s="1275"/>
      <c r="Q58" s="1276"/>
      <c r="R58" s="420" t="s">
        <v>1892</v>
      </c>
    </row>
    <row r="59" spans="2:18" ht="15.75" customHeight="1" x14ac:dyDescent="0.25">
      <c r="B59" s="1299"/>
      <c r="C59" s="1300"/>
      <c r="D59" s="1300"/>
      <c r="E59" s="1259" t="s">
        <v>182</v>
      </c>
      <c r="F59" s="1260"/>
      <c r="G59" s="1260"/>
      <c r="H59" s="1260"/>
      <c r="I59" s="1261"/>
      <c r="J59" s="5">
        <v>1</v>
      </c>
      <c r="K59" s="1264">
        <v>289900</v>
      </c>
      <c r="L59" s="1265"/>
      <c r="M59" s="133">
        <f t="shared" si="0"/>
        <v>289900</v>
      </c>
      <c r="N59" s="1246" t="s">
        <v>1224</v>
      </c>
      <c r="O59" s="1247"/>
      <c r="P59" s="1247"/>
      <c r="Q59" s="1248"/>
      <c r="R59" s="414" t="s">
        <v>1225</v>
      </c>
    </row>
    <row r="60" spans="2:18" ht="15.75" customHeight="1" x14ac:dyDescent="0.25">
      <c r="B60" s="1299"/>
      <c r="C60" s="1300"/>
      <c r="D60" s="1300"/>
      <c r="E60" s="1259" t="s">
        <v>1226</v>
      </c>
      <c r="F60" s="1260"/>
      <c r="G60" s="1260"/>
      <c r="H60" s="1260"/>
      <c r="I60" s="1261"/>
      <c r="J60" s="5">
        <v>1</v>
      </c>
      <c r="K60" s="1264">
        <v>297900</v>
      </c>
      <c r="L60" s="1265"/>
      <c r="M60" s="133">
        <f t="shared" si="0"/>
        <v>297900</v>
      </c>
      <c r="N60" s="1246" t="s">
        <v>1227</v>
      </c>
      <c r="O60" s="1247"/>
      <c r="P60" s="1247"/>
      <c r="Q60" s="1248"/>
      <c r="R60" s="414" t="s">
        <v>1228</v>
      </c>
    </row>
    <row r="61" spans="2:18" ht="15.75" customHeight="1" x14ac:dyDescent="0.25">
      <c r="B61" s="1299"/>
      <c r="C61" s="1300"/>
      <c r="D61" s="1300"/>
      <c r="E61" s="1259" t="s">
        <v>1229</v>
      </c>
      <c r="F61" s="1260"/>
      <c r="G61" s="1260"/>
      <c r="H61" s="1260"/>
      <c r="I61" s="1261"/>
      <c r="J61" s="5">
        <v>1</v>
      </c>
      <c r="K61" s="1264">
        <v>278900</v>
      </c>
      <c r="L61" s="1265"/>
      <c r="M61" s="133">
        <f t="shared" si="0"/>
        <v>278900</v>
      </c>
      <c r="N61" s="1246" t="s">
        <v>1230</v>
      </c>
      <c r="O61" s="1247"/>
      <c r="P61" s="1247"/>
      <c r="Q61" s="1248"/>
      <c r="R61" s="414" t="s">
        <v>1231</v>
      </c>
    </row>
    <row r="62" spans="2:18" ht="15.75" customHeight="1" x14ac:dyDescent="0.25">
      <c r="B62" s="1299"/>
      <c r="C62" s="1300"/>
      <c r="D62" s="1300"/>
      <c r="E62" s="1259" t="s">
        <v>1232</v>
      </c>
      <c r="F62" s="1260"/>
      <c r="G62" s="1260"/>
      <c r="H62" s="1260"/>
      <c r="I62" s="1261"/>
      <c r="J62" s="5">
        <v>1</v>
      </c>
      <c r="K62" s="1264">
        <v>54900</v>
      </c>
      <c r="L62" s="1265"/>
      <c r="M62" s="133">
        <f t="shared" si="0"/>
        <v>54900</v>
      </c>
      <c r="N62" s="1246" t="s">
        <v>1233</v>
      </c>
      <c r="O62" s="1247"/>
      <c r="P62" s="1247"/>
      <c r="Q62" s="1248"/>
      <c r="R62" s="414" t="s">
        <v>1234</v>
      </c>
    </row>
    <row r="63" spans="2:18" ht="15.75" customHeight="1" x14ac:dyDescent="0.25">
      <c r="B63" s="1299"/>
      <c r="C63" s="1300"/>
      <c r="D63" s="1300"/>
      <c r="E63" s="1259" t="s">
        <v>1448</v>
      </c>
      <c r="F63" s="1260"/>
      <c r="G63" s="1260"/>
      <c r="H63" s="1260"/>
      <c r="I63" s="1261"/>
      <c r="J63" s="5">
        <v>2</v>
      </c>
      <c r="K63" s="1264">
        <v>69900</v>
      </c>
      <c r="L63" s="1265"/>
      <c r="M63" s="133">
        <f t="shared" si="0"/>
        <v>139800</v>
      </c>
      <c r="N63" s="1246" t="s">
        <v>1235</v>
      </c>
      <c r="O63" s="1247"/>
      <c r="P63" s="1247"/>
      <c r="Q63" s="1248"/>
      <c r="R63" s="420" t="s">
        <v>1236</v>
      </c>
    </row>
    <row r="64" spans="2:18" ht="15.75" customHeight="1" x14ac:dyDescent="0.25">
      <c r="B64" s="1299"/>
      <c r="C64" s="1300"/>
      <c r="D64" s="1300"/>
      <c r="E64" s="1259" t="s">
        <v>1237</v>
      </c>
      <c r="F64" s="1260"/>
      <c r="G64" s="1260"/>
      <c r="H64" s="1260"/>
      <c r="I64" s="1261"/>
      <c r="J64" s="5">
        <v>2</v>
      </c>
      <c r="K64" s="1264">
        <v>89900</v>
      </c>
      <c r="L64" s="1265"/>
      <c r="M64" s="133">
        <f t="shared" si="0"/>
        <v>179800</v>
      </c>
      <c r="N64" s="1246" t="s">
        <v>1238</v>
      </c>
      <c r="O64" s="1247"/>
      <c r="P64" s="1247"/>
      <c r="Q64" s="1248"/>
      <c r="R64" s="414" t="s">
        <v>1239</v>
      </c>
    </row>
    <row r="65" spans="2:18" ht="15.75" customHeight="1" x14ac:dyDescent="0.25">
      <c r="B65" s="1299"/>
      <c r="C65" s="1300"/>
      <c r="D65" s="1300"/>
      <c r="E65" s="1259" t="s">
        <v>1241</v>
      </c>
      <c r="F65" s="1260"/>
      <c r="G65" s="1260"/>
      <c r="H65" s="1260"/>
      <c r="I65" s="1261"/>
      <c r="J65" s="5">
        <v>1</v>
      </c>
      <c r="K65" s="1264">
        <v>1338661</v>
      </c>
      <c r="L65" s="1265"/>
      <c r="M65" s="133">
        <f t="shared" si="0"/>
        <v>1338661</v>
      </c>
      <c r="N65" s="1246" t="s">
        <v>1248</v>
      </c>
      <c r="O65" s="1247"/>
      <c r="P65" s="1247"/>
      <c r="Q65" s="1248"/>
      <c r="R65" s="414" t="s">
        <v>1249</v>
      </c>
    </row>
    <row r="66" spans="2:18" ht="15.75" customHeight="1" x14ac:dyDescent="0.25">
      <c r="B66" s="1299"/>
      <c r="C66" s="1300"/>
      <c r="D66" s="1300"/>
      <c r="E66" s="1259" t="s">
        <v>1240</v>
      </c>
      <c r="F66" s="1260"/>
      <c r="G66" s="1260"/>
      <c r="H66" s="1260"/>
      <c r="I66" s="1261"/>
      <c r="J66" s="5">
        <v>1</v>
      </c>
      <c r="K66" s="1264">
        <v>3525170</v>
      </c>
      <c r="L66" s="1265"/>
      <c r="M66" s="133">
        <f t="shared" si="0"/>
        <v>3525170</v>
      </c>
      <c r="N66" s="1246" t="s">
        <v>1243</v>
      </c>
      <c r="O66" s="1247"/>
      <c r="P66" s="1247"/>
      <c r="Q66" s="1248"/>
      <c r="R66" s="414" t="s">
        <v>1244</v>
      </c>
    </row>
    <row r="67" spans="2:18" ht="15.75" customHeight="1" x14ac:dyDescent="0.25">
      <c r="B67" s="1299"/>
      <c r="C67" s="1300"/>
      <c r="D67" s="1300"/>
      <c r="E67" s="1259" t="s">
        <v>1820</v>
      </c>
      <c r="F67" s="1260"/>
      <c r="G67" s="1260"/>
      <c r="H67" s="1260"/>
      <c r="I67" s="1261"/>
      <c r="J67" s="5">
        <v>1</v>
      </c>
      <c r="K67" s="1264">
        <f>4622350+1199900</f>
        <v>5822250</v>
      </c>
      <c r="L67" s="1265"/>
      <c r="M67" s="133">
        <f t="shared" si="0"/>
        <v>5822250</v>
      </c>
      <c r="N67" s="1246" t="s">
        <v>1245</v>
      </c>
      <c r="O67" s="1247"/>
      <c r="P67" s="1247"/>
      <c r="Q67" s="1248"/>
      <c r="R67" s="632" t="s">
        <v>2232</v>
      </c>
    </row>
    <row r="68" spans="2:18" ht="15.75" customHeight="1" x14ac:dyDescent="0.25">
      <c r="B68" s="1299"/>
      <c r="C68" s="1300"/>
      <c r="D68" s="1300"/>
      <c r="E68" s="1259" t="s">
        <v>1571</v>
      </c>
      <c r="F68" s="1260"/>
      <c r="G68" s="1260"/>
      <c r="H68" s="1260"/>
      <c r="I68" s="1261"/>
      <c r="J68" s="5">
        <v>1</v>
      </c>
      <c r="K68" s="1264">
        <v>7569599</v>
      </c>
      <c r="L68" s="1265"/>
      <c r="M68" s="133">
        <f>K68*J68</f>
        <v>7569599</v>
      </c>
      <c r="N68" s="1246" t="s">
        <v>1246</v>
      </c>
      <c r="O68" s="1247"/>
      <c r="P68" s="1247"/>
      <c r="Q68" s="1248"/>
      <c r="R68" s="414" t="s">
        <v>1247</v>
      </c>
    </row>
    <row r="69" spans="2:18" ht="15.75" customHeight="1" x14ac:dyDescent="0.25">
      <c r="B69" s="1299"/>
      <c r="C69" s="1300"/>
      <c r="D69" s="1300"/>
      <c r="E69" s="1259" t="s">
        <v>1814</v>
      </c>
      <c r="F69" s="1260"/>
      <c r="G69" s="1260"/>
      <c r="H69" s="1260"/>
      <c r="I69" s="1261"/>
      <c r="J69" s="5">
        <v>1</v>
      </c>
      <c r="K69" s="1264">
        <v>1800000</v>
      </c>
      <c r="L69" s="1265"/>
      <c r="M69" s="133">
        <f t="shared" si="0"/>
        <v>1800000</v>
      </c>
      <c r="N69" s="1246"/>
      <c r="O69" s="1247"/>
      <c r="P69" s="1247"/>
      <c r="Q69" s="1248"/>
      <c r="R69" s="414" t="s">
        <v>1687</v>
      </c>
    </row>
    <row r="70" spans="2:18" ht="15.75" customHeight="1" x14ac:dyDescent="0.25">
      <c r="B70" s="1299"/>
      <c r="C70" s="1300"/>
      <c r="D70" s="1300"/>
      <c r="E70" s="1259" t="s">
        <v>1815</v>
      </c>
      <c r="F70" s="1260"/>
      <c r="G70" s="1260"/>
      <c r="H70" s="1260"/>
      <c r="I70" s="1261"/>
      <c r="J70" s="5">
        <v>1</v>
      </c>
      <c r="K70" s="1264">
        <v>1950000</v>
      </c>
      <c r="L70" s="1265"/>
      <c r="M70" s="133">
        <f t="shared" si="0"/>
        <v>1950000</v>
      </c>
      <c r="N70" s="1246"/>
      <c r="O70" s="1247"/>
      <c r="P70" s="1247"/>
      <c r="Q70" s="1248"/>
      <c r="R70" s="414" t="s">
        <v>1687</v>
      </c>
    </row>
    <row r="71" spans="2:18" ht="15.75" customHeight="1" x14ac:dyDescent="0.25">
      <c r="B71" s="1299"/>
      <c r="C71" s="1300"/>
      <c r="D71" s="1300"/>
      <c r="E71" s="1259" t="s">
        <v>1816</v>
      </c>
      <c r="F71" s="1260"/>
      <c r="G71" s="1260"/>
      <c r="H71" s="1260"/>
      <c r="I71" s="1261"/>
      <c r="J71" s="5">
        <v>1</v>
      </c>
      <c r="K71" s="1264">
        <v>1300000</v>
      </c>
      <c r="L71" s="1265"/>
      <c r="M71" s="133">
        <f t="shared" si="0"/>
        <v>1300000</v>
      </c>
      <c r="N71" s="1246"/>
      <c r="O71" s="1247"/>
      <c r="P71" s="1247"/>
      <c r="Q71" s="1248"/>
      <c r="R71" s="414" t="s">
        <v>1687</v>
      </c>
    </row>
    <row r="72" spans="2:18" ht="15.75" customHeight="1" x14ac:dyDescent="0.25">
      <c r="B72" s="1299"/>
      <c r="C72" s="1300"/>
      <c r="D72" s="1300"/>
      <c r="E72" s="1249" t="s">
        <v>1819</v>
      </c>
      <c r="F72" s="1250"/>
      <c r="G72" s="1250"/>
      <c r="H72" s="1250"/>
      <c r="I72" s="1251"/>
      <c r="J72" s="344">
        <v>1</v>
      </c>
      <c r="K72" s="1257">
        <v>900000</v>
      </c>
      <c r="L72" s="1258"/>
      <c r="M72" s="348">
        <f t="shared" si="0"/>
        <v>900000</v>
      </c>
      <c r="N72" s="345"/>
      <c r="O72" s="346"/>
      <c r="P72" s="346"/>
      <c r="Q72" s="347"/>
      <c r="R72" s="414" t="s">
        <v>1687</v>
      </c>
    </row>
    <row r="73" spans="2:18" x14ac:dyDescent="0.25">
      <c r="B73" s="1299"/>
      <c r="C73" s="1300"/>
      <c r="D73" s="1300"/>
      <c r="E73" s="1259" t="s">
        <v>1817</v>
      </c>
      <c r="F73" s="1260"/>
      <c r="G73" s="1260"/>
      <c r="H73" s="1260"/>
      <c r="I73" s="1261"/>
      <c r="J73" s="5">
        <v>1</v>
      </c>
      <c r="K73" s="1264">
        <v>1200000</v>
      </c>
      <c r="L73" s="1265"/>
      <c r="M73" s="133">
        <f t="shared" si="0"/>
        <v>1200000</v>
      </c>
      <c r="N73" s="1246"/>
      <c r="O73" s="1247"/>
      <c r="P73" s="1247"/>
      <c r="Q73" s="1248"/>
      <c r="R73" s="414" t="s">
        <v>1687</v>
      </c>
    </row>
    <row r="74" spans="2:18" x14ac:dyDescent="0.25">
      <c r="B74" s="1299"/>
      <c r="C74" s="1300"/>
      <c r="D74" s="1300"/>
      <c r="E74" s="1259" t="s">
        <v>1818</v>
      </c>
      <c r="F74" s="1260"/>
      <c r="G74" s="1260"/>
      <c r="H74" s="1260"/>
      <c r="I74" s="1261"/>
      <c r="J74" s="5">
        <v>1</v>
      </c>
      <c r="K74" s="1264">
        <v>1000000</v>
      </c>
      <c r="L74" s="1265"/>
      <c r="M74" s="133">
        <f t="shared" si="0"/>
        <v>1000000</v>
      </c>
      <c r="N74" s="1246"/>
      <c r="O74" s="1247"/>
      <c r="P74" s="1247"/>
      <c r="Q74" s="1248"/>
      <c r="R74" s="414" t="s">
        <v>1687</v>
      </c>
    </row>
    <row r="75" spans="2:18" x14ac:dyDescent="0.25">
      <c r="B75" s="1299"/>
      <c r="C75" s="1300"/>
      <c r="D75" s="1300"/>
      <c r="E75" s="1259" t="s">
        <v>301</v>
      </c>
      <c r="F75" s="1260"/>
      <c r="G75" s="1260"/>
      <c r="H75" s="1260"/>
      <c r="I75" s="1261"/>
      <c r="J75" s="5">
        <v>1</v>
      </c>
      <c r="K75" s="1264">
        <v>2800000</v>
      </c>
      <c r="L75" s="1265"/>
      <c r="M75" s="133">
        <f t="shared" si="0"/>
        <v>2800000</v>
      </c>
      <c r="N75" s="1246"/>
      <c r="O75" s="1247"/>
      <c r="P75" s="1247"/>
      <c r="Q75" s="1248"/>
      <c r="R75" s="414" t="s">
        <v>1687</v>
      </c>
    </row>
    <row r="76" spans="2:18" ht="15.75" customHeight="1" x14ac:dyDescent="0.25">
      <c r="B76" s="1299"/>
      <c r="C76" s="1300"/>
      <c r="D76" s="1300"/>
      <c r="E76" s="1249" t="s">
        <v>1449</v>
      </c>
      <c r="F76" s="1250"/>
      <c r="G76" s="1250"/>
      <c r="H76" s="1250"/>
      <c r="I76" s="1251"/>
      <c r="J76" s="5">
        <v>1</v>
      </c>
      <c r="K76" s="1257">
        <v>1800000</v>
      </c>
      <c r="L76" s="1258"/>
      <c r="M76" s="133">
        <f t="shared" si="0"/>
        <v>1800000</v>
      </c>
      <c r="N76" s="134"/>
      <c r="O76" s="135"/>
      <c r="P76" s="135"/>
      <c r="Q76" s="136"/>
      <c r="R76" s="414" t="s">
        <v>1687</v>
      </c>
    </row>
    <row r="77" spans="2:18" ht="15.75" customHeight="1" x14ac:dyDescent="0.25">
      <c r="B77" s="1299"/>
      <c r="C77" s="1300"/>
      <c r="D77" s="1300"/>
      <c r="E77" s="1259" t="s">
        <v>1242</v>
      </c>
      <c r="F77" s="1260"/>
      <c r="G77" s="1260"/>
      <c r="H77" s="1260"/>
      <c r="I77" s="1261"/>
      <c r="J77" s="5">
        <v>1</v>
      </c>
      <c r="K77" s="1264">
        <f>1991.31*4522.99</f>
        <v>9006675.2168999985</v>
      </c>
      <c r="L77" s="1265"/>
      <c r="M77" s="133">
        <f t="shared" si="0"/>
        <v>9006675.2168999985</v>
      </c>
      <c r="N77" s="1246" t="s">
        <v>1662</v>
      </c>
      <c r="O77" s="1247"/>
      <c r="P77" s="1247"/>
      <c r="Q77" s="1248"/>
      <c r="R77" s="420" t="s">
        <v>1663</v>
      </c>
    </row>
    <row r="78" spans="2:18" ht="15.75" customHeight="1" x14ac:dyDescent="0.25">
      <c r="B78" s="1299"/>
      <c r="C78" s="1300"/>
      <c r="D78" s="1300"/>
      <c r="E78" s="1259" t="s">
        <v>1242</v>
      </c>
      <c r="F78" s="1260"/>
      <c r="G78" s="1260"/>
      <c r="H78" s="1260"/>
      <c r="I78" s="1261"/>
      <c r="J78" s="5">
        <v>1</v>
      </c>
      <c r="K78" s="1264">
        <f>4533.96*229</f>
        <v>1038276.84</v>
      </c>
      <c r="L78" s="1265"/>
      <c r="M78" s="133">
        <f t="shared" si="0"/>
        <v>1038276.84</v>
      </c>
      <c r="N78" s="1246" t="s">
        <v>1251</v>
      </c>
      <c r="O78" s="1247"/>
      <c r="P78" s="1247"/>
      <c r="Q78" s="1248"/>
      <c r="R78" s="420" t="s">
        <v>1250</v>
      </c>
    </row>
    <row r="79" spans="2:18" ht="15.75" customHeight="1" x14ac:dyDescent="0.25">
      <c r="B79" s="1299"/>
      <c r="C79" s="1300"/>
      <c r="D79" s="1300"/>
      <c r="E79" s="1259" t="s">
        <v>1338</v>
      </c>
      <c r="F79" s="1260"/>
      <c r="G79" s="1260"/>
      <c r="H79" s="1260"/>
      <c r="I79" s="1261"/>
      <c r="J79" s="5">
        <v>5</v>
      </c>
      <c r="K79" s="1264">
        <v>7497</v>
      </c>
      <c r="L79" s="1265"/>
      <c r="M79" s="133">
        <f t="shared" si="0"/>
        <v>37485</v>
      </c>
      <c r="N79" s="1246" t="s">
        <v>1341</v>
      </c>
      <c r="O79" s="1247"/>
      <c r="P79" s="1247"/>
      <c r="Q79" s="1248"/>
      <c r="R79" s="420" t="s">
        <v>1340</v>
      </c>
    </row>
    <row r="80" spans="2:18" ht="15.75" customHeight="1" x14ac:dyDescent="0.25">
      <c r="B80" s="1299"/>
      <c r="C80" s="1300"/>
      <c r="D80" s="1300"/>
      <c r="E80" s="1259" t="s">
        <v>1339</v>
      </c>
      <c r="F80" s="1260"/>
      <c r="G80" s="1260"/>
      <c r="H80" s="1260"/>
      <c r="I80" s="1261"/>
      <c r="J80" s="5">
        <v>5</v>
      </c>
      <c r="K80" s="1264">
        <v>5831</v>
      </c>
      <c r="L80" s="1265"/>
      <c r="M80" s="133">
        <f t="shared" si="0"/>
        <v>29155</v>
      </c>
      <c r="N80" s="1246" t="s">
        <v>1343</v>
      </c>
      <c r="O80" s="1247"/>
      <c r="P80" s="1247"/>
      <c r="Q80" s="1248"/>
      <c r="R80" s="420" t="s">
        <v>1342</v>
      </c>
    </row>
    <row r="81" spans="2:18" ht="15.75" customHeight="1" x14ac:dyDescent="0.25">
      <c r="B81" s="1299"/>
      <c r="C81" s="1300"/>
      <c r="D81" s="1300"/>
      <c r="E81" s="1259" t="s">
        <v>1450</v>
      </c>
      <c r="F81" s="1260"/>
      <c r="G81" s="1260"/>
      <c r="H81" s="1260"/>
      <c r="I81" s="1261"/>
      <c r="J81" s="5">
        <v>1</v>
      </c>
      <c r="K81" s="1264">
        <v>5832</v>
      </c>
      <c r="L81" s="1265"/>
      <c r="M81" s="133">
        <f t="shared" si="0"/>
        <v>5832</v>
      </c>
      <c r="N81" s="1246" t="s">
        <v>1451</v>
      </c>
      <c r="O81" s="1247"/>
      <c r="P81" s="1247"/>
      <c r="Q81" s="1248"/>
      <c r="R81" s="420" t="s">
        <v>1452</v>
      </c>
    </row>
    <row r="82" spans="2:18" ht="15.75" customHeight="1" x14ac:dyDescent="0.25">
      <c r="B82" s="1299"/>
      <c r="C82" s="1300"/>
      <c r="D82" s="1300"/>
      <c r="E82" s="1259" t="s">
        <v>1453</v>
      </c>
      <c r="F82" s="1260"/>
      <c r="G82" s="1260"/>
      <c r="H82" s="1260"/>
      <c r="I82" s="1261"/>
      <c r="J82" s="5">
        <v>1</v>
      </c>
      <c r="K82" s="1264">
        <v>64000</v>
      </c>
      <c r="L82" s="1265"/>
      <c r="M82" s="133">
        <f t="shared" si="0"/>
        <v>64000</v>
      </c>
      <c r="N82" s="1246" t="s">
        <v>1454</v>
      </c>
      <c r="O82" s="1247"/>
      <c r="P82" s="1247"/>
      <c r="Q82" s="1248"/>
      <c r="R82" s="420" t="s">
        <v>1455</v>
      </c>
    </row>
    <row r="83" spans="2:18" ht="16.5" customHeight="1" thickBot="1" x14ac:dyDescent="0.3">
      <c r="B83" s="1299"/>
      <c r="C83" s="1300"/>
      <c r="D83" s="1300"/>
      <c r="E83" s="1259" t="s">
        <v>1344</v>
      </c>
      <c r="F83" s="1260"/>
      <c r="G83" s="1260"/>
      <c r="H83" s="1260"/>
      <c r="I83" s="1261"/>
      <c r="J83" s="5">
        <v>2</v>
      </c>
      <c r="K83" s="1264">
        <v>22491</v>
      </c>
      <c r="L83" s="1265"/>
      <c r="M83" s="133">
        <f t="shared" si="0"/>
        <v>44982</v>
      </c>
      <c r="N83" s="1246" t="s">
        <v>1346</v>
      </c>
      <c r="O83" s="1247"/>
      <c r="P83" s="1247"/>
      <c r="Q83" s="1248"/>
      <c r="R83" s="420" t="s">
        <v>1345</v>
      </c>
    </row>
    <row r="84" spans="2:18" ht="15.75" customHeight="1" x14ac:dyDescent="0.25">
      <c r="B84" s="1291" t="s">
        <v>184</v>
      </c>
      <c r="C84" s="1292"/>
      <c r="D84" s="1293"/>
      <c r="E84" s="1263" t="s">
        <v>185</v>
      </c>
      <c r="F84" s="1263"/>
      <c r="G84" s="1263"/>
      <c r="H84" s="1263"/>
      <c r="I84" s="1263"/>
      <c r="J84" s="131">
        <v>13</v>
      </c>
      <c r="K84" s="1281">
        <v>59900</v>
      </c>
      <c r="L84" s="1263"/>
      <c r="M84" s="132">
        <f t="shared" si="0"/>
        <v>778700</v>
      </c>
      <c r="N84" s="1287" t="s">
        <v>261</v>
      </c>
      <c r="O84" s="1263"/>
      <c r="P84" s="1263"/>
      <c r="Q84" s="1263"/>
      <c r="R84" s="416" t="s">
        <v>262</v>
      </c>
    </row>
    <row r="85" spans="2:18" ht="15.75" customHeight="1" x14ac:dyDescent="0.25">
      <c r="B85" s="1294"/>
      <c r="C85" s="1310"/>
      <c r="D85" s="1296"/>
      <c r="E85" s="1242" t="s">
        <v>186</v>
      </c>
      <c r="F85" s="1242"/>
      <c r="G85" s="1242"/>
      <c r="H85" s="1242"/>
      <c r="I85" s="1242"/>
      <c r="J85" s="310">
        <v>7</v>
      </c>
      <c r="K85" s="1273">
        <v>11900</v>
      </c>
      <c r="L85" s="1242"/>
      <c r="M85" s="317">
        <f t="shared" si="0"/>
        <v>83300</v>
      </c>
      <c r="N85" s="1262" t="s">
        <v>264</v>
      </c>
      <c r="O85" s="1242"/>
      <c r="P85" s="1242"/>
      <c r="Q85" s="1242"/>
      <c r="R85" s="417" t="s">
        <v>263</v>
      </c>
    </row>
    <row r="86" spans="2:18" ht="15.75" customHeight="1" x14ac:dyDescent="0.25">
      <c r="B86" s="1294"/>
      <c r="C86" s="1310"/>
      <c r="D86" s="1296"/>
      <c r="E86" s="1266" t="s">
        <v>260</v>
      </c>
      <c r="F86" s="1266"/>
      <c r="G86" s="1266"/>
      <c r="H86" s="1266"/>
      <c r="I86" s="1266"/>
      <c r="J86" s="310">
        <v>5</v>
      </c>
      <c r="K86" s="1264">
        <v>399900</v>
      </c>
      <c r="L86" s="1265"/>
      <c r="M86" s="317">
        <f t="shared" si="0"/>
        <v>1999500</v>
      </c>
      <c r="N86" s="1246" t="s">
        <v>2236</v>
      </c>
      <c r="O86" s="1247"/>
      <c r="P86" s="1247"/>
      <c r="Q86" s="1248"/>
      <c r="R86" s="417" t="s">
        <v>2235</v>
      </c>
    </row>
    <row r="87" spans="2:18" ht="15.75" customHeight="1" x14ac:dyDescent="0.25">
      <c r="B87" s="1294"/>
      <c r="C87" s="1310"/>
      <c r="D87" s="1296"/>
      <c r="E87" s="1242" t="s">
        <v>1670</v>
      </c>
      <c r="F87" s="1242"/>
      <c r="G87" s="1242"/>
      <c r="H87" s="1242"/>
      <c r="I87" s="1242"/>
      <c r="J87" s="310">
        <v>3</v>
      </c>
      <c r="K87" s="1264">
        <v>339900</v>
      </c>
      <c r="L87" s="1265"/>
      <c r="M87" s="317">
        <f t="shared" si="0"/>
        <v>1019700</v>
      </c>
      <c r="N87" s="1246" t="s">
        <v>2238</v>
      </c>
      <c r="O87" s="1247"/>
      <c r="P87" s="1247"/>
      <c r="Q87" s="1248"/>
      <c r="R87" s="417" t="s">
        <v>2237</v>
      </c>
    </row>
    <row r="88" spans="2:18" ht="15.75" customHeight="1" x14ac:dyDescent="0.25">
      <c r="B88" s="1294"/>
      <c r="C88" s="1310"/>
      <c r="D88" s="1296"/>
      <c r="E88" s="1266" t="s">
        <v>1671</v>
      </c>
      <c r="F88" s="1266"/>
      <c r="G88" s="1266"/>
      <c r="H88" s="1266"/>
      <c r="I88" s="1266"/>
      <c r="J88" s="310">
        <v>3</v>
      </c>
      <c r="K88" s="1273">
        <v>249900</v>
      </c>
      <c r="L88" s="1273"/>
      <c r="M88" s="317">
        <f t="shared" si="0"/>
        <v>749700</v>
      </c>
      <c r="N88" s="1262" t="s">
        <v>1807</v>
      </c>
      <c r="O88" s="1262"/>
      <c r="P88" s="1262"/>
      <c r="Q88" s="1262"/>
      <c r="R88" s="417" t="s">
        <v>1808</v>
      </c>
    </row>
    <row r="89" spans="2:18" ht="15.75" customHeight="1" x14ac:dyDescent="0.25">
      <c r="B89" s="1294"/>
      <c r="C89" s="1310"/>
      <c r="D89" s="1296"/>
      <c r="E89" s="1266" t="s">
        <v>1672</v>
      </c>
      <c r="F89" s="1266"/>
      <c r="G89" s="1266"/>
      <c r="H89" s="1266"/>
      <c r="I89" s="1266"/>
      <c r="J89" s="310">
        <v>1</v>
      </c>
      <c r="K89" s="1273">
        <v>349900</v>
      </c>
      <c r="L89" s="1273"/>
      <c r="M89" s="317">
        <f t="shared" si="0"/>
        <v>349900</v>
      </c>
      <c r="N89" s="1262" t="s">
        <v>2240</v>
      </c>
      <c r="O89" s="1262"/>
      <c r="P89" s="1262"/>
      <c r="Q89" s="1262"/>
      <c r="R89" s="417" t="s">
        <v>2239</v>
      </c>
    </row>
    <row r="90" spans="2:18" ht="15.75" customHeight="1" x14ac:dyDescent="0.25">
      <c r="B90" s="1294"/>
      <c r="C90" s="1310"/>
      <c r="D90" s="1296"/>
      <c r="E90" s="1242" t="s">
        <v>181</v>
      </c>
      <c r="F90" s="1242"/>
      <c r="G90" s="1242"/>
      <c r="H90" s="1242"/>
      <c r="I90" s="1242"/>
      <c r="J90" s="310">
        <v>37</v>
      </c>
      <c r="K90" s="1277">
        <v>79900</v>
      </c>
      <c r="L90" s="1277"/>
      <c r="M90" s="317">
        <f t="shared" si="0"/>
        <v>2956300</v>
      </c>
      <c r="N90" s="1262" t="s">
        <v>1811</v>
      </c>
      <c r="O90" s="1262"/>
      <c r="P90" s="1262"/>
      <c r="Q90" s="1262"/>
      <c r="R90" s="417" t="s">
        <v>1810</v>
      </c>
    </row>
    <row r="91" spans="2:18" ht="15.75" customHeight="1" x14ac:dyDescent="0.25">
      <c r="B91" s="1294"/>
      <c r="C91" s="1310"/>
      <c r="D91" s="1296"/>
      <c r="E91" s="1249" t="s">
        <v>1809</v>
      </c>
      <c r="F91" s="1250"/>
      <c r="G91" s="1250"/>
      <c r="H91" s="1250"/>
      <c r="I91" s="1251"/>
      <c r="J91" s="310">
        <v>3</v>
      </c>
      <c r="K91" s="1257">
        <v>199900</v>
      </c>
      <c r="L91" s="1258"/>
      <c r="M91" s="317">
        <f t="shared" si="0"/>
        <v>599700</v>
      </c>
      <c r="N91" s="1274" t="s">
        <v>1812</v>
      </c>
      <c r="O91" s="1275"/>
      <c r="P91" s="1275"/>
      <c r="Q91" s="1276"/>
      <c r="R91" s="417" t="s">
        <v>1813</v>
      </c>
    </row>
    <row r="92" spans="2:18" ht="15.75" customHeight="1" thickBot="1" x14ac:dyDescent="0.3">
      <c r="B92" s="1294"/>
      <c r="C92" s="1310"/>
      <c r="D92" s="1296"/>
      <c r="E92" s="1303" t="s">
        <v>1805</v>
      </c>
      <c r="F92" s="1303"/>
      <c r="G92" s="1303"/>
      <c r="H92" s="1303"/>
      <c r="I92" s="1303"/>
      <c r="J92" s="319">
        <v>1</v>
      </c>
      <c r="K92" s="1311">
        <v>800000</v>
      </c>
      <c r="L92" s="1311"/>
      <c r="M92" s="305">
        <f>K92*J92</f>
        <v>800000</v>
      </c>
      <c r="N92" s="1267" t="s">
        <v>1687</v>
      </c>
      <c r="O92" s="1268"/>
      <c r="P92" s="1268"/>
      <c r="Q92" s="1269"/>
      <c r="R92" s="418" t="s">
        <v>1687</v>
      </c>
    </row>
    <row r="93" spans="2:18" x14ac:dyDescent="0.25">
      <c r="B93" s="1291" t="s">
        <v>187</v>
      </c>
      <c r="C93" s="1292"/>
      <c r="D93" s="1293"/>
      <c r="E93" s="1263" t="s">
        <v>188</v>
      </c>
      <c r="F93" s="1263"/>
      <c r="G93" s="1263"/>
      <c r="H93" s="1263"/>
      <c r="I93" s="1263"/>
      <c r="J93" s="314">
        <v>1</v>
      </c>
      <c r="K93" s="1283">
        <v>1649000</v>
      </c>
      <c r="L93" s="1284"/>
      <c r="M93" s="315">
        <f t="shared" si="0"/>
        <v>1649000</v>
      </c>
      <c r="N93" s="1287" t="s">
        <v>266</v>
      </c>
      <c r="O93" s="1263"/>
      <c r="P93" s="1263"/>
      <c r="Q93" s="1263"/>
      <c r="R93" s="416" t="s">
        <v>265</v>
      </c>
    </row>
    <row r="94" spans="2:18" x14ac:dyDescent="0.25">
      <c r="B94" s="1294"/>
      <c r="C94" s="1310"/>
      <c r="D94" s="1296"/>
      <c r="E94" s="1242" t="s">
        <v>189</v>
      </c>
      <c r="F94" s="1242"/>
      <c r="G94" s="1242"/>
      <c r="H94" s="1242"/>
      <c r="I94" s="1242"/>
      <c r="J94" s="310">
        <v>1</v>
      </c>
      <c r="K94" s="1273">
        <v>849900</v>
      </c>
      <c r="L94" s="1242"/>
      <c r="M94" s="317">
        <f>K94*J94</f>
        <v>849900</v>
      </c>
      <c r="N94" s="1262" t="s">
        <v>268</v>
      </c>
      <c r="O94" s="1242"/>
      <c r="P94" s="1242"/>
      <c r="Q94" s="1242"/>
      <c r="R94" s="414" t="s">
        <v>267</v>
      </c>
    </row>
    <row r="95" spans="2:18" x14ac:dyDescent="0.25">
      <c r="B95" s="1294"/>
      <c r="C95" s="1310"/>
      <c r="D95" s="1296"/>
      <c r="E95" s="1242" t="s">
        <v>1673</v>
      </c>
      <c r="F95" s="1242"/>
      <c r="G95" s="1242"/>
      <c r="H95" s="1242"/>
      <c r="I95" s="1242"/>
      <c r="J95" s="310">
        <v>13</v>
      </c>
      <c r="K95" s="1280">
        <v>109900</v>
      </c>
      <c r="L95" s="1280"/>
      <c r="M95" s="316">
        <f>K95*J95</f>
        <v>1428700</v>
      </c>
      <c r="N95" s="1262" t="s">
        <v>1770</v>
      </c>
      <c r="O95" s="1242"/>
      <c r="P95" s="1242"/>
      <c r="Q95" s="1242"/>
      <c r="R95" s="414" t="s">
        <v>1771</v>
      </c>
    </row>
    <row r="96" spans="2:18" x14ac:dyDescent="0.25">
      <c r="B96" s="1294"/>
      <c r="C96" s="1310"/>
      <c r="D96" s="1296"/>
      <c r="E96" s="1242" t="s">
        <v>1758</v>
      </c>
      <c r="F96" s="1242"/>
      <c r="G96" s="1242"/>
      <c r="H96" s="1242"/>
      <c r="I96" s="1242"/>
      <c r="J96" s="424">
        <v>1</v>
      </c>
      <c r="K96" s="1280">
        <v>51900</v>
      </c>
      <c r="L96" s="1280"/>
      <c r="M96" s="427">
        <f>K96*J96</f>
        <v>51900</v>
      </c>
      <c r="N96" s="1262" t="s">
        <v>1769</v>
      </c>
      <c r="O96" s="1242"/>
      <c r="P96" s="1242"/>
      <c r="Q96" s="1242"/>
      <c r="R96" s="417" t="s">
        <v>1768</v>
      </c>
    </row>
    <row r="97" spans="2:18" x14ac:dyDescent="0.25">
      <c r="B97" s="1294"/>
      <c r="C97" s="1310"/>
      <c r="D97" s="1296"/>
      <c r="E97" s="1249" t="s">
        <v>1831</v>
      </c>
      <c r="F97" s="1250"/>
      <c r="G97" s="1250"/>
      <c r="H97" s="1250"/>
      <c r="I97" s="1251"/>
      <c r="J97" s="424">
        <v>1</v>
      </c>
      <c r="K97" s="1252">
        <v>649900</v>
      </c>
      <c r="L97" s="1253"/>
      <c r="M97" s="427">
        <f>J97*K97</f>
        <v>649900</v>
      </c>
      <c r="N97" s="1254" t="s">
        <v>1833</v>
      </c>
      <c r="O97" s="1255"/>
      <c r="P97" s="1255"/>
      <c r="Q97" s="1256"/>
      <c r="R97" s="417" t="s">
        <v>1832</v>
      </c>
    </row>
    <row r="98" spans="2:18" ht="16.5" thickBot="1" x14ac:dyDescent="0.3">
      <c r="B98" s="1294"/>
      <c r="C98" s="1310"/>
      <c r="D98" s="1296"/>
      <c r="E98" s="1314" t="s">
        <v>1759</v>
      </c>
      <c r="F98" s="1305"/>
      <c r="G98" s="1305"/>
      <c r="H98" s="1305"/>
      <c r="I98" s="1306"/>
      <c r="J98" s="525">
        <v>1</v>
      </c>
      <c r="K98" s="1312">
        <v>406000</v>
      </c>
      <c r="L98" s="1313"/>
      <c r="M98" s="526">
        <f>K98*J98</f>
        <v>406000</v>
      </c>
      <c r="N98" s="1304" t="s">
        <v>1773</v>
      </c>
      <c r="O98" s="1305"/>
      <c r="P98" s="1305"/>
      <c r="Q98" s="1306"/>
      <c r="R98" s="418" t="s">
        <v>1772</v>
      </c>
    </row>
    <row r="99" spans="2:18" x14ac:dyDescent="0.25">
      <c r="B99" s="1297" t="s">
        <v>293</v>
      </c>
      <c r="C99" s="1298"/>
      <c r="D99" s="1298"/>
      <c r="E99" s="1263" t="s">
        <v>1747</v>
      </c>
      <c r="F99" s="1263"/>
      <c r="G99" s="1263"/>
      <c r="H99" s="1263"/>
      <c r="I99" s="1263"/>
      <c r="J99" s="314">
        <v>1</v>
      </c>
      <c r="K99" s="1318">
        <v>38900</v>
      </c>
      <c r="L99" s="1318"/>
      <c r="M99" s="423">
        <f t="shared" ref="M99:M111" si="1">J99*K99</f>
        <v>38900</v>
      </c>
      <c r="N99" s="1287" t="s">
        <v>1785</v>
      </c>
      <c r="O99" s="1263"/>
      <c r="P99" s="1263"/>
      <c r="Q99" s="1263"/>
      <c r="R99" s="416" t="s">
        <v>1784</v>
      </c>
    </row>
    <row r="100" spans="2:18" x14ac:dyDescent="0.25">
      <c r="B100" s="1299"/>
      <c r="C100" s="1300"/>
      <c r="D100" s="1300"/>
      <c r="E100" s="1242" t="s">
        <v>1748</v>
      </c>
      <c r="F100" s="1242"/>
      <c r="G100" s="1242"/>
      <c r="H100" s="1242"/>
      <c r="I100" s="1242"/>
      <c r="J100" s="489">
        <v>1</v>
      </c>
      <c r="K100" s="1309">
        <v>31900</v>
      </c>
      <c r="L100" s="1309"/>
      <c r="M100" s="488">
        <f t="shared" si="1"/>
        <v>31900</v>
      </c>
      <c r="N100" s="1301" t="s">
        <v>1786</v>
      </c>
      <c r="O100" s="1302"/>
      <c r="P100" s="1302"/>
      <c r="Q100" s="1302"/>
      <c r="R100" s="414" t="s">
        <v>1783</v>
      </c>
    </row>
    <row r="101" spans="2:18" x14ac:dyDescent="0.25">
      <c r="B101" s="1299"/>
      <c r="C101" s="1300"/>
      <c r="D101" s="1300"/>
      <c r="E101" s="1259" t="s">
        <v>1749</v>
      </c>
      <c r="F101" s="1260"/>
      <c r="G101" s="1260"/>
      <c r="H101" s="1260"/>
      <c r="I101" s="1261"/>
      <c r="J101" s="487">
        <v>3</v>
      </c>
      <c r="K101" s="1307">
        <v>397000</v>
      </c>
      <c r="L101" s="1308"/>
      <c r="M101" s="488">
        <f t="shared" si="1"/>
        <v>1191000</v>
      </c>
      <c r="N101" s="1259" t="s">
        <v>1804</v>
      </c>
      <c r="O101" s="1260"/>
      <c r="P101" s="1260"/>
      <c r="Q101" s="1261"/>
      <c r="R101" s="414" t="s">
        <v>1803</v>
      </c>
    </row>
    <row r="102" spans="2:18" x14ac:dyDescent="0.25">
      <c r="B102" s="1299"/>
      <c r="C102" s="1300"/>
      <c r="D102" s="1300"/>
      <c r="E102" s="1242" t="s">
        <v>1750</v>
      </c>
      <c r="F102" s="1242"/>
      <c r="G102" s="1242"/>
      <c r="H102" s="1242"/>
      <c r="I102" s="1242"/>
      <c r="J102" s="489">
        <v>3</v>
      </c>
      <c r="K102" s="1309">
        <v>13900</v>
      </c>
      <c r="L102" s="1309"/>
      <c r="M102" s="488">
        <f t="shared" si="1"/>
        <v>41700</v>
      </c>
      <c r="N102" s="1301" t="s">
        <v>1787</v>
      </c>
      <c r="O102" s="1302"/>
      <c r="P102" s="1302"/>
      <c r="Q102" s="1302"/>
      <c r="R102" s="414" t="s">
        <v>1782</v>
      </c>
    </row>
    <row r="103" spans="2:18" x14ac:dyDescent="0.25">
      <c r="B103" s="1299"/>
      <c r="C103" s="1300"/>
      <c r="D103" s="1300"/>
      <c r="E103" s="1242" t="s">
        <v>1751</v>
      </c>
      <c r="F103" s="1242"/>
      <c r="G103" s="1242"/>
      <c r="H103" s="1242"/>
      <c r="I103" s="1242"/>
      <c r="J103" s="487">
        <v>14</v>
      </c>
      <c r="K103" s="1280">
        <v>36900</v>
      </c>
      <c r="L103" s="1280"/>
      <c r="M103" s="488">
        <f t="shared" si="1"/>
        <v>516600</v>
      </c>
      <c r="N103" s="1262" t="s">
        <v>1789</v>
      </c>
      <c r="O103" s="1242"/>
      <c r="P103" s="1242"/>
      <c r="Q103" s="1242"/>
      <c r="R103" s="414" t="s">
        <v>1788</v>
      </c>
    </row>
    <row r="104" spans="2:18" x14ac:dyDescent="0.25">
      <c r="B104" s="1299"/>
      <c r="C104" s="1300"/>
      <c r="D104" s="1300"/>
      <c r="E104" s="1242" t="s">
        <v>1752</v>
      </c>
      <c r="F104" s="1242"/>
      <c r="G104" s="1242"/>
      <c r="H104" s="1242"/>
      <c r="I104" s="1242"/>
      <c r="J104" s="487">
        <v>14</v>
      </c>
      <c r="K104" s="1280">
        <v>6000</v>
      </c>
      <c r="L104" s="1280"/>
      <c r="M104" s="488">
        <f t="shared" si="1"/>
        <v>84000</v>
      </c>
      <c r="N104" s="1262" t="s">
        <v>1790</v>
      </c>
      <c r="O104" s="1242"/>
      <c r="P104" s="1242"/>
      <c r="Q104" s="1242"/>
      <c r="R104" s="414" t="s">
        <v>1791</v>
      </c>
    </row>
    <row r="105" spans="2:18" x14ac:dyDescent="0.25">
      <c r="B105" s="1299"/>
      <c r="C105" s="1300"/>
      <c r="D105" s="1300"/>
      <c r="E105" s="1242" t="s">
        <v>1753</v>
      </c>
      <c r="F105" s="1242"/>
      <c r="G105" s="1242"/>
      <c r="H105" s="1242"/>
      <c r="I105" s="1242"/>
      <c r="J105" s="487">
        <v>14</v>
      </c>
      <c r="K105" s="1280">
        <v>15990</v>
      </c>
      <c r="L105" s="1280"/>
      <c r="M105" s="488">
        <f t="shared" si="1"/>
        <v>223860</v>
      </c>
      <c r="N105" s="1262" t="s">
        <v>1793</v>
      </c>
      <c r="O105" s="1242"/>
      <c r="P105" s="1242"/>
      <c r="Q105" s="1242"/>
      <c r="R105" s="414" t="s">
        <v>1792</v>
      </c>
    </row>
    <row r="106" spans="2:18" x14ac:dyDescent="0.25">
      <c r="B106" s="1299"/>
      <c r="C106" s="1300"/>
      <c r="D106" s="1300"/>
      <c r="E106" s="1242" t="s">
        <v>1754</v>
      </c>
      <c r="F106" s="1242"/>
      <c r="G106" s="1242"/>
      <c r="H106" s="1242"/>
      <c r="I106" s="1242"/>
      <c r="J106" s="487">
        <v>14</v>
      </c>
      <c r="K106" s="1280">
        <v>135000</v>
      </c>
      <c r="L106" s="1280"/>
      <c r="M106" s="488">
        <f t="shared" si="1"/>
        <v>1890000</v>
      </c>
      <c r="N106" s="1262" t="s">
        <v>1794</v>
      </c>
      <c r="O106" s="1242"/>
      <c r="P106" s="1242"/>
      <c r="Q106" s="1242"/>
      <c r="R106" s="414" t="s">
        <v>1795</v>
      </c>
    </row>
    <row r="107" spans="2:18" x14ac:dyDescent="0.25">
      <c r="B107" s="1299"/>
      <c r="C107" s="1300"/>
      <c r="D107" s="1300"/>
      <c r="E107" s="1242" t="s">
        <v>1755</v>
      </c>
      <c r="F107" s="1242"/>
      <c r="G107" s="1242"/>
      <c r="H107" s="1242"/>
      <c r="I107" s="1242"/>
      <c r="J107" s="487">
        <v>14</v>
      </c>
      <c r="K107" s="1280">
        <v>69900</v>
      </c>
      <c r="L107" s="1280"/>
      <c r="M107" s="488">
        <f t="shared" si="1"/>
        <v>978600</v>
      </c>
      <c r="N107" s="1242" t="s">
        <v>1796</v>
      </c>
      <c r="O107" s="1242"/>
      <c r="P107" s="1242"/>
      <c r="Q107" s="1242"/>
      <c r="R107" s="414" t="s">
        <v>1797</v>
      </c>
    </row>
    <row r="108" spans="2:18" x14ac:dyDescent="0.25">
      <c r="B108" s="1299"/>
      <c r="C108" s="1300"/>
      <c r="D108" s="1300"/>
      <c r="E108" s="1242" t="s">
        <v>1756</v>
      </c>
      <c r="F108" s="1242"/>
      <c r="G108" s="1242"/>
      <c r="H108" s="1242"/>
      <c r="I108" s="1242"/>
      <c r="J108" s="487">
        <v>1</v>
      </c>
      <c r="K108" s="1280">
        <v>10000</v>
      </c>
      <c r="L108" s="1280"/>
      <c r="M108" s="488">
        <f t="shared" si="1"/>
        <v>10000</v>
      </c>
      <c r="N108" s="1262" t="s">
        <v>1798</v>
      </c>
      <c r="O108" s="1242"/>
      <c r="P108" s="1242"/>
      <c r="Q108" s="1242"/>
      <c r="R108" s="414" t="s">
        <v>1799</v>
      </c>
    </row>
    <row r="109" spans="2:18" x14ac:dyDescent="0.25">
      <c r="B109" s="1299"/>
      <c r="C109" s="1300"/>
      <c r="D109" s="1300"/>
      <c r="E109" s="1242" t="s">
        <v>1757</v>
      </c>
      <c r="F109" s="1242"/>
      <c r="G109" s="1242"/>
      <c r="H109" s="1242"/>
      <c r="I109" s="1242"/>
      <c r="J109" s="487">
        <v>1</v>
      </c>
      <c r="K109" s="1280">
        <v>26000</v>
      </c>
      <c r="L109" s="1280"/>
      <c r="M109" s="488">
        <f t="shared" si="1"/>
        <v>26000</v>
      </c>
      <c r="N109" s="1262" t="s">
        <v>1801</v>
      </c>
      <c r="O109" s="1242"/>
      <c r="P109" s="1242"/>
      <c r="Q109" s="1242"/>
      <c r="R109" s="414" t="s">
        <v>1800</v>
      </c>
    </row>
    <row r="110" spans="2:18" x14ac:dyDescent="0.25">
      <c r="B110" s="1299"/>
      <c r="C110" s="1300"/>
      <c r="D110" s="1300"/>
      <c r="E110" s="1242" t="s">
        <v>1760</v>
      </c>
      <c r="F110" s="1242"/>
      <c r="G110" s="1242"/>
      <c r="H110" s="1242"/>
      <c r="I110" s="1242"/>
      <c r="J110" s="487">
        <v>1</v>
      </c>
      <c r="K110" s="1280">
        <v>168300</v>
      </c>
      <c r="L110" s="1280"/>
      <c r="M110" s="488">
        <f t="shared" si="1"/>
        <v>168300</v>
      </c>
      <c r="N110" s="1262" t="s">
        <v>1802</v>
      </c>
      <c r="O110" s="1242"/>
      <c r="P110" s="1242"/>
      <c r="Q110" s="1242"/>
      <c r="R110" s="414" t="s">
        <v>1803</v>
      </c>
    </row>
    <row r="111" spans="2:18" ht="16.5" thickBot="1" x14ac:dyDescent="0.3">
      <c r="B111" s="1315"/>
      <c r="C111" s="1316"/>
      <c r="D111" s="1316"/>
      <c r="E111" s="1317" t="s">
        <v>1605</v>
      </c>
      <c r="F111" s="1317"/>
      <c r="G111" s="1317"/>
      <c r="H111" s="1317"/>
      <c r="I111" s="1317"/>
      <c r="J111" s="6">
        <v>1</v>
      </c>
      <c r="K111" s="1321">
        <v>300000</v>
      </c>
      <c r="L111" s="1321"/>
      <c r="M111" s="527">
        <f t="shared" si="1"/>
        <v>300000</v>
      </c>
      <c r="N111" s="1322" t="s">
        <v>1885</v>
      </c>
      <c r="O111" s="1316"/>
      <c r="P111" s="1316"/>
      <c r="Q111" s="1316"/>
      <c r="R111" s="415" t="s">
        <v>1884</v>
      </c>
    </row>
    <row r="112" spans="2:18" x14ac:dyDescent="0.25">
      <c r="B112" s="4"/>
      <c r="C112" s="4"/>
      <c r="D112" s="4"/>
      <c r="E112" s="4"/>
      <c r="F112" s="4"/>
      <c r="G112" s="28"/>
      <c r="H112" s="28"/>
      <c r="I112" s="28"/>
      <c r="K112" s="1320"/>
      <c r="L112" s="1320"/>
      <c r="O112" s="4"/>
      <c r="P112" s="4"/>
      <c r="Q112" s="4"/>
    </row>
    <row r="113" spans="2:17" x14ac:dyDescent="0.25">
      <c r="B113" s="4"/>
      <c r="C113" s="4"/>
      <c r="D113" s="4"/>
      <c r="E113" s="4"/>
      <c r="F113" s="4"/>
      <c r="G113" s="4"/>
      <c r="H113" s="4"/>
      <c r="I113" s="4"/>
      <c r="J113" s="1319" t="s">
        <v>2136</v>
      </c>
      <c r="K113" s="1319"/>
      <c r="L113" s="1319"/>
      <c r="M113" s="748">
        <f>SUM(M6:M83)</f>
        <v>51401360.056900002</v>
      </c>
      <c r="N113" s="583"/>
      <c r="O113" s="4"/>
      <c r="P113" s="4"/>
      <c r="Q113" s="4"/>
    </row>
    <row r="114" spans="2:17" x14ac:dyDescent="0.25">
      <c r="B114" s="4"/>
      <c r="C114" s="4"/>
      <c r="D114" s="4"/>
      <c r="E114" s="4"/>
      <c r="F114" s="4"/>
      <c r="G114" s="4"/>
      <c r="H114" s="4"/>
      <c r="I114" s="4"/>
      <c r="J114" s="1319" t="s">
        <v>2137</v>
      </c>
      <c r="K114" s="1319"/>
      <c r="L114" s="1319"/>
      <c r="M114" s="748">
        <f>SUM(M84:M92)</f>
        <v>9336800</v>
      </c>
      <c r="N114" s="582"/>
      <c r="O114" s="4"/>
      <c r="P114" s="4"/>
      <c r="Q114" s="4"/>
    </row>
    <row r="115" spans="2:17" x14ac:dyDescent="0.25">
      <c r="B115" s="4"/>
      <c r="C115" s="4"/>
      <c r="D115" s="4"/>
      <c r="F115" s="4"/>
      <c r="G115" s="4"/>
      <c r="H115" s="4"/>
      <c r="I115" s="4"/>
      <c r="J115" s="1319" t="s">
        <v>2138</v>
      </c>
      <c r="K115" s="1319"/>
      <c r="L115" s="1319"/>
      <c r="M115" s="748">
        <f>SUM(M93:M98)</f>
        <v>5035400</v>
      </c>
      <c r="N115" s="582"/>
      <c r="O115" s="4"/>
      <c r="P115" s="4"/>
      <c r="Q115" s="4"/>
    </row>
    <row r="116" spans="2:17" x14ac:dyDescent="0.25">
      <c r="B116" s="4"/>
      <c r="C116" s="4"/>
      <c r="D116" s="4"/>
      <c r="E116" s="4"/>
      <c r="F116" s="4"/>
      <c r="G116" s="4"/>
      <c r="H116" s="4"/>
      <c r="I116" s="4"/>
      <c r="J116" s="1319" t="s">
        <v>2139</v>
      </c>
      <c r="K116" s="1319"/>
      <c r="L116" s="1319"/>
      <c r="M116" s="749">
        <f>SUM(M99:M111)</f>
        <v>5500860</v>
      </c>
      <c r="N116" s="582"/>
      <c r="O116" s="4"/>
      <c r="P116" s="4"/>
      <c r="Q116" s="4"/>
    </row>
    <row r="117" spans="2:17" x14ac:dyDescent="0.25">
      <c r="B117" s="4"/>
      <c r="C117" s="4"/>
      <c r="D117" s="4"/>
      <c r="E117" s="4"/>
      <c r="F117" s="4"/>
      <c r="G117" s="4"/>
      <c r="H117" s="4"/>
      <c r="I117" s="4"/>
      <c r="J117" s="1052" t="s">
        <v>295</v>
      </c>
      <c r="K117" s="1052"/>
      <c r="L117" s="1052"/>
      <c r="M117" s="748">
        <f>SUM(M6:M98)</f>
        <v>65773560.056900002</v>
      </c>
      <c r="N117" s="581"/>
      <c r="O117" s="4"/>
      <c r="P117" s="4"/>
      <c r="Q117" s="4"/>
    </row>
    <row r="118" spans="2:17" x14ac:dyDescent="0.25">
      <c r="B118" s="4"/>
      <c r="C118" s="4"/>
      <c r="D118" s="4"/>
      <c r="E118" s="4"/>
      <c r="F118" s="4"/>
      <c r="G118" s="4"/>
      <c r="H118" s="4"/>
      <c r="I118" s="4"/>
      <c r="J118" s="1052" t="s">
        <v>2231</v>
      </c>
      <c r="K118" s="1052"/>
      <c r="L118" s="1052"/>
      <c r="M118" s="749">
        <f>M99+M100+M101+M110</f>
        <v>1430100</v>
      </c>
      <c r="N118" s="4"/>
      <c r="O118" s="4"/>
      <c r="P118" s="4"/>
      <c r="Q118" s="4"/>
    </row>
    <row r="119" spans="2:17" x14ac:dyDescent="0.25">
      <c r="B119" s="4"/>
      <c r="C119" s="4"/>
      <c r="D119" s="4"/>
      <c r="E119" s="4"/>
      <c r="F119" s="4"/>
      <c r="G119" s="4"/>
      <c r="H119" s="4"/>
      <c r="I119" s="4"/>
      <c r="J119" s="1052" t="s">
        <v>2319</v>
      </c>
      <c r="K119" s="1052"/>
      <c r="L119" s="1052"/>
      <c r="M119" s="749">
        <f>'10. EQUIPO DE TRABAJO'!R88</f>
        <v>152342671.991328</v>
      </c>
      <c r="N119" s="583"/>
      <c r="O119" s="4"/>
      <c r="P119" s="4"/>
      <c r="Q119" s="4"/>
    </row>
    <row r="120" spans="2:17" x14ac:dyDescent="0.25">
      <c r="B120" s="4"/>
      <c r="C120" s="4"/>
      <c r="D120" s="4"/>
      <c r="E120" s="4"/>
      <c r="F120" s="4"/>
      <c r="G120" s="4"/>
      <c r="H120" s="4"/>
      <c r="I120" s="4"/>
      <c r="J120" s="1052" t="s">
        <v>2243</v>
      </c>
      <c r="K120" s="1052"/>
      <c r="L120" s="1052"/>
      <c r="M120" s="749">
        <v>1952000</v>
      </c>
      <c r="O120" s="4"/>
      <c r="P120" s="4"/>
      <c r="Q120" s="4"/>
    </row>
    <row r="121" spans="2:17" x14ac:dyDescent="0.25">
      <c r="B121" s="4"/>
      <c r="C121" s="4"/>
      <c r="D121" s="4"/>
      <c r="E121" s="4"/>
      <c r="F121" s="4"/>
      <c r="G121" s="4"/>
      <c r="H121" s="4"/>
      <c r="I121" s="4"/>
      <c r="J121" s="1052" t="s">
        <v>2244</v>
      </c>
      <c r="K121" s="1052"/>
      <c r="L121" s="1052"/>
      <c r="M121" s="749">
        <v>500000</v>
      </c>
      <c r="O121" s="4"/>
      <c r="P121" s="4"/>
      <c r="Q121" s="4"/>
    </row>
    <row r="122" spans="2:17" x14ac:dyDescent="0.25">
      <c r="B122" s="4"/>
      <c r="C122" s="4"/>
      <c r="D122" s="4"/>
      <c r="E122" s="4"/>
      <c r="F122" s="4"/>
      <c r="G122" s="4"/>
      <c r="H122" s="4"/>
      <c r="I122" s="4"/>
      <c r="J122" s="1052" t="s">
        <v>2318</v>
      </c>
      <c r="K122" s="1052"/>
      <c r="L122" s="1052"/>
      <c r="M122" s="749">
        <v>9501772.1140000001</v>
      </c>
      <c r="O122" s="4"/>
      <c r="P122" s="4"/>
      <c r="Q122" s="4"/>
    </row>
    <row r="123" spans="2:17" x14ac:dyDescent="0.25">
      <c r="B123" s="4"/>
      <c r="C123" s="4"/>
      <c r="D123" s="4"/>
      <c r="E123" s="4"/>
      <c r="F123" s="4"/>
      <c r="G123" s="4"/>
      <c r="H123" s="4"/>
      <c r="I123" s="4"/>
      <c r="J123" s="1052" t="s">
        <v>2324</v>
      </c>
      <c r="K123" s="1052"/>
      <c r="L123" s="1052"/>
      <c r="M123" s="749">
        <v>5000000</v>
      </c>
      <c r="O123" s="4"/>
      <c r="P123" s="4"/>
      <c r="Q123" s="4"/>
    </row>
    <row r="124" spans="2:17" x14ac:dyDescent="0.25">
      <c r="B124" s="4"/>
      <c r="C124" s="4"/>
      <c r="D124" s="4"/>
      <c r="E124" s="4"/>
      <c r="F124" s="4"/>
      <c r="G124" s="4"/>
      <c r="H124" s="4"/>
      <c r="I124" s="4"/>
      <c r="J124" s="1052" t="s">
        <v>2339</v>
      </c>
      <c r="K124" s="1052"/>
      <c r="L124" s="1052"/>
      <c r="M124" s="757">
        <f>M117+M119+M118+M5+M120+M121+M122+M123</f>
        <v>251500104.16222799</v>
      </c>
      <c r="N124" s="4"/>
      <c r="O124" s="4"/>
      <c r="P124" s="4"/>
      <c r="Q124" s="4"/>
    </row>
    <row r="125" spans="2:17" x14ac:dyDescent="0.25">
      <c r="B125" s="4"/>
      <c r="C125" s="4"/>
      <c r="D125" s="4"/>
      <c r="E125" s="4"/>
      <c r="F125" s="4"/>
      <c r="G125" s="4"/>
      <c r="H125" s="4"/>
      <c r="I125" s="4"/>
      <c r="J125" s="1052" t="s">
        <v>2220</v>
      </c>
      <c r="K125" s="1052"/>
      <c r="L125" s="1052"/>
      <c r="M125" s="749">
        <f>SUM(M102:M109)</f>
        <v>3770760</v>
      </c>
      <c r="N125" s="747">
        <f>M125*2</f>
        <v>7541520</v>
      </c>
      <c r="O125" s="4"/>
      <c r="P125" s="4"/>
      <c r="Q125" s="4"/>
    </row>
    <row r="126" spans="2:17" x14ac:dyDescent="0.25">
      <c r="B126" s="4"/>
      <c r="C126" s="4"/>
      <c r="D126" s="4"/>
      <c r="E126" s="4"/>
      <c r="F126" s="4"/>
      <c r="G126" s="4"/>
      <c r="H126" s="4"/>
      <c r="I126" s="4"/>
      <c r="J126" s="4"/>
      <c r="K126" s="4"/>
      <c r="L126" s="4"/>
      <c r="M126" s="4"/>
      <c r="N126" s="4"/>
      <c r="O126" s="4"/>
      <c r="P126" s="4"/>
      <c r="Q126" s="4"/>
    </row>
    <row r="127" spans="2:17" x14ac:dyDescent="0.25">
      <c r="B127" s="4"/>
      <c r="C127" s="4"/>
      <c r="D127" s="4"/>
      <c r="E127" s="4"/>
      <c r="F127" s="4"/>
      <c r="G127" s="4"/>
      <c r="H127" s="4"/>
      <c r="I127" s="4"/>
      <c r="J127" s="4"/>
      <c r="K127" s="4"/>
      <c r="L127" s="4"/>
      <c r="M127" s="4"/>
      <c r="N127" s="4"/>
      <c r="O127" s="4"/>
      <c r="P127" s="4"/>
      <c r="Q127" s="4"/>
    </row>
    <row r="128" spans="2:17" x14ac:dyDescent="0.25">
      <c r="B128" s="4"/>
      <c r="C128" s="4"/>
      <c r="D128" s="4"/>
      <c r="E128" s="4"/>
      <c r="F128" s="4"/>
      <c r="G128" s="4"/>
      <c r="H128" s="4"/>
      <c r="I128" s="4"/>
      <c r="J128" s="4"/>
      <c r="K128" s="4"/>
      <c r="L128" s="4"/>
      <c r="M128" s="4"/>
      <c r="N128" s="4"/>
      <c r="O128" s="4"/>
      <c r="P128" s="4"/>
      <c r="Q128" s="4"/>
    </row>
    <row r="129" spans="2:17" x14ac:dyDescent="0.25">
      <c r="B129" s="4"/>
      <c r="C129" s="4"/>
      <c r="D129" s="4"/>
      <c r="E129" s="4"/>
      <c r="F129" s="4"/>
      <c r="G129" s="4"/>
      <c r="H129" s="4"/>
      <c r="I129" s="4"/>
      <c r="J129" s="4"/>
      <c r="K129" s="4"/>
      <c r="L129" s="4"/>
      <c r="M129" s="4"/>
      <c r="N129" s="4"/>
      <c r="O129" s="4"/>
      <c r="P129" s="4"/>
      <c r="Q129" s="4"/>
    </row>
    <row r="130" spans="2:17" x14ac:dyDescent="0.25">
      <c r="B130" s="4"/>
      <c r="C130" s="4"/>
      <c r="D130" s="4"/>
      <c r="E130" s="4"/>
      <c r="F130" s="4"/>
      <c r="G130" s="4"/>
      <c r="H130" s="4"/>
      <c r="I130" s="4"/>
      <c r="J130" s="4"/>
      <c r="K130" s="4"/>
      <c r="L130" s="4"/>
      <c r="M130" s="4"/>
      <c r="N130" s="4"/>
      <c r="O130" s="4"/>
      <c r="P130" s="4"/>
      <c r="Q130" s="4"/>
    </row>
    <row r="131" spans="2:17" x14ac:dyDescent="0.25">
      <c r="B131" s="4"/>
      <c r="C131" s="4"/>
      <c r="D131" s="4"/>
      <c r="E131" s="4"/>
      <c r="F131" s="4"/>
      <c r="G131" s="4"/>
      <c r="H131" s="4"/>
      <c r="I131" s="4"/>
      <c r="J131" s="4"/>
      <c r="K131" s="4"/>
      <c r="L131" s="4"/>
      <c r="M131" s="4"/>
      <c r="N131" s="4"/>
      <c r="O131" s="4"/>
      <c r="P131" s="4"/>
      <c r="Q131" s="4"/>
    </row>
    <row r="132" spans="2:17" x14ac:dyDescent="0.25">
      <c r="B132" s="4"/>
      <c r="C132" s="4"/>
      <c r="D132" s="4"/>
      <c r="E132" s="4"/>
      <c r="F132" s="4"/>
      <c r="G132" s="4"/>
      <c r="H132" s="4"/>
      <c r="I132" s="4"/>
      <c r="J132" s="4"/>
      <c r="K132" s="4"/>
      <c r="L132" s="4"/>
      <c r="M132" s="4"/>
      <c r="N132" s="4"/>
      <c r="O132" s="4"/>
      <c r="P132" s="4"/>
      <c r="Q132" s="4"/>
    </row>
    <row r="133" spans="2:17" x14ac:dyDescent="0.25">
      <c r="B133" s="4"/>
      <c r="C133" s="4"/>
      <c r="D133" s="4"/>
      <c r="E133" s="4"/>
      <c r="F133" s="4"/>
      <c r="G133" s="4"/>
      <c r="H133" s="4"/>
      <c r="I133" s="4"/>
      <c r="J133" s="4"/>
      <c r="K133" s="4"/>
      <c r="L133" s="4"/>
      <c r="M133" s="4"/>
      <c r="N133" s="4"/>
      <c r="O133" s="4"/>
      <c r="P133" s="4"/>
      <c r="Q133" s="4"/>
    </row>
    <row r="134" spans="2:17" x14ac:dyDescent="0.25">
      <c r="B134" s="4"/>
      <c r="C134" s="4"/>
      <c r="D134" s="4"/>
      <c r="E134" s="4"/>
      <c r="F134" s="4"/>
      <c r="G134" s="4"/>
      <c r="H134" s="4"/>
      <c r="I134" s="4"/>
      <c r="J134" s="4"/>
      <c r="K134" s="4"/>
      <c r="L134" s="4"/>
      <c r="M134" s="4"/>
      <c r="N134" s="4"/>
      <c r="O134" s="4"/>
      <c r="P134" s="4"/>
      <c r="Q134" s="4"/>
    </row>
    <row r="135" spans="2:17" x14ac:dyDescent="0.25">
      <c r="B135" s="4"/>
      <c r="C135" s="4"/>
      <c r="D135" s="4"/>
      <c r="E135" s="4"/>
      <c r="F135" s="4"/>
      <c r="G135" s="4"/>
      <c r="H135" s="4"/>
      <c r="I135" s="4"/>
      <c r="J135" s="4"/>
      <c r="K135" s="4"/>
      <c r="L135" s="4"/>
      <c r="M135" s="4"/>
      <c r="N135" s="4"/>
      <c r="O135" s="4"/>
      <c r="P135" s="4"/>
      <c r="Q135" s="4"/>
    </row>
    <row r="136" spans="2:17" x14ac:dyDescent="0.25">
      <c r="B136" s="4"/>
      <c r="C136" s="4"/>
      <c r="D136" s="4"/>
      <c r="E136" s="4"/>
      <c r="F136" s="4"/>
      <c r="G136" s="4"/>
      <c r="H136" s="4"/>
      <c r="I136" s="4"/>
      <c r="J136" s="4"/>
      <c r="K136" s="4"/>
      <c r="L136" s="4"/>
      <c r="M136" s="4"/>
      <c r="N136" s="4"/>
      <c r="O136" s="4"/>
      <c r="P136" s="4"/>
      <c r="Q136" s="4"/>
    </row>
    <row r="137" spans="2:17" x14ac:dyDescent="0.25">
      <c r="B137" s="4"/>
      <c r="C137" s="4"/>
      <c r="D137" s="4"/>
      <c r="E137" s="4"/>
      <c r="F137" s="4"/>
      <c r="G137" s="4"/>
      <c r="H137" s="4"/>
      <c r="I137" s="4"/>
      <c r="J137" s="4"/>
      <c r="K137" s="4"/>
      <c r="L137" s="4"/>
      <c r="M137" s="4"/>
      <c r="N137" s="4"/>
      <c r="O137" s="4"/>
      <c r="P137" s="4"/>
      <c r="Q137" s="4"/>
    </row>
    <row r="138" spans="2:17" x14ac:dyDescent="0.25">
      <c r="B138" s="4"/>
      <c r="C138" s="4"/>
      <c r="D138" s="4"/>
      <c r="E138" s="4"/>
      <c r="F138" s="4"/>
      <c r="G138" s="4"/>
      <c r="H138" s="4"/>
      <c r="I138" s="4"/>
      <c r="J138" s="4"/>
      <c r="K138" s="4"/>
      <c r="L138" s="4"/>
      <c r="M138" s="4"/>
      <c r="N138" s="4"/>
      <c r="O138" s="4"/>
      <c r="P138" s="4"/>
      <c r="Q138" s="4"/>
    </row>
    <row r="139" spans="2:17" x14ac:dyDescent="0.25">
      <c r="B139" s="4"/>
      <c r="C139" s="4"/>
      <c r="D139" s="4"/>
      <c r="E139" s="4"/>
      <c r="F139" s="4"/>
      <c r="G139" s="4"/>
      <c r="H139" s="4"/>
      <c r="I139" s="4"/>
      <c r="J139" s="4"/>
      <c r="K139" s="4"/>
      <c r="L139" s="4"/>
      <c r="M139" s="4"/>
      <c r="N139" s="4"/>
      <c r="O139" s="4"/>
      <c r="P139" s="4"/>
      <c r="Q139" s="4"/>
    </row>
    <row r="140" spans="2:17" x14ac:dyDescent="0.25">
      <c r="B140" s="4"/>
      <c r="C140" s="4"/>
      <c r="D140" s="4"/>
      <c r="E140" s="4"/>
      <c r="F140" s="4"/>
      <c r="G140" s="4"/>
      <c r="H140" s="4"/>
      <c r="I140" s="4"/>
      <c r="J140" s="4"/>
      <c r="K140" s="4"/>
      <c r="L140" s="4"/>
      <c r="M140" s="4"/>
      <c r="N140" s="4"/>
      <c r="O140" s="4"/>
      <c r="P140" s="4"/>
      <c r="Q140" s="4"/>
    </row>
    <row r="141" spans="2:17" x14ac:dyDescent="0.25">
      <c r="B141" s="4"/>
      <c r="C141" s="4"/>
      <c r="D141" s="4"/>
      <c r="E141" s="4"/>
      <c r="F141" s="4"/>
      <c r="G141" s="4"/>
      <c r="H141" s="4"/>
      <c r="I141" s="4"/>
      <c r="J141" s="4"/>
      <c r="K141" s="4"/>
      <c r="L141" s="4"/>
      <c r="M141" s="4"/>
      <c r="N141" s="4"/>
      <c r="O141" s="4"/>
      <c r="P141" s="4"/>
      <c r="Q141" s="4"/>
    </row>
    <row r="142" spans="2:17" x14ac:dyDescent="0.25">
      <c r="B142" s="4"/>
      <c r="C142" s="4"/>
      <c r="D142" s="4"/>
      <c r="E142" s="4"/>
      <c r="F142" s="4"/>
      <c r="G142" s="4"/>
      <c r="H142" s="4"/>
      <c r="I142" s="4"/>
      <c r="J142" s="4"/>
      <c r="K142" s="4"/>
      <c r="L142" s="4"/>
      <c r="M142" s="4"/>
      <c r="N142" s="4"/>
      <c r="O142" s="4"/>
      <c r="P142" s="4"/>
      <c r="Q142" s="4"/>
    </row>
    <row r="143" spans="2:17" x14ac:dyDescent="0.25">
      <c r="B143" s="4"/>
      <c r="C143" s="4"/>
      <c r="D143" s="4"/>
      <c r="E143" s="4"/>
      <c r="F143" s="4"/>
      <c r="G143" s="4"/>
      <c r="H143" s="4"/>
      <c r="I143" s="4"/>
      <c r="J143" s="4"/>
      <c r="K143" s="4"/>
      <c r="L143" s="4"/>
      <c r="M143" s="4"/>
      <c r="N143" s="4"/>
      <c r="O143" s="4"/>
      <c r="P143" s="4"/>
      <c r="Q143" s="4"/>
    </row>
    <row r="144" spans="2:17" x14ac:dyDescent="0.25">
      <c r="B144" s="4"/>
      <c r="C144" s="4"/>
      <c r="D144" s="4"/>
      <c r="E144" s="4"/>
      <c r="F144" s="4"/>
      <c r="G144" s="4"/>
      <c r="H144" s="4"/>
      <c r="I144" s="4"/>
      <c r="J144" s="4"/>
      <c r="K144" s="4"/>
      <c r="L144" s="4"/>
      <c r="M144" s="4"/>
      <c r="N144" s="4"/>
      <c r="O144" s="4"/>
      <c r="P144" s="4"/>
      <c r="Q144" s="4"/>
    </row>
    <row r="145" spans="2:17" x14ac:dyDescent="0.25">
      <c r="B145" s="4"/>
      <c r="C145" s="4"/>
      <c r="D145" s="4"/>
      <c r="E145" s="4"/>
      <c r="F145" s="4"/>
      <c r="G145" s="4"/>
      <c r="H145" s="4"/>
      <c r="I145" s="4"/>
      <c r="J145" s="4"/>
      <c r="K145" s="4"/>
      <c r="L145" s="4"/>
      <c r="M145" s="4"/>
      <c r="N145" s="4"/>
      <c r="O145" s="4"/>
      <c r="P145" s="4"/>
      <c r="Q145" s="4"/>
    </row>
    <row r="146" spans="2:17" x14ac:dyDescent="0.25">
      <c r="B146" s="4"/>
      <c r="C146" s="4"/>
      <c r="D146" s="4"/>
      <c r="E146" s="4"/>
      <c r="F146" s="4"/>
      <c r="G146" s="4"/>
      <c r="H146" s="4"/>
      <c r="I146" s="4"/>
      <c r="J146" s="4"/>
      <c r="K146" s="4"/>
      <c r="L146" s="4"/>
      <c r="M146" s="4"/>
      <c r="N146" s="4"/>
      <c r="O146" s="4"/>
      <c r="P146" s="4"/>
      <c r="Q146" s="4"/>
    </row>
    <row r="147" spans="2:17" x14ac:dyDescent="0.25">
      <c r="B147" s="4"/>
      <c r="C147" s="4"/>
      <c r="D147" s="4"/>
      <c r="E147" s="4"/>
      <c r="F147" s="4"/>
      <c r="G147" s="4"/>
      <c r="H147" s="4"/>
      <c r="I147" s="4"/>
      <c r="J147" s="4"/>
      <c r="K147" s="4"/>
      <c r="L147" s="4"/>
      <c r="M147" s="4"/>
      <c r="N147" s="4"/>
      <c r="O147" s="4"/>
      <c r="P147" s="4"/>
      <c r="Q147" s="4"/>
    </row>
    <row r="148" spans="2:17" x14ac:dyDescent="0.25">
      <c r="B148" s="4"/>
      <c r="C148" s="4"/>
      <c r="D148" s="4"/>
      <c r="E148" s="4"/>
      <c r="F148" s="4"/>
      <c r="G148" s="4"/>
      <c r="H148" s="4"/>
      <c r="I148" s="4"/>
      <c r="J148" s="4"/>
      <c r="K148" s="4"/>
      <c r="L148" s="4"/>
      <c r="M148" s="4"/>
      <c r="N148" s="4"/>
      <c r="O148" s="4"/>
      <c r="P148" s="4"/>
      <c r="Q148" s="4"/>
    </row>
    <row r="149" spans="2:17" x14ac:dyDescent="0.25">
      <c r="B149" s="4"/>
      <c r="C149" s="4"/>
      <c r="D149" s="4"/>
      <c r="E149" s="4"/>
      <c r="F149" s="4"/>
      <c r="G149" s="4"/>
      <c r="H149" s="4"/>
      <c r="I149" s="4"/>
      <c r="J149" s="4"/>
      <c r="K149" s="4"/>
      <c r="L149" s="4"/>
      <c r="M149" s="4"/>
      <c r="N149" s="4"/>
      <c r="O149" s="4"/>
      <c r="P149" s="4"/>
      <c r="Q149" s="4"/>
    </row>
    <row r="150" spans="2:17" x14ac:dyDescent="0.25">
      <c r="B150" s="4"/>
      <c r="C150" s="4"/>
      <c r="D150" s="4"/>
      <c r="E150" s="4"/>
      <c r="F150" s="4"/>
      <c r="G150" s="4"/>
      <c r="H150" s="4"/>
      <c r="I150" s="4"/>
      <c r="J150" s="4"/>
      <c r="K150" s="4"/>
      <c r="L150" s="4"/>
      <c r="M150" s="4"/>
      <c r="N150" s="4"/>
      <c r="O150" s="4"/>
      <c r="P150" s="4"/>
      <c r="Q150" s="4"/>
    </row>
    <row r="151" spans="2:17" x14ac:dyDescent="0.25">
      <c r="B151" s="4"/>
      <c r="C151" s="4"/>
      <c r="D151" s="4"/>
      <c r="E151" s="4"/>
      <c r="F151" s="4"/>
      <c r="G151" s="4"/>
      <c r="H151" s="4"/>
      <c r="I151" s="4"/>
      <c r="J151" s="4"/>
      <c r="K151" s="4"/>
      <c r="L151" s="4"/>
      <c r="M151" s="4"/>
      <c r="N151" s="4"/>
      <c r="O151" s="4"/>
      <c r="P151" s="4"/>
      <c r="Q151" s="4"/>
    </row>
    <row r="152" spans="2:17" x14ac:dyDescent="0.25">
      <c r="B152" s="4"/>
      <c r="C152" s="4"/>
      <c r="D152" s="4"/>
      <c r="E152" s="4"/>
      <c r="F152" s="4"/>
      <c r="G152" s="4"/>
      <c r="H152" s="4"/>
      <c r="I152" s="4"/>
      <c r="J152" s="4"/>
      <c r="K152" s="4"/>
      <c r="L152" s="4"/>
      <c r="M152" s="4"/>
      <c r="N152" s="4"/>
      <c r="O152" s="4"/>
      <c r="P152" s="4"/>
      <c r="Q152" s="4"/>
    </row>
    <row r="153" spans="2:17" x14ac:dyDescent="0.25">
      <c r="B153" s="4"/>
      <c r="C153" s="4"/>
      <c r="D153" s="4"/>
      <c r="E153" s="4"/>
      <c r="F153" s="4"/>
      <c r="G153" s="4"/>
      <c r="H153" s="4"/>
      <c r="I153" s="4"/>
      <c r="J153" s="4"/>
      <c r="K153" s="4"/>
      <c r="L153" s="4"/>
      <c r="M153" s="4"/>
      <c r="N153" s="4"/>
      <c r="O153" s="4"/>
      <c r="P153" s="4"/>
      <c r="Q153" s="4"/>
    </row>
    <row r="154" spans="2:17" x14ac:dyDescent="0.25">
      <c r="B154" s="4"/>
      <c r="C154" s="4"/>
      <c r="D154" s="4"/>
      <c r="E154" s="4"/>
      <c r="F154" s="4"/>
      <c r="G154" s="4"/>
      <c r="H154" s="4"/>
      <c r="I154" s="4"/>
      <c r="J154" s="4"/>
      <c r="K154" s="4"/>
      <c r="L154" s="4"/>
      <c r="M154" s="4"/>
      <c r="N154" s="4"/>
      <c r="O154" s="4"/>
      <c r="P154" s="4"/>
      <c r="Q154" s="4"/>
    </row>
    <row r="155" spans="2:17" x14ac:dyDescent="0.25">
      <c r="B155" s="4"/>
      <c r="C155" s="4"/>
      <c r="D155" s="4"/>
      <c r="E155" s="4"/>
      <c r="F155" s="4"/>
      <c r="G155" s="4"/>
      <c r="H155" s="4"/>
      <c r="I155" s="4"/>
      <c r="J155" s="4"/>
      <c r="K155" s="4"/>
      <c r="L155" s="4"/>
      <c r="M155" s="4"/>
      <c r="N155" s="4"/>
      <c r="O155" s="4"/>
      <c r="P155" s="4"/>
      <c r="Q155" s="4"/>
    </row>
    <row r="156" spans="2:17" x14ac:dyDescent="0.25">
      <c r="B156" s="4"/>
      <c r="C156" s="4"/>
      <c r="D156" s="4"/>
      <c r="E156" s="4"/>
      <c r="F156" s="4"/>
      <c r="G156" s="4"/>
      <c r="H156" s="4"/>
      <c r="I156" s="4"/>
      <c r="J156" s="4"/>
      <c r="K156" s="4"/>
      <c r="L156" s="4"/>
      <c r="M156" s="4"/>
      <c r="N156" s="4"/>
      <c r="O156" s="4"/>
      <c r="P156" s="4"/>
      <c r="Q156" s="4"/>
    </row>
    <row r="157" spans="2:17" x14ac:dyDescent="0.25">
      <c r="B157" s="4"/>
      <c r="C157" s="4"/>
      <c r="D157" s="4"/>
      <c r="E157" s="4"/>
      <c r="F157" s="4"/>
      <c r="G157" s="4"/>
      <c r="H157" s="4"/>
      <c r="I157" s="4"/>
      <c r="J157" s="4"/>
      <c r="K157" s="4"/>
      <c r="L157" s="4"/>
      <c r="M157" s="4"/>
      <c r="N157" s="4"/>
      <c r="O157" s="4"/>
      <c r="P157" s="4"/>
      <c r="Q157" s="4"/>
    </row>
    <row r="158" spans="2:17" x14ac:dyDescent="0.25">
      <c r="B158" s="4"/>
      <c r="C158" s="4"/>
      <c r="D158" s="4"/>
      <c r="E158" s="4"/>
      <c r="F158" s="4"/>
      <c r="G158" s="4"/>
      <c r="H158" s="4"/>
      <c r="I158" s="4"/>
      <c r="J158" s="4"/>
      <c r="K158" s="4"/>
      <c r="L158" s="4"/>
      <c r="M158" s="4"/>
      <c r="N158" s="4"/>
      <c r="O158" s="4"/>
      <c r="P158" s="4"/>
      <c r="Q158" s="4"/>
    </row>
    <row r="159" spans="2:17" x14ac:dyDescent="0.25">
      <c r="B159" s="4"/>
      <c r="C159" s="4"/>
      <c r="D159" s="4"/>
      <c r="E159" s="4"/>
      <c r="F159" s="4"/>
      <c r="G159" s="4"/>
      <c r="H159" s="4"/>
      <c r="I159" s="4"/>
      <c r="J159" s="4"/>
      <c r="K159" s="4"/>
      <c r="L159" s="4"/>
      <c r="M159" s="4"/>
      <c r="N159" s="4"/>
      <c r="O159" s="4"/>
      <c r="P159" s="4"/>
      <c r="Q159" s="4"/>
    </row>
    <row r="160" spans="2:17" x14ac:dyDescent="0.25">
      <c r="B160" s="4"/>
      <c r="C160" s="4"/>
      <c r="D160" s="4"/>
      <c r="E160" s="4"/>
      <c r="F160" s="4"/>
      <c r="G160" s="4"/>
      <c r="H160" s="4"/>
      <c r="I160" s="4"/>
      <c r="J160" s="4"/>
      <c r="K160" s="4"/>
      <c r="L160" s="4"/>
      <c r="M160" s="4"/>
      <c r="N160" s="4"/>
      <c r="O160" s="4"/>
      <c r="P160" s="4"/>
      <c r="Q160" s="4"/>
    </row>
    <row r="161" spans="2:17" x14ac:dyDescent="0.25">
      <c r="B161" s="4"/>
      <c r="C161" s="4"/>
      <c r="D161" s="4"/>
      <c r="E161" s="4"/>
      <c r="F161" s="4"/>
      <c r="G161" s="4"/>
      <c r="H161" s="4"/>
      <c r="I161" s="4"/>
      <c r="J161" s="4"/>
      <c r="K161" s="4"/>
      <c r="L161" s="4"/>
      <c r="M161" s="4"/>
      <c r="N161" s="4"/>
      <c r="O161" s="4"/>
      <c r="P161" s="4"/>
      <c r="Q161" s="4"/>
    </row>
    <row r="162" spans="2:17" x14ac:dyDescent="0.25">
      <c r="B162" s="4"/>
      <c r="C162" s="4"/>
      <c r="D162" s="4"/>
      <c r="E162" s="4"/>
      <c r="F162" s="4"/>
      <c r="G162" s="4"/>
      <c r="H162" s="4"/>
      <c r="I162" s="4"/>
      <c r="J162" s="4"/>
      <c r="K162" s="4"/>
      <c r="L162" s="4"/>
      <c r="M162" s="4"/>
      <c r="N162" s="4"/>
      <c r="O162" s="4"/>
      <c r="P162" s="4"/>
      <c r="Q162" s="4"/>
    </row>
    <row r="163" spans="2:17" x14ac:dyDescent="0.25">
      <c r="B163" s="4"/>
      <c r="C163" s="4"/>
      <c r="D163" s="4"/>
      <c r="E163" s="4"/>
      <c r="F163" s="4"/>
      <c r="G163" s="4"/>
      <c r="H163" s="4"/>
      <c r="I163" s="4"/>
      <c r="J163" s="4"/>
      <c r="K163" s="4"/>
      <c r="L163" s="4"/>
      <c r="M163" s="4"/>
      <c r="N163" s="4"/>
      <c r="O163" s="4"/>
      <c r="P163" s="4"/>
      <c r="Q163" s="4"/>
    </row>
    <row r="164" spans="2:17" x14ac:dyDescent="0.25">
      <c r="B164" s="4"/>
      <c r="C164" s="4"/>
      <c r="D164" s="4"/>
      <c r="E164" s="4"/>
      <c r="F164" s="4"/>
      <c r="G164" s="4"/>
      <c r="H164" s="4"/>
      <c r="I164" s="4"/>
      <c r="J164" s="4"/>
      <c r="K164" s="4"/>
      <c r="L164" s="4"/>
      <c r="M164" s="4"/>
      <c r="N164" s="4"/>
      <c r="O164" s="4"/>
      <c r="P164" s="4"/>
      <c r="Q164" s="4"/>
    </row>
    <row r="165" spans="2:17" x14ac:dyDescent="0.25">
      <c r="B165" s="4"/>
      <c r="C165" s="4"/>
      <c r="D165" s="4"/>
      <c r="E165" s="4"/>
      <c r="F165" s="4"/>
      <c r="G165" s="4"/>
      <c r="H165" s="4"/>
      <c r="I165" s="4"/>
      <c r="J165" s="4"/>
      <c r="K165" s="4"/>
      <c r="L165" s="4"/>
      <c r="M165" s="4"/>
      <c r="N165" s="4"/>
      <c r="O165" s="4"/>
      <c r="P165" s="4"/>
      <c r="Q165" s="4"/>
    </row>
    <row r="166" spans="2:17" x14ac:dyDescent="0.25">
      <c r="B166" s="4"/>
      <c r="C166" s="4"/>
      <c r="D166" s="4"/>
      <c r="E166" s="4"/>
      <c r="F166" s="4"/>
      <c r="G166" s="4"/>
      <c r="H166" s="4"/>
      <c r="I166" s="4"/>
      <c r="J166" s="4"/>
      <c r="K166" s="4"/>
      <c r="L166" s="4"/>
      <c r="M166" s="4"/>
      <c r="N166" s="4"/>
      <c r="O166" s="4"/>
      <c r="P166" s="4"/>
      <c r="Q166" s="4"/>
    </row>
    <row r="167" spans="2:17" x14ac:dyDescent="0.25">
      <c r="B167" s="4"/>
      <c r="C167" s="4"/>
      <c r="D167" s="4"/>
      <c r="E167" s="4"/>
      <c r="F167" s="4"/>
      <c r="G167" s="4"/>
      <c r="H167" s="4"/>
      <c r="I167" s="4"/>
      <c r="J167" s="4"/>
      <c r="K167" s="4"/>
      <c r="L167" s="4"/>
      <c r="M167" s="4"/>
      <c r="N167" s="4"/>
      <c r="O167" s="4"/>
      <c r="P167" s="4"/>
      <c r="Q167" s="4"/>
    </row>
    <row r="168" spans="2:17" x14ac:dyDescent="0.25">
      <c r="B168" s="4"/>
      <c r="C168" s="4"/>
      <c r="D168" s="4"/>
      <c r="E168" s="4"/>
      <c r="F168" s="4"/>
      <c r="G168" s="4"/>
      <c r="H168" s="4"/>
      <c r="I168" s="4"/>
      <c r="J168" s="4"/>
      <c r="K168" s="4"/>
      <c r="L168" s="4"/>
      <c r="M168" s="4"/>
      <c r="N168" s="4"/>
      <c r="O168" s="4"/>
      <c r="P168" s="4"/>
      <c r="Q168" s="4"/>
    </row>
    <row r="169" spans="2:17" x14ac:dyDescent="0.25">
      <c r="B169" s="4"/>
      <c r="C169" s="4"/>
      <c r="D169" s="4"/>
      <c r="E169" s="4"/>
      <c r="F169" s="4"/>
      <c r="G169" s="4"/>
      <c r="H169" s="4"/>
      <c r="I169" s="4"/>
      <c r="J169" s="4"/>
      <c r="K169" s="4"/>
      <c r="L169" s="4"/>
      <c r="M169" s="4"/>
      <c r="N169" s="4"/>
      <c r="O169" s="4"/>
      <c r="P169" s="4"/>
      <c r="Q169" s="4"/>
    </row>
    <row r="170" spans="2:17" x14ac:dyDescent="0.25">
      <c r="B170" s="4"/>
      <c r="C170" s="4"/>
      <c r="D170" s="4"/>
      <c r="E170" s="4"/>
      <c r="F170" s="4"/>
      <c r="G170" s="4"/>
      <c r="H170" s="4"/>
      <c r="I170" s="4"/>
      <c r="J170" s="4"/>
      <c r="K170" s="4"/>
      <c r="L170" s="4"/>
      <c r="M170" s="4"/>
      <c r="N170" s="4"/>
      <c r="O170" s="4"/>
      <c r="P170" s="4"/>
      <c r="Q170" s="4"/>
    </row>
    <row r="171" spans="2:17" x14ac:dyDescent="0.25">
      <c r="B171" s="4"/>
      <c r="C171" s="4"/>
      <c r="D171" s="4"/>
      <c r="E171" s="4"/>
      <c r="F171" s="4"/>
      <c r="G171" s="4"/>
      <c r="H171" s="4"/>
      <c r="I171" s="4"/>
      <c r="J171" s="4"/>
      <c r="K171" s="4"/>
      <c r="L171" s="4"/>
      <c r="M171" s="4"/>
      <c r="N171" s="4"/>
      <c r="O171" s="4"/>
      <c r="P171" s="4"/>
      <c r="Q171" s="4"/>
    </row>
    <row r="172" spans="2:17" x14ac:dyDescent="0.25">
      <c r="B172" s="4"/>
      <c r="C172" s="4"/>
      <c r="D172" s="4"/>
      <c r="E172" s="4"/>
      <c r="F172" s="4"/>
      <c r="G172" s="4"/>
      <c r="H172" s="4"/>
      <c r="I172" s="4"/>
      <c r="J172" s="4"/>
      <c r="K172" s="4"/>
      <c r="L172" s="4"/>
      <c r="M172" s="4"/>
      <c r="N172" s="4"/>
      <c r="O172" s="4"/>
      <c r="P172" s="4"/>
      <c r="Q172" s="4"/>
    </row>
    <row r="173" spans="2:17" x14ac:dyDescent="0.25">
      <c r="B173" s="4"/>
      <c r="C173" s="4"/>
      <c r="D173" s="4"/>
      <c r="E173" s="4"/>
      <c r="F173" s="4"/>
      <c r="G173" s="4"/>
      <c r="H173" s="4"/>
      <c r="I173" s="4"/>
      <c r="J173" s="4"/>
      <c r="K173" s="4"/>
      <c r="L173" s="4"/>
      <c r="M173" s="4"/>
      <c r="N173" s="4"/>
      <c r="O173" s="4"/>
      <c r="P173" s="4"/>
      <c r="Q173" s="4"/>
    </row>
    <row r="174" spans="2:17" x14ac:dyDescent="0.25">
      <c r="B174" s="4"/>
      <c r="C174" s="4"/>
      <c r="D174" s="4"/>
      <c r="E174" s="4"/>
      <c r="F174" s="4"/>
      <c r="G174" s="4"/>
      <c r="H174" s="4"/>
      <c r="I174" s="4"/>
      <c r="J174" s="4"/>
      <c r="K174" s="4"/>
      <c r="L174" s="4"/>
      <c r="M174" s="4"/>
      <c r="N174" s="4"/>
      <c r="O174" s="4"/>
      <c r="P174" s="4"/>
      <c r="Q174" s="4"/>
    </row>
    <row r="175" spans="2:17" x14ac:dyDescent="0.25">
      <c r="B175" s="4"/>
      <c r="C175" s="4"/>
      <c r="D175" s="4"/>
      <c r="E175" s="4"/>
      <c r="F175" s="4"/>
      <c r="G175" s="4"/>
      <c r="H175" s="4"/>
      <c r="I175" s="4"/>
      <c r="J175" s="4"/>
      <c r="K175" s="4"/>
      <c r="L175" s="4"/>
      <c r="M175" s="4"/>
      <c r="N175" s="4"/>
      <c r="O175" s="4"/>
      <c r="P175" s="4"/>
      <c r="Q175" s="4"/>
    </row>
    <row r="176" spans="2:17" x14ac:dyDescent="0.25">
      <c r="B176" s="4"/>
      <c r="C176" s="4"/>
      <c r="D176" s="4"/>
      <c r="E176" s="4"/>
      <c r="F176" s="4"/>
      <c r="G176" s="4"/>
      <c r="H176" s="4"/>
      <c r="I176" s="4"/>
      <c r="J176" s="4"/>
      <c r="K176" s="4"/>
      <c r="L176" s="4"/>
      <c r="M176" s="4"/>
      <c r="N176" s="4"/>
      <c r="O176" s="4"/>
      <c r="P176" s="4"/>
      <c r="Q176" s="4"/>
    </row>
    <row r="177" spans="2:17" x14ac:dyDescent="0.25">
      <c r="B177" s="4"/>
      <c r="C177" s="4"/>
      <c r="D177" s="4"/>
      <c r="E177" s="4"/>
      <c r="F177" s="4"/>
      <c r="G177" s="4"/>
      <c r="H177" s="4"/>
      <c r="I177" s="4"/>
      <c r="J177" s="4"/>
      <c r="K177" s="4"/>
      <c r="L177" s="4"/>
      <c r="M177" s="4"/>
      <c r="N177" s="4"/>
      <c r="O177" s="4"/>
      <c r="P177" s="4"/>
      <c r="Q177" s="4"/>
    </row>
    <row r="178" spans="2:17" x14ac:dyDescent="0.25">
      <c r="B178" s="4"/>
      <c r="C178" s="4"/>
      <c r="D178" s="4"/>
      <c r="E178" s="4"/>
      <c r="F178" s="4"/>
      <c r="G178" s="4"/>
      <c r="H178" s="4"/>
      <c r="I178" s="4"/>
      <c r="J178" s="4"/>
      <c r="K178" s="4"/>
      <c r="L178" s="4"/>
      <c r="M178" s="4"/>
      <c r="N178" s="4"/>
      <c r="O178" s="4"/>
      <c r="P178" s="4"/>
      <c r="Q178" s="4"/>
    </row>
    <row r="179" spans="2:17" x14ac:dyDescent="0.25">
      <c r="B179" s="4"/>
      <c r="C179" s="4"/>
      <c r="D179" s="4"/>
      <c r="E179" s="4"/>
      <c r="F179" s="4"/>
      <c r="G179" s="4"/>
      <c r="H179" s="4"/>
      <c r="I179" s="4"/>
      <c r="J179" s="4"/>
      <c r="K179" s="4"/>
      <c r="L179" s="4"/>
      <c r="M179" s="4"/>
      <c r="N179" s="4"/>
      <c r="O179" s="4"/>
      <c r="P179" s="4"/>
      <c r="Q179" s="4"/>
    </row>
    <row r="180" spans="2:17" x14ac:dyDescent="0.25">
      <c r="B180" s="4"/>
      <c r="C180" s="4"/>
      <c r="D180" s="4"/>
      <c r="E180" s="4"/>
      <c r="F180" s="4"/>
      <c r="G180" s="4"/>
      <c r="H180" s="4"/>
      <c r="I180" s="4"/>
      <c r="J180" s="4"/>
      <c r="K180" s="4"/>
      <c r="L180" s="4"/>
      <c r="M180" s="4"/>
      <c r="N180" s="4"/>
      <c r="O180" s="4"/>
      <c r="P180" s="4"/>
      <c r="Q180" s="4"/>
    </row>
    <row r="181" spans="2:17" x14ac:dyDescent="0.25">
      <c r="B181" s="4"/>
      <c r="C181" s="4"/>
      <c r="D181" s="4"/>
      <c r="E181" s="4"/>
      <c r="F181" s="4"/>
      <c r="G181" s="4"/>
      <c r="H181" s="4"/>
      <c r="I181" s="4"/>
      <c r="J181" s="4"/>
      <c r="K181" s="4"/>
      <c r="L181" s="4"/>
      <c r="M181" s="4"/>
      <c r="N181" s="4"/>
      <c r="O181" s="4"/>
      <c r="P181" s="4"/>
      <c r="Q181" s="4"/>
    </row>
    <row r="182" spans="2:17" x14ac:dyDescent="0.25">
      <c r="B182" s="4"/>
      <c r="C182" s="4"/>
      <c r="D182" s="4"/>
      <c r="E182" s="4"/>
      <c r="F182" s="4"/>
      <c r="G182" s="4"/>
      <c r="H182" s="4"/>
      <c r="I182" s="4"/>
      <c r="J182" s="4"/>
      <c r="K182" s="4"/>
      <c r="L182" s="4"/>
      <c r="M182" s="4"/>
      <c r="N182" s="4"/>
      <c r="O182" s="4"/>
      <c r="P182" s="4"/>
      <c r="Q182" s="4"/>
    </row>
    <row r="183" spans="2:17" x14ac:dyDescent="0.25">
      <c r="B183" s="4"/>
      <c r="C183" s="4"/>
      <c r="D183" s="4"/>
      <c r="E183" s="4"/>
      <c r="F183" s="4"/>
      <c r="G183" s="4"/>
      <c r="H183" s="4"/>
      <c r="I183" s="4"/>
      <c r="J183" s="4"/>
      <c r="K183" s="4"/>
      <c r="L183" s="4"/>
      <c r="M183" s="4"/>
      <c r="N183" s="4"/>
      <c r="O183" s="4"/>
      <c r="P183" s="4"/>
      <c r="Q183" s="4"/>
    </row>
    <row r="184" spans="2:17" x14ac:dyDescent="0.25">
      <c r="B184" s="4"/>
      <c r="C184" s="4"/>
      <c r="D184" s="4"/>
      <c r="E184" s="4"/>
      <c r="F184" s="4"/>
      <c r="G184" s="4"/>
      <c r="H184" s="4"/>
      <c r="I184" s="4"/>
      <c r="J184" s="4"/>
      <c r="K184" s="4"/>
      <c r="L184" s="4"/>
      <c r="M184" s="4"/>
      <c r="N184" s="4"/>
      <c r="O184" s="4"/>
      <c r="P184" s="4"/>
      <c r="Q184" s="4"/>
    </row>
    <row r="185" spans="2:17" x14ac:dyDescent="0.25">
      <c r="B185" s="4"/>
      <c r="C185" s="4"/>
      <c r="D185" s="4"/>
      <c r="E185" s="4"/>
      <c r="F185" s="4"/>
      <c r="G185" s="4"/>
      <c r="H185" s="4"/>
      <c r="I185" s="4"/>
      <c r="J185" s="4"/>
      <c r="K185" s="4"/>
      <c r="L185" s="4"/>
      <c r="M185" s="4"/>
      <c r="N185" s="4"/>
      <c r="O185" s="4"/>
      <c r="P185" s="4"/>
      <c r="Q185" s="4"/>
    </row>
    <row r="186" spans="2:17" x14ac:dyDescent="0.25">
      <c r="B186" s="4"/>
      <c r="C186" s="4"/>
      <c r="D186" s="4"/>
      <c r="E186" s="4"/>
      <c r="F186" s="4"/>
      <c r="G186" s="4"/>
      <c r="H186" s="4"/>
      <c r="I186" s="4"/>
      <c r="J186" s="4"/>
      <c r="K186" s="4"/>
      <c r="L186" s="4"/>
      <c r="M186" s="4"/>
      <c r="N186" s="4"/>
      <c r="O186" s="4"/>
      <c r="P186" s="4"/>
      <c r="Q186" s="4"/>
    </row>
    <row r="187" spans="2:17" x14ac:dyDescent="0.25">
      <c r="B187" s="4"/>
      <c r="C187" s="4"/>
      <c r="D187" s="4"/>
      <c r="E187" s="4"/>
      <c r="F187" s="4"/>
      <c r="G187" s="4"/>
      <c r="H187" s="4"/>
      <c r="I187" s="4"/>
      <c r="J187" s="4"/>
      <c r="K187" s="4"/>
      <c r="L187" s="4"/>
      <c r="M187" s="4"/>
      <c r="N187" s="4"/>
      <c r="O187" s="4"/>
      <c r="P187" s="4"/>
      <c r="Q187" s="4"/>
    </row>
    <row r="188" spans="2:17" x14ac:dyDescent="0.25">
      <c r="B188" s="4"/>
      <c r="C188" s="4"/>
      <c r="D188" s="4"/>
      <c r="E188" s="4"/>
      <c r="F188" s="4"/>
      <c r="G188" s="4"/>
      <c r="H188" s="4"/>
      <c r="I188" s="4"/>
      <c r="J188" s="4"/>
      <c r="K188" s="4"/>
      <c r="L188" s="4"/>
      <c r="M188" s="4"/>
      <c r="N188" s="4"/>
      <c r="O188" s="4"/>
      <c r="P188" s="4"/>
      <c r="Q188" s="4"/>
    </row>
    <row r="189" spans="2:17" x14ac:dyDescent="0.25">
      <c r="B189" s="4"/>
      <c r="C189" s="4"/>
      <c r="D189" s="4"/>
      <c r="E189" s="4"/>
      <c r="F189" s="4"/>
      <c r="G189" s="4"/>
      <c r="H189" s="4"/>
      <c r="I189" s="4"/>
      <c r="J189" s="4"/>
      <c r="K189" s="4"/>
      <c r="L189" s="4"/>
      <c r="M189" s="4"/>
      <c r="N189" s="4"/>
      <c r="O189" s="4"/>
      <c r="P189" s="4"/>
      <c r="Q189" s="4"/>
    </row>
    <row r="190" spans="2:17" x14ac:dyDescent="0.25">
      <c r="B190" s="4"/>
      <c r="C190" s="4"/>
      <c r="D190" s="4"/>
      <c r="E190" s="4"/>
      <c r="F190" s="4"/>
      <c r="G190" s="4"/>
      <c r="H190" s="4"/>
      <c r="I190" s="4"/>
      <c r="J190" s="4"/>
      <c r="K190" s="4"/>
      <c r="L190" s="4"/>
      <c r="M190" s="4"/>
      <c r="N190" s="4"/>
      <c r="O190" s="4"/>
      <c r="P190" s="4"/>
      <c r="Q190" s="4"/>
    </row>
    <row r="191" spans="2:17" x14ac:dyDescent="0.25">
      <c r="B191" s="4"/>
      <c r="C191" s="4"/>
      <c r="D191" s="4"/>
      <c r="E191" s="4"/>
      <c r="F191" s="4"/>
      <c r="G191" s="4"/>
      <c r="H191" s="4"/>
      <c r="I191" s="4"/>
      <c r="J191" s="4"/>
      <c r="K191" s="4"/>
      <c r="L191" s="4"/>
      <c r="M191" s="4"/>
      <c r="N191" s="4"/>
      <c r="O191" s="4"/>
      <c r="P191" s="4"/>
      <c r="Q191" s="4"/>
    </row>
    <row r="192" spans="2:17" x14ac:dyDescent="0.25">
      <c r="B192" s="4"/>
      <c r="C192" s="4"/>
      <c r="D192" s="4"/>
      <c r="E192" s="4"/>
      <c r="F192" s="4"/>
      <c r="G192" s="4"/>
      <c r="H192" s="4"/>
      <c r="I192" s="4"/>
      <c r="J192" s="4"/>
      <c r="K192" s="4"/>
      <c r="L192" s="4"/>
      <c r="M192" s="4"/>
      <c r="N192" s="4"/>
      <c r="O192" s="4"/>
      <c r="P192" s="4"/>
      <c r="Q192" s="4"/>
    </row>
    <row r="193" spans="2:17" x14ac:dyDescent="0.25">
      <c r="B193" s="4"/>
      <c r="C193" s="4"/>
      <c r="D193" s="4"/>
      <c r="E193" s="4"/>
      <c r="F193" s="4"/>
      <c r="G193" s="4"/>
      <c r="H193" s="4"/>
      <c r="I193" s="4"/>
      <c r="J193" s="4"/>
      <c r="K193" s="4"/>
      <c r="L193" s="4"/>
      <c r="M193" s="4"/>
      <c r="N193" s="4"/>
      <c r="O193" s="4"/>
      <c r="P193" s="4"/>
      <c r="Q193" s="4"/>
    </row>
    <row r="194" spans="2:17" x14ac:dyDescent="0.25">
      <c r="B194" s="4"/>
      <c r="C194" s="4"/>
      <c r="D194" s="4"/>
      <c r="E194" s="4"/>
      <c r="F194" s="4"/>
      <c r="G194" s="4"/>
      <c r="H194" s="4"/>
      <c r="I194" s="4"/>
      <c r="J194" s="4"/>
      <c r="K194" s="4"/>
      <c r="L194" s="4"/>
      <c r="M194" s="4"/>
      <c r="N194" s="4"/>
      <c r="O194" s="4"/>
      <c r="P194" s="4"/>
      <c r="Q194" s="4"/>
    </row>
    <row r="195" spans="2:17" x14ac:dyDescent="0.25">
      <c r="B195" s="4"/>
      <c r="C195" s="4"/>
      <c r="D195" s="4"/>
      <c r="E195" s="4"/>
      <c r="F195" s="4"/>
      <c r="G195" s="4"/>
      <c r="H195" s="4"/>
      <c r="I195" s="4"/>
      <c r="J195" s="4"/>
      <c r="K195" s="4"/>
      <c r="L195" s="4"/>
      <c r="M195" s="4"/>
      <c r="N195" s="4"/>
      <c r="O195" s="4"/>
      <c r="P195" s="4"/>
      <c r="Q195" s="4"/>
    </row>
    <row r="196" spans="2:17" x14ac:dyDescent="0.25">
      <c r="B196" s="4"/>
      <c r="C196" s="4"/>
      <c r="D196" s="4"/>
      <c r="E196" s="4"/>
      <c r="F196" s="4"/>
      <c r="G196" s="4"/>
      <c r="H196" s="4"/>
      <c r="I196" s="4"/>
      <c r="J196" s="4"/>
      <c r="K196" s="4"/>
      <c r="L196" s="4"/>
      <c r="M196" s="4"/>
      <c r="N196" s="4"/>
      <c r="O196" s="4"/>
      <c r="P196" s="4"/>
      <c r="Q196" s="4"/>
    </row>
    <row r="197" spans="2:17" x14ac:dyDescent="0.25">
      <c r="B197" s="4"/>
      <c r="C197" s="4"/>
      <c r="D197" s="4"/>
      <c r="E197" s="4"/>
      <c r="F197" s="4"/>
      <c r="G197" s="4"/>
      <c r="H197" s="4"/>
      <c r="I197" s="4"/>
      <c r="J197" s="4"/>
      <c r="K197" s="4"/>
      <c r="L197" s="4"/>
      <c r="M197" s="4"/>
      <c r="N197" s="4"/>
      <c r="O197" s="4"/>
      <c r="P197" s="4"/>
      <c r="Q197" s="4"/>
    </row>
    <row r="198" spans="2:17" x14ac:dyDescent="0.25">
      <c r="B198" s="4"/>
      <c r="C198" s="4"/>
      <c r="D198" s="4"/>
      <c r="E198" s="4"/>
      <c r="F198" s="4"/>
      <c r="G198" s="4"/>
      <c r="H198" s="4"/>
      <c r="I198" s="4"/>
      <c r="J198" s="4"/>
      <c r="K198" s="4"/>
      <c r="L198" s="4"/>
      <c r="M198" s="4"/>
      <c r="N198" s="4"/>
      <c r="O198" s="4"/>
      <c r="P198" s="4"/>
      <c r="Q198" s="4"/>
    </row>
    <row r="199" spans="2:17" x14ac:dyDescent="0.25">
      <c r="B199" s="4"/>
      <c r="C199" s="4"/>
      <c r="D199" s="4"/>
      <c r="E199" s="4"/>
      <c r="F199" s="4"/>
      <c r="G199" s="4"/>
      <c r="H199" s="4"/>
      <c r="I199" s="4"/>
      <c r="J199" s="4"/>
      <c r="K199" s="4"/>
      <c r="L199" s="4"/>
      <c r="M199" s="4"/>
      <c r="N199" s="4"/>
      <c r="O199" s="4"/>
      <c r="P199" s="4"/>
      <c r="Q199" s="4"/>
    </row>
    <row r="200" spans="2:17" x14ac:dyDescent="0.25">
      <c r="B200" s="4"/>
      <c r="C200" s="4"/>
      <c r="D200" s="4"/>
      <c r="E200" s="4"/>
      <c r="F200" s="4"/>
      <c r="G200" s="4"/>
      <c r="H200" s="4"/>
      <c r="I200" s="4"/>
      <c r="J200" s="4"/>
      <c r="K200" s="4"/>
      <c r="L200" s="4"/>
      <c r="M200" s="4"/>
      <c r="N200" s="4"/>
      <c r="O200" s="4"/>
      <c r="P200" s="4"/>
      <c r="Q200" s="4"/>
    </row>
    <row r="201" spans="2:17" x14ac:dyDescent="0.25">
      <c r="B201" s="4"/>
      <c r="C201" s="4"/>
      <c r="D201" s="4"/>
      <c r="E201" s="4"/>
      <c r="F201" s="4"/>
      <c r="G201" s="4"/>
      <c r="H201" s="4"/>
      <c r="I201" s="4"/>
      <c r="J201" s="4"/>
      <c r="K201" s="4"/>
      <c r="L201" s="4"/>
      <c r="M201" s="4"/>
      <c r="N201" s="4"/>
      <c r="O201" s="4"/>
      <c r="P201" s="4"/>
      <c r="Q201" s="4"/>
    </row>
    <row r="202" spans="2:17" x14ac:dyDescent="0.25">
      <c r="B202" s="4"/>
      <c r="C202" s="4"/>
      <c r="D202" s="4"/>
      <c r="E202" s="4"/>
      <c r="F202" s="4"/>
      <c r="G202" s="4"/>
      <c r="H202" s="4"/>
      <c r="I202" s="4"/>
      <c r="J202" s="4"/>
      <c r="K202" s="4"/>
      <c r="L202" s="4"/>
      <c r="M202" s="4"/>
      <c r="N202" s="4"/>
      <c r="O202" s="4"/>
      <c r="P202" s="4"/>
      <c r="Q202" s="4"/>
    </row>
    <row r="203" spans="2:17" x14ac:dyDescent="0.25">
      <c r="B203" s="4"/>
      <c r="C203" s="4"/>
      <c r="D203" s="4"/>
      <c r="E203" s="4"/>
      <c r="F203" s="4"/>
      <c r="G203" s="4"/>
      <c r="H203" s="4"/>
      <c r="I203" s="4"/>
      <c r="J203" s="4"/>
      <c r="K203" s="4"/>
      <c r="L203" s="4"/>
      <c r="M203" s="4"/>
      <c r="N203" s="4"/>
      <c r="O203" s="4"/>
      <c r="P203" s="4"/>
      <c r="Q203" s="4"/>
    </row>
    <row r="204" spans="2:17" x14ac:dyDescent="0.25">
      <c r="B204" s="4"/>
      <c r="C204" s="4"/>
      <c r="D204" s="4"/>
      <c r="E204" s="4"/>
      <c r="F204" s="4"/>
      <c r="G204" s="4"/>
      <c r="H204" s="4"/>
      <c r="I204" s="4"/>
      <c r="J204" s="4"/>
      <c r="K204" s="4"/>
      <c r="L204" s="4"/>
      <c r="M204" s="4"/>
      <c r="N204" s="4"/>
      <c r="O204" s="4"/>
      <c r="P204" s="4"/>
      <c r="Q204" s="4"/>
    </row>
    <row r="205" spans="2:17" x14ac:dyDescent="0.25">
      <c r="B205" s="4"/>
      <c r="C205" s="4"/>
      <c r="D205" s="4"/>
      <c r="E205" s="4"/>
      <c r="F205" s="4"/>
      <c r="G205" s="4"/>
      <c r="H205" s="4"/>
      <c r="I205" s="4"/>
      <c r="J205" s="4"/>
      <c r="K205" s="4"/>
      <c r="L205" s="4"/>
      <c r="M205" s="4"/>
      <c r="N205" s="4"/>
      <c r="O205" s="4"/>
      <c r="P205" s="4"/>
      <c r="Q205" s="4"/>
    </row>
    <row r="206" spans="2:17" x14ac:dyDescent="0.25">
      <c r="B206" s="4"/>
      <c r="C206" s="4"/>
      <c r="D206" s="4"/>
      <c r="E206" s="4"/>
      <c r="F206" s="4"/>
      <c r="G206" s="4"/>
      <c r="H206" s="4"/>
      <c r="I206" s="4"/>
      <c r="J206" s="4"/>
      <c r="K206" s="4"/>
      <c r="L206" s="4"/>
      <c r="M206" s="4"/>
      <c r="N206" s="4"/>
      <c r="O206" s="4"/>
      <c r="P206" s="4"/>
      <c r="Q206" s="4"/>
    </row>
    <row r="207" spans="2:17" x14ac:dyDescent="0.25">
      <c r="B207" s="4"/>
      <c r="C207" s="4"/>
      <c r="D207" s="4"/>
      <c r="E207" s="4"/>
      <c r="F207" s="4"/>
      <c r="G207" s="4"/>
      <c r="H207" s="4"/>
      <c r="I207" s="4"/>
      <c r="J207" s="4"/>
      <c r="K207" s="4"/>
      <c r="L207" s="4"/>
      <c r="M207" s="4"/>
      <c r="N207" s="4"/>
      <c r="O207" s="4"/>
      <c r="P207" s="4"/>
      <c r="Q207" s="4"/>
    </row>
    <row r="208" spans="2:17" x14ac:dyDescent="0.25">
      <c r="B208" s="4"/>
      <c r="C208" s="4"/>
      <c r="D208" s="4"/>
      <c r="E208" s="4"/>
      <c r="F208" s="4"/>
      <c r="G208" s="4"/>
      <c r="H208" s="4"/>
      <c r="I208" s="4"/>
      <c r="J208" s="4"/>
      <c r="K208" s="4"/>
      <c r="L208" s="4"/>
      <c r="M208" s="4"/>
      <c r="N208" s="4"/>
      <c r="O208" s="4"/>
      <c r="P208" s="4"/>
      <c r="Q208" s="4"/>
    </row>
    <row r="209" spans="2:17" x14ac:dyDescent="0.25">
      <c r="B209" s="4"/>
      <c r="C209" s="4"/>
      <c r="D209" s="4"/>
      <c r="E209" s="4"/>
      <c r="F209" s="4"/>
      <c r="G209" s="4"/>
      <c r="H209" s="4"/>
      <c r="I209" s="4"/>
      <c r="J209" s="4"/>
      <c r="K209" s="4"/>
      <c r="L209" s="4"/>
      <c r="M209" s="4"/>
      <c r="N209" s="4"/>
      <c r="O209" s="4"/>
      <c r="P209" s="4"/>
      <c r="Q209" s="4"/>
    </row>
    <row r="210" spans="2:17" x14ac:dyDescent="0.25">
      <c r="B210" s="4"/>
      <c r="C210" s="4"/>
      <c r="D210" s="4"/>
      <c r="E210" s="4"/>
      <c r="F210" s="4"/>
      <c r="G210" s="4"/>
      <c r="H210" s="4"/>
      <c r="I210" s="4"/>
      <c r="J210" s="4"/>
      <c r="K210" s="4"/>
      <c r="L210" s="4"/>
      <c r="M210" s="4"/>
      <c r="N210" s="4"/>
      <c r="O210" s="4"/>
      <c r="P210" s="4"/>
      <c r="Q210" s="4"/>
    </row>
    <row r="211" spans="2:17" x14ac:dyDescent="0.25">
      <c r="B211" s="4"/>
      <c r="C211" s="4"/>
      <c r="D211" s="4"/>
      <c r="E211" s="4"/>
      <c r="F211" s="4"/>
      <c r="G211" s="4"/>
      <c r="H211" s="4"/>
      <c r="I211" s="4"/>
      <c r="J211" s="4"/>
      <c r="K211" s="4"/>
      <c r="L211" s="4"/>
      <c r="M211" s="4"/>
      <c r="N211" s="4"/>
      <c r="O211" s="4"/>
      <c r="P211" s="4"/>
      <c r="Q211" s="4"/>
    </row>
    <row r="212" spans="2:17" x14ac:dyDescent="0.25">
      <c r="B212" s="4"/>
      <c r="C212" s="4"/>
      <c r="D212" s="4"/>
      <c r="E212" s="4"/>
      <c r="F212" s="4"/>
      <c r="G212" s="4"/>
      <c r="H212" s="4"/>
      <c r="I212" s="4"/>
      <c r="J212" s="4"/>
      <c r="K212" s="4"/>
      <c r="L212" s="4"/>
      <c r="M212" s="4"/>
      <c r="N212" s="4"/>
      <c r="O212" s="4"/>
      <c r="P212" s="4"/>
      <c r="Q212" s="4"/>
    </row>
    <row r="213" spans="2:17" x14ac:dyDescent="0.25">
      <c r="B213" s="4"/>
      <c r="C213" s="4"/>
      <c r="D213" s="4"/>
      <c r="E213" s="4"/>
      <c r="F213" s="4"/>
      <c r="G213" s="4"/>
      <c r="H213" s="4"/>
      <c r="I213" s="4"/>
      <c r="J213" s="4"/>
      <c r="K213" s="4"/>
      <c r="L213" s="4"/>
      <c r="M213" s="4"/>
      <c r="N213" s="4"/>
      <c r="O213" s="4"/>
      <c r="P213" s="4"/>
      <c r="Q213" s="4"/>
    </row>
    <row r="214" spans="2:17" x14ac:dyDescent="0.25">
      <c r="B214" s="4"/>
      <c r="C214" s="4"/>
      <c r="D214" s="4"/>
      <c r="E214" s="4"/>
      <c r="F214" s="4"/>
      <c r="G214" s="4"/>
      <c r="H214" s="4"/>
      <c r="I214" s="4"/>
      <c r="J214" s="4"/>
      <c r="K214" s="4"/>
      <c r="L214" s="4"/>
      <c r="M214" s="4"/>
      <c r="N214" s="4"/>
      <c r="O214" s="4"/>
      <c r="P214" s="4"/>
      <c r="Q214" s="4"/>
    </row>
    <row r="215" spans="2:17" x14ac:dyDescent="0.25">
      <c r="B215" s="4"/>
      <c r="C215" s="4"/>
      <c r="D215" s="4"/>
      <c r="E215" s="4"/>
      <c r="F215" s="4"/>
      <c r="G215" s="4"/>
      <c r="H215" s="4"/>
      <c r="I215" s="4"/>
      <c r="J215" s="4"/>
      <c r="K215" s="4"/>
      <c r="L215" s="4"/>
      <c r="M215" s="4"/>
      <c r="N215" s="4"/>
      <c r="O215" s="4"/>
      <c r="P215" s="4"/>
      <c r="Q215" s="4"/>
    </row>
    <row r="216" spans="2:17" x14ac:dyDescent="0.25">
      <c r="B216" s="4"/>
      <c r="C216" s="4"/>
      <c r="D216" s="4"/>
      <c r="E216" s="4"/>
      <c r="F216" s="4"/>
      <c r="G216" s="4"/>
      <c r="H216" s="4"/>
      <c r="I216" s="4"/>
      <c r="J216" s="4"/>
      <c r="K216" s="4"/>
      <c r="L216" s="4"/>
      <c r="M216" s="4"/>
      <c r="N216" s="4"/>
      <c r="O216" s="4"/>
      <c r="P216" s="4"/>
      <c r="Q216" s="4"/>
    </row>
    <row r="217" spans="2:17" x14ac:dyDescent="0.25">
      <c r="B217" s="4"/>
      <c r="C217" s="4"/>
      <c r="D217" s="4"/>
      <c r="E217" s="4"/>
      <c r="F217" s="4"/>
      <c r="G217" s="4"/>
      <c r="H217" s="4"/>
      <c r="I217" s="4"/>
      <c r="J217" s="4"/>
      <c r="K217" s="4"/>
      <c r="L217" s="4"/>
      <c r="M217" s="4"/>
      <c r="N217" s="4"/>
      <c r="O217" s="4"/>
      <c r="P217" s="4"/>
      <c r="Q217" s="4"/>
    </row>
    <row r="218" spans="2:17" x14ac:dyDescent="0.25">
      <c r="B218" s="4"/>
      <c r="C218" s="4"/>
      <c r="D218" s="4"/>
      <c r="E218" s="4"/>
      <c r="F218" s="4"/>
      <c r="G218" s="4"/>
      <c r="H218" s="4"/>
      <c r="I218" s="4"/>
      <c r="J218" s="4"/>
      <c r="K218" s="4"/>
      <c r="L218" s="4"/>
      <c r="M218" s="4"/>
      <c r="N218" s="4"/>
      <c r="O218" s="4"/>
      <c r="P218" s="4"/>
      <c r="Q218" s="4"/>
    </row>
    <row r="219" spans="2:17" x14ac:dyDescent="0.25">
      <c r="B219" s="4"/>
      <c r="C219" s="4"/>
      <c r="D219" s="4"/>
      <c r="E219" s="4"/>
      <c r="F219" s="4"/>
      <c r="G219" s="4"/>
      <c r="H219" s="4"/>
      <c r="I219" s="4"/>
      <c r="J219" s="4"/>
      <c r="K219" s="4"/>
      <c r="L219" s="4"/>
      <c r="M219" s="4"/>
      <c r="N219" s="4"/>
      <c r="O219" s="4"/>
      <c r="P219" s="4"/>
      <c r="Q219" s="4"/>
    </row>
    <row r="220" spans="2:17" x14ac:dyDescent="0.25">
      <c r="B220" s="4"/>
      <c r="C220" s="4"/>
      <c r="D220" s="4"/>
      <c r="E220" s="4"/>
      <c r="F220" s="4"/>
      <c r="G220" s="4"/>
      <c r="H220" s="4"/>
      <c r="I220" s="4"/>
      <c r="J220" s="4"/>
      <c r="K220" s="4"/>
      <c r="L220" s="4"/>
      <c r="M220" s="4"/>
      <c r="N220" s="4"/>
      <c r="O220" s="4"/>
      <c r="P220" s="4"/>
      <c r="Q220" s="4"/>
    </row>
    <row r="221" spans="2:17" x14ac:dyDescent="0.25">
      <c r="B221" s="4"/>
      <c r="C221" s="4"/>
      <c r="D221" s="4"/>
      <c r="E221" s="4"/>
      <c r="F221" s="4"/>
      <c r="G221" s="4"/>
      <c r="H221" s="4"/>
      <c r="I221" s="4"/>
      <c r="J221" s="4"/>
      <c r="K221" s="4"/>
      <c r="L221" s="4"/>
      <c r="M221" s="4"/>
      <c r="N221" s="4"/>
      <c r="O221" s="4"/>
      <c r="P221" s="4"/>
      <c r="Q221" s="4"/>
    </row>
    <row r="222" spans="2:17" x14ac:dyDescent="0.25">
      <c r="B222" s="4"/>
      <c r="C222" s="4"/>
      <c r="D222" s="4"/>
      <c r="E222" s="4"/>
      <c r="F222" s="4"/>
      <c r="G222" s="4"/>
      <c r="H222" s="4"/>
      <c r="I222" s="4"/>
      <c r="J222" s="4"/>
      <c r="K222" s="4"/>
      <c r="L222" s="4"/>
      <c r="M222" s="4"/>
      <c r="N222" s="4"/>
      <c r="O222" s="4"/>
      <c r="P222" s="4"/>
      <c r="Q222" s="4"/>
    </row>
    <row r="223" spans="2:17" x14ac:dyDescent="0.25">
      <c r="B223" s="4"/>
      <c r="C223" s="4"/>
      <c r="D223" s="4"/>
      <c r="E223" s="4"/>
      <c r="F223" s="4"/>
      <c r="G223" s="4"/>
      <c r="H223" s="4"/>
      <c r="I223" s="4"/>
      <c r="J223" s="4"/>
      <c r="K223" s="4"/>
      <c r="L223" s="4"/>
      <c r="M223" s="4"/>
      <c r="N223" s="4"/>
      <c r="O223" s="4"/>
      <c r="P223" s="4"/>
      <c r="Q223" s="4"/>
    </row>
    <row r="224" spans="2:17" x14ac:dyDescent="0.25">
      <c r="B224" s="4"/>
      <c r="C224" s="4"/>
      <c r="D224" s="4"/>
      <c r="E224" s="4"/>
      <c r="F224" s="4"/>
      <c r="G224" s="4"/>
      <c r="H224" s="4"/>
      <c r="I224" s="4"/>
      <c r="J224" s="4"/>
      <c r="K224" s="4"/>
      <c r="L224" s="4"/>
      <c r="M224" s="4"/>
      <c r="N224" s="4"/>
      <c r="O224" s="4"/>
      <c r="P224" s="4"/>
      <c r="Q224" s="4"/>
    </row>
    <row r="225" spans="2:17" x14ac:dyDescent="0.25">
      <c r="B225" s="4"/>
      <c r="C225" s="4"/>
      <c r="D225" s="4"/>
      <c r="E225" s="4"/>
      <c r="F225" s="4"/>
      <c r="G225" s="4"/>
      <c r="H225" s="4"/>
      <c r="I225" s="4"/>
      <c r="J225" s="4"/>
      <c r="K225" s="4"/>
      <c r="L225" s="4"/>
      <c r="M225" s="4"/>
      <c r="N225" s="4"/>
      <c r="O225" s="4"/>
      <c r="P225" s="4"/>
      <c r="Q225" s="4"/>
    </row>
    <row r="226" spans="2:17" x14ac:dyDescent="0.25">
      <c r="B226" s="4"/>
      <c r="C226" s="4"/>
      <c r="D226" s="4"/>
      <c r="E226" s="4"/>
      <c r="F226" s="4"/>
      <c r="G226" s="4"/>
      <c r="H226" s="4"/>
      <c r="I226" s="4"/>
      <c r="J226" s="4"/>
      <c r="K226" s="4"/>
      <c r="L226" s="4"/>
      <c r="M226" s="4"/>
      <c r="N226" s="4"/>
      <c r="O226" s="4"/>
      <c r="P226" s="4"/>
      <c r="Q226" s="4"/>
    </row>
    <row r="227" spans="2:17" x14ac:dyDescent="0.25">
      <c r="B227" s="4"/>
      <c r="C227" s="4"/>
      <c r="D227" s="4"/>
      <c r="E227" s="4"/>
      <c r="F227" s="4"/>
      <c r="G227" s="4"/>
      <c r="H227" s="4"/>
      <c r="I227" s="4"/>
      <c r="J227" s="4"/>
      <c r="K227" s="4"/>
      <c r="L227" s="4"/>
      <c r="M227" s="4"/>
      <c r="N227" s="4"/>
      <c r="O227" s="4"/>
      <c r="P227" s="4"/>
      <c r="Q227" s="4"/>
    </row>
    <row r="228" spans="2:17" x14ac:dyDescent="0.25">
      <c r="B228" s="4"/>
      <c r="C228" s="4"/>
      <c r="D228" s="4"/>
      <c r="E228" s="4"/>
      <c r="F228" s="4"/>
      <c r="G228" s="4"/>
      <c r="H228" s="4"/>
      <c r="I228" s="4"/>
      <c r="J228" s="4"/>
      <c r="K228" s="4"/>
      <c r="L228" s="4"/>
      <c r="M228" s="4"/>
      <c r="N228" s="4"/>
      <c r="O228" s="4"/>
      <c r="P228" s="4"/>
      <c r="Q228" s="4"/>
    </row>
    <row r="229" spans="2:17" x14ac:dyDescent="0.25">
      <c r="B229" s="4"/>
      <c r="C229" s="4"/>
      <c r="D229" s="4"/>
      <c r="E229" s="4"/>
      <c r="F229" s="4"/>
      <c r="G229" s="4"/>
      <c r="H229" s="4"/>
      <c r="I229" s="4"/>
      <c r="J229" s="4"/>
      <c r="K229" s="4"/>
      <c r="L229" s="4"/>
      <c r="M229" s="4"/>
      <c r="N229" s="4"/>
      <c r="O229" s="4"/>
      <c r="P229" s="4"/>
      <c r="Q229" s="4"/>
    </row>
    <row r="230" spans="2:17" x14ac:dyDescent="0.25">
      <c r="B230" s="4"/>
      <c r="C230" s="4"/>
      <c r="D230" s="4"/>
      <c r="E230" s="4"/>
      <c r="F230" s="4"/>
      <c r="G230" s="4"/>
      <c r="H230" s="4"/>
      <c r="I230" s="4"/>
      <c r="J230" s="4"/>
      <c r="K230" s="4"/>
      <c r="L230" s="4"/>
      <c r="M230" s="4"/>
      <c r="N230" s="4"/>
      <c r="O230" s="4"/>
      <c r="P230" s="4"/>
      <c r="Q230" s="4"/>
    </row>
    <row r="231" spans="2:17" x14ac:dyDescent="0.25">
      <c r="B231" s="4"/>
      <c r="C231" s="4"/>
      <c r="D231" s="4"/>
      <c r="E231" s="4"/>
      <c r="F231" s="4"/>
      <c r="G231" s="4"/>
      <c r="H231" s="4"/>
      <c r="I231" s="4"/>
      <c r="J231" s="4"/>
      <c r="K231" s="4"/>
      <c r="L231" s="4"/>
      <c r="M231" s="4"/>
      <c r="N231" s="4"/>
      <c r="O231" s="4"/>
      <c r="P231" s="4"/>
      <c r="Q231" s="4"/>
    </row>
    <row r="232" spans="2:17" x14ac:dyDescent="0.25">
      <c r="B232" s="4"/>
      <c r="C232" s="4"/>
      <c r="D232" s="4"/>
      <c r="E232" s="4"/>
      <c r="F232" s="4"/>
      <c r="G232" s="4"/>
      <c r="H232" s="4"/>
      <c r="I232" s="4"/>
      <c r="J232" s="4"/>
      <c r="K232" s="4"/>
      <c r="L232" s="4"/>
      <c r="M232" s="4"/>
      <c r="N232" s="4"/>
      <c r="O232" s="4"/>
      <c r="P232" s="4"/>
      <c r="Q232" s="4"/>
    </row>
    <row r="233" spans="2:17" x14ac:dyDescent="0.25">
      <c r="B233" s="4"/>
      <c r="C233" s="4"/>
      <c r="D233" s="4"/>
      <c r="E233" s="4"/>
      <c r="F233" s="4"/>
      <c r="G233" s="4"/>
      <c r="H233" s="4"/>
      <c r="I233" s="4"/>
      <c r="J233" s="4"/>
      <c r="K233" s="4"/>
      <c r="L233" s="4"/>
      <c r="M233" s="4"/>
      <c r="N233" s="4"/>
      <c r="O233" s="4"/>
      <c r="P233" s="4"/>
      <c r="Q233" s="4"/>
    </row>
    <row r="234" spans="2:17" x14ac:dyDescent="0.25">
      <c r="B234" s="4"/>
      <c r="C234" s="4"/>
      <c r="D234" s="4"/>
      <c r="E234" s="4"/>
      <c r="F234" s="4"/>
      <c r="G234" s="4"/>
      <c r="H234" s="4"/>
      <c r="I234" s="4"/>
      <c r="J234" s="4"/>
      <c r="K234" s="4"/>
      <c r="L234" s="4"/>
      <c r="M234" s="4"/>
      <c r="N234" s="4"/>
      <c r="O234" s="4"/>
      <c r="P234" s="4"/>
      <c r="Q234" s="4"/>
    </row>
    <row r="235" spans="2:17" x14ac:dyDescent="0.25">
      <c r="B235" s="4"/>
      <c r="C235" s="4"/>
      <c r="D235" s="4"/>
      <c r="E235" s="4"/>
      <c r="F235" s="4"/>
      <c r="G235" s="4"/>
      <c r="H235" s="4"/>
      <c r="I235" s="4"/>
      <c r="J235" s="4"/>
      <c r="K235" s="4"/>
      <c r="L235" s="4"/>
      <c r="M235" s="4"/>
      <c r="N235" s="4"/>
      <c r="O235" s="4"/>
      <c r="P235" s="4"/>
      <c r="Q235" s="4"/>
    </row>
    <row r="236" spans="2:17" x14ac:dyDescent="0.25">
      <c r="B236" s="4"/>
      <c r="C236" s="4"/>
      <c r="D236" s="4"/>
      <c r="E236" s="4"/>
      <c r="F236" s="4"/>
      <c r="G236" s="4"/>
      <c r="H236" s="4"/>
      <c r="I236" s="4"/>
      <c r="J236" s="4"/>
      <c r="K236" s="4"/>
      <c r="L236" s="4"/>
      <c r="M236" s="4"/>
      <c r="N236" s="4"/>
      <c r="O236" s="4"/>
      <c r="P236" s="4"/>
      <c r="Q236" s="4"/>
    </row>
    <row r="237" spans="2:17" x14ac:dyDescent="0.25">
      <c r="B237" s="4"/>
      <c r="C237" s="4"/>
      <c r="D237" s="4"/>
      <c r="E237" s="4"/>
      <c r="F237" s="4"/>
      <c r="G237" s="4"/>
      <c r="H237" s="4"/>
      <c r="I237" s="4"/>
      <c r="J237" s="4"/>
      <c r="K237" s="4"/>
      <c r="L237" s="4"/>
      <c r="M237" s="4"/>
      <c r="N237" s="4"/>
      <c r="O237" s="4"/>
      <c r="P237" s="4"/>
      <c r="Q237" s="4"/>
    </row>
    <row r="238" spans="2:17" x14ac:dyDescent="0.25">
      <c r="B238" s="4"/>
      <c r="C238" s="4"/>
      <c r="D238" s="4"/>
      <c r="E238" s="4"/>
      <c r="F238" s="4"/>
      <c r="G238" s="4"/>
      <c r="H238" s="4"/>
      <c r="I238" s="4"/>
      <c r="J238" s="4"/>
      <c r="K238" s="4"/>
      <c r="L238" s="4"/>
      <c r="M238" s="4"/>
      <c r="N238" s="4"/>
      <c r="O238" s="4"/>
      <c r="P238" s="4"/>
      <c r="Q238" s="4"/>
    </row>
    <row r="239" spans="2:17" x14ac:dyDescent="0.25">
      <c r="B239" s="4"/>
      <c r="C239" s="4"/>
      <c r="D239" s="4"/>
      <c r="E239" s="4"/>
      <c r="F239" s="4"/>
      <c r="G239" s="4"/>
      <c r="H239" s="4"/>
      <c r="I239" s="4"/>
      <c r="J239" s="4"/>
      <c r="K239" s="4"/>
      <c r="L239" s="4"/>
      <c r="M239" s="4"/>
      <c r="N239" s="4"/>
      <c r="O239" s="4"/>
      <c r="P239" s="4"/>
      <c r="Q239" s="4"/>
    </row>
    <row r="240" spans="2:17" x14ac:dyDescent="0.25">
      <c r="B240" s="4"/>
      <c r="C240" s="4"/>
      <c r="D240" s="4"/>
      <c r="E240" s="4"/>
      <c r="F240" s="4"/>
      <c r="G240" s="4"/>
      <c r="H240" s="4"/>
      <c r="I240" s="4"/>
      <c r="J240" s="4"/>
      <c r="K240" s="4"/>
      <c r="L240" s="4"/>
      <c r="M240" s="4"/>
      <c r="N240" s="4"/>
      <c r="O240" s="4"/>
      <c r="P240" s="4"/>
      <c r="Q240" s="4"/>
    </row>
    <row r="241" spans="2:17" x14ac:dyDescent="0.25">
      <c r="B241" s="4"/>
      <c r="C241" s="4"/>
      <c r="D241" s="4"/>
      <c r="E241" s="4"/>
      <c r="F241" s="4"/>
      <c r="G241" s="4"/>
      <c r="H241" s="4"/>
      <c r="I241" s="4"/>
      <c r="J241" s="4"/>
      <c r="K241" s="4"/>
      <c r="L241" s="4"/>
      <c r="M241" s="4"/>
      <c r="N241" s="4"/>
      <c r="O241" s="4"/>
      <c r="P241" s="4"/>
      <c r="Q241" s="4"/>
    </row>
    <row r="242" spans="2:17" x14ac:dyDescent="0.25">
      <c r="B242" s="4"/>
      <c r="C242" s="4"/>
      <c r="D242" s="4"/>
      <c r="E242" s="4"/>
      <c r="F242" s="4"/>
      <c r="G242" s="4"/>
      <c r="H242" s="4"/>
      <c r="I242" s="4"/>
      <c r="J242" s="4"/>
      <c r="K242" s="4"/>
      <c r="L242" s="4"/>
      <c r="M242" s="4"/>
      <c r="N242" s="4"/>
      <c r="O242" s="4"/>
      <c r="P242" s="4"/>
      <c r="Q242" s="4"/>
    </row>
    <row r="243" spans="2:17" x14ac:dyDescent="0.25">
      <c r="B243" s="4"/>
      <c r="C243" s="4"/>
      <c r="D243" s="4"/>
      <c r="E243" s="4"/>
      <c r="F243" s="4"/>
      <c r="G243" s="4"/>
      <c r="H243" s="4"/>
      <c r="I243" s="4"/>
      <c r="J243" s="4"/>
      <c r="K243" s="4"/>
      <c r="L243" s="4"/>
      <c r="M243" s="4"/>
      <c r="N243" s="4"/>
      <c r="O243" s="4"/>
      <c r="P243" s="4"/>
      <c r="Q243" s="4"/>
    </row>
    <row r="244" spans="2:17" x14ac:dyDescent="0.25">
      <c r="B244" s="4"/>
      <c r="C244" s="4"/>
      <c r="D244" s="4"/>
      <c r="E244" s="4"/>
      <c r="F244" s="4"/>
      <c r="G244" s="4"/>
      <c r="H244" s="4"/>
      <c r="I244" s="4"/>
      <c r="J244" s="4"/>
      <c r="K244" s="4"/>
      <c r="L244" s="4"/>
      <c r="M244" s="4"/>
      <c r="N244" s="4"/>
      <c r="O244" s="4"/>
      <c r="P244" s="4"/>
      <c r="Q244" s="4"/>
    </row>
    <row r="245" spans="2:17" x14ac:dyDescent="0.25">
      <c r="B245" s="4"/>
      <c r="C245" s="4"/>
      <c r="D245" s="4"/>
      <c r="E245" s="4"/>
      <c r="F245" s="4"/>
      <c r="G245" s="4"/>
      <c r="H245" s="4"/>
      <c r="I245" s="4"/>
      <c r="J245" s="4"/>
      <c r="K245" s="4"/>
      <c r="L245" s="4"/>
      <c r="M245" s="4"/>
      <c r="N245" s="4"/>
      <c r="O245" s="4"/>
      <c r="P245" s="4"/>
      <c r="Q245" s="4"/>
    </row>
    <row r="246" spans="2:17" x14ac:dyDescent="0.25">
      <c r="B246" s="4"/>
      <c r="C246" s="4"/>
      <c r="D246" s="4"/>
      <c r="E246" s="4"/>
      <c r="F246" s="4"/>
      <c r="G246" s="4"/>
      <c r="H246" s="4"/>
      <c r="I246" s="4"/>
      <c r="J246" s="4"/>
      <c r="K246" s="4"/>
      <c r="L246" s="4"/>
      <c r="M246" s="4"/>
      <c r="N246" s="4"/>
      <c r="O246" s="4"/>
      <c r="P246" s="4"/>
      <c r="Q246" s="4"/>
    </row>
    <row r="247" spans="2:17" x14ac:dyDescent="0.25">
      <c r="B247" s="4"/>
      <c r="C247" s="4"/>
      <c r="D247" s="4"/>
      <c r="E247" s="4"/>
      <c r="F247" s="4"/>
      <c r="G247" s="4"/>
      <c r="H247" s="4"/>
      <c r="I247" s="4"/>
      <c r="J247" s="4"/>
      <c r="K247" s="4"/>
      <c r="L247" s="4"/>
      <c r="M247" s="4"/>
      <c r="N247" s="4"/>
      <c r="O247" s="4"/>
      <c r="P247" s="4"/>
      <c r="Q247" s="4"/>
    </row>
    <row r="248" spans="2:17" x14ac:dyDescent="0.25">
      <c r="B248" s="4"/>
      <c r="C248" s="4"/>
      <c r="D248" s="4"/>
      <c r="E248" s="4"/>
      <c r="F248" s="4"/>
      <c r="G248" s="4"/>
      <c r="H248" s="4"/>
      <c r="I248" s="4"/>
      <c r="J248" s="4"/>
      <c r="K248" s="4"/>
      <c r="L248" s="4"/>
      <c r="M248" s="4"/>
      <c r="N248" s="4"/>
      <c r="O248" s="4"/>
      <c r="P248" s="4"/>
      <c r="Q248" s="4"/>
    </row>
    <row r="249" spans="2:17" x14ac:dyDescent="0.25">
      <c r="B249" s="4"/>
      <c r="C249" s="4"/>
      <c r="D249" s="4"/>
      <c r="E249" s="4"/>
      <c r="F249" s="4"/>
      <c r="G249" s="4"/>
      <c r="H249" s="4"/>
      <c r="I249" s="4"/>
      <c r="J249" s="4"/>
      <c r="K249" s="4"/>
      <c r="L249" s="4"/>
      <c r="M249" s="4"/>
      <c r="N249" s="4"/>
      <c r="O249" s="4"/>
      <c r="P249" s="4"/>
      <c r="Q249" s="4"/>
    </row>
    <row r="250" spans="2:17" x14ac:dyDescent="0.25">
      <c r="B250" s="4"/>
      <c r="C250" s="4"/>
      <c r="D250" s="4"/>
      <c r="E250" s="4"/>
      <c r="F250" s="4"/>
      <c r="G250" s="4"/>
      <c r="H250" s="4"/>
      <c r="I250" s="4"/>
      <c r="J250" s="4"/>
      <c r="K250" s="4"/>
      <c r="L250" s="4"/>
      <c r="M250" s="4"/>
      <c r="N250" s="4"/>
      <c r="O250" s="4"/>
      <c r="P250" s="4"/>
      <c r="Q250" s="4"/>
    </row>
    <row r="251" spans="2:17" x14ac:dyDescent="0.25">
      <c r="B251" s="4"/>
      <c r="C251" s="4"/>
      <c r="D251" s="4"/>
      <c r="E251" s="4"/>
      <c r="F251" s="4"/>
      <c r="G251" s="4"/>
      <c r="H251" s="4"/>
      <c r="I251" s="4"/>
      <c r="J251" s="4"/>
      <c r="K251" s="4"/>
      <c r="L251" s="4"/>
      <c r="M251" s="4"/>
      <c r="N251" s="4"/>
      <c r="O251" s="4"/>
      <c r="P251" s="4"/>
      <c r="Q251" s="4"/>
    </row>
    <row r="252" spans="2:17" x14ac:dyDescent="0.25">
      <c r="B252" s="4"/>
      <c r="C252" s="4"/>
      <c r="D252" s="4"/>
      <c r="E252" s="4"/>
      <c r="F252" s="4"/>
      <c r="G252" s="4"/>
      <c r="H252" s="4"/>
      <c r="I252" s="4"/>
      <c r="J252" s="4"/>
      <c r="K252" s="4"/>
      <c r="L252" s="4"/>
      <c r="M252" s="4"/>
      <c r="N252" s="4"/>
      <c r="O252" s="4"/>
      <c r="P252" s="4"/>
      <c r="Q252" s="4"/>
    </row>
    <row r="253" spans="2:17" x14ac:dyDescent="0.25">
      <c r="B253" s="4"/>
      <c r="C253" s="4"/>
      <c r="D253" s="4"/>
      <c r="E253" s="4"/>
      <c r="F253" s="4"/>
      <c r="G253" s="4"/>
      <c r="H253" s="4"/>
      <c r="I253" s="4"/>
      <c r="J253" s="4"/>
      <c r="K253" s="4"/>
      <c r="L253" s="4"/>
      <c r="M253" s="4"/>
      <c r="N253" s="4"/>
      <c r="O253" s="4"/>
      <c r="P253" s="4"/>
      <c r="Q253" s="4"/>
    </row>
    <row r="254" spans="2:17" x14ac:dyDescent="0.25">
      <c r="B254" s="4"/>
      <c r="C254" s="4"/>
      <c r="D254" s="4"/>
      <c r="E254" s="4"/>
      <c r="F254" s="4"/>
      <c r="G254" s="4"/>
      <c r="H254" s="4"/>
      <c r="I254" s="4"/>
      <c r="J254" s="4"/>
      <c r="K254" s="4"/>
      <c r="L254" s="4"/>
      <c r="M254" s="4"/>
      <c r="N254" s="4"/>
      <c r="O254" s="4"/>
      <c r="P254" s="4"/>
      <c r="Q254" s="4"/>
    </row>
    <row r="255" spans="2:17" x14ac:dyDescent="0.25">
      <c r="B255" s="4"/>
      <c r="C255" s="4"/>
      <c r="D255" s="4"/>
      <c r="E255" s="4"/>
      <c r="F255" s="4"/>
      <c r="G255" s="4"/>
      <c r="H255" s="4"/>
      <c r="I255" s="4"/>
      <c r="J255" s="4"/>
      <c r="K255" s="4"/>
      <c r="L255" s="4"/>
      <c r="M255" s="4"/>
      <c r="N255" s="4"/>
      <c r="O255" s="4"/>
      <c r="P255" s="4"/>
      <c r="Q255" s="4"/>
    </row>
    <row r="256" spans="2:17" x14ac:dyDescent="0.25">
      <c r="B256" s="4"/>
      <c r="C256" s="4"/>
      <c r="D256" s="4"/>
      <c r="E256" s="4"/>
      <c r="F256" s="4"/>
      <c r="G256" s="4"/>
      <c r="H256" s="4"/>
      <c r="I256" s="4"/>
      <c r="J256" s="4"/>
      <c r="K256" s="4"/>
      <c r="L256" s="4"/>
      <c r="M256" s="4"/>
      <c r="N256" s="4"/>
      <c r="O256" s="4"/>
      <c r="P256" s="4"/>
      <c r="Q256" s="4"/>
    </row>
    <row r="257" spans="2:17" x14ac:dyDescent="0.25">
      <c r="B257" s="4"/>
      <c r="C257" s="4"/>
      <c r="D257" s="4"/>
      <c r="E257" s="4"/>
      <c r="F257" s="4"/>
      <c r="G257" s="4"/>
      <c r="H257" s="4"/>
      <c r="I257" s="4"/>
      <c r="J257" s="4"/>
      <c r="K257" s="4"/>
      <c r="L257" s="4"/>
      <c r="M257" s="4"/>
      <c r="N257" s="4"/>
      <c r="O257" s="4"/>
      <c r="P257" s="4"/>
      <c r="Q257" s="4"/>
    </row>
    <row r="258" spans="2:17" x14ac:dyDescent="0.25">
      <c r="B258" s="4"/>
      <c r="C258" s="4"/>
      <c r="D258" s="4"/>
      <c r="E258" s="4"/>
      <c r="F258" s="4"/>
      <c r="G258" s="4"/>
      <c r="H258" s="4"/>
      <c r="I258" s="4"/>
      <c r="J258" s="4"/>
      <c r="K258" s="4"/>
      <c r="L258" s="4"/>
      <c r="M258" s="4"/>
      <c r="N258" s="4"/>
      <c r="O258" s="4"/>
      <c r="P258" s="4"/>
      <c r="Q258" s="4"/>
    </row>
    <row r="259" spans="2:17" x14ac:dyDescent="0.25">
      <c r="B259" s="4"/>
      <c r="C259" s="4"/>
      <c r="D259" s="4"/>
      <c r="E259" s="4"/>
      <c r="F259" s="4"/>
      <c r="G259" s="4"/>
      <c r="H259" s="4"/>
      <c r="I259" s="4"/>
      <c r="J259" s="4"/>
      <c r="K259" s="4"/>
      <c r="L259" s="4"/>
      <c r="M259" s="4"/>
      <c r="N259" s="4"/>
      <c r="O259" s="4"/>
      <c r="P259" s="4"/>
      <c r="Q259" s="4"/>
    </row>
    <row r="260" spans="2:17" x14ac:dyDescent="0.25">
      <c r="B260" s="4"/>
      <c r="C260" s="4"/>
      <c r="D260" s="4"/>
      <c r="E260" s="4"/>
      <c r="F260" s="4"/>
      <c r="G260" s="4"/>
      <c r="H260" s="4"/>
      <c r="I260" s="4"/>
      <c r="J260" s="4"/>
      <c r="K260" s="4"/>
      <c r="L260" s="4"/>
      <c r="M260" s="4"/>
      <c r="N260" s="4"/>
      <c r="O260" s="4"/>
      <c r="P260" s="4"/>
      <c r="Q260" s="4"/>
    </row>
    <row r="261" spans="2:17" x14ac:dyDescent="0.25">
      <c r="B261" s="4"/>
      <c r="C261" s="4"/>
      <c r="D261" s="4"/>
      <c r="E261" s="4"/>
      <c r="F261" s="4"/>
      <c r="G261" s="4"/>
      <c r="H261" s="4"/>
      <c r="I261" s="4"/>
      <c r="J261" s="4"/>
      <c r="K261" s="4"/>
      <c r="L261" s="4"/>
      <c r="M261" s="4"/>
      <c r="N261" s="4"/>
      <c r="O261" s="4"/>
      <c r="P261" s="4"/>
      <c r="Q261" s="4"/>
    </row>
    <row r="262" spans="2:17" x14ac:dyDescent="0.25">
      <c r="B262" s="4"/>
      <c r="C262" s="4"/>
      <c r="D262" s="4"/>
      <c r="E262" s="4"/>
      <c r="F262" s="4"/>
      <c r="G262" s="4"/>
      <c r="H262" s="4"/>
      <c r="I262" s="4"/>
      <c r="J262" s="4"/>
      <c r="K262" s="4"/>
      <c r="L262" s="4"/>
      <c r="M262" s="4"/>
      <c r="N262" s="4"/>
      <c r="O262" s="4"/>
      <c r="P262" s="4"/>
      <c r="Q262" s="4"/>
    </row>
    <row r="263" spans="2:17" x14ac:dyDescent="0.25">
      <c r="B263" s="4"/>
      <c r="C263" s="4"/>
      <c r="D263" s="4"/>
      <c r="E263" s="4"/>
      <c r="F263" s="4"/>
      <c r="G263" s="4"/>
      <c r="H263" s="4"/>
      <c r="I263" s="4"/>
      <c r="J263" s="4"/>
      <c r="K263" s="4"/>
      <c r="L263" s="4"/>
      <c r="M263" s="4"/>
      <c r="N263" s="4"/>
      <c r="O263" s="4"/>
      <c r="P263" s="4"/>
      <c r="Q263" s="4"/>
    </row>
    <row r="264" spans="2:17" x14ac:dyDescent="0.25">
      <c r="B264" s="4"/>
      <c r="C264" s="4"/>
      <c r="D264" s="4"/>
      <c r="E264" s="4"/>
      <c r="F264" s="4"/>
      <c r="G264" s="4"/>
      <c r="H264" s="4"/>
      <c r="I264" s="4"/>
      <c r="J264" s="4"/>
      <c r="K264" s="4"/>
      <c r="L264" s="4"/>
      <c r="M264" s="4"/>
      <c r="N264" s="4"/>
      <c r="O264" s="4"/>
      <c r="P264" s="4"/>
      <c r="Q264" s="4"/>
    </row>
    <row r="265" spans="2:17" x14ac:dyDescent="0.25">
      <c r="B265" s="4"/>
      <c r="C265" s="4"/>
      <c r="D265" s="4"/>
      <c r="E265" s="4"/>
      <c r="F265" s="4"/>
      <c r="G265" s="4"/>
      <c r="H265" s="4"/>
      <c r="I265" s="4"/>
      <c r="J265" s="4"/>
      <c r="K265" s="4"/>
      <c r="L265" s="4"/>
      <c r="M265" s="4"/>
      <c r="N265" s="4"/>
      <c r="O265" s="4"/>
      <c r="P265" s="4"/>
      <c r="Q265" s="4"/>
    </row>
    <row r="266" spans="2:17" x14ac:dyDescent="0.25">
      <c r="B266" s="4"/>
      <c r="C266" s="4"/>
      <c r="D266" s="4"/>
      <c r="E266" s="4"/>
      <c r="F266" s="4"/>
      <c r="G266" s="4"/>
      <c r="H266" s="4"/>
      <c r="I266" s="4"/>
      <c r="J266" s="4"/>
      <c r="K266" s="4"/>
      <c r="L266" s="4"/>
      <c r="M266" s="4"/>
      <c r="N266" s="4"/>
      <c r="O266" s="4"/>
      <c r="P266" s="4"/>
      <c r="Q266" s="4"/>
    </row>
    <row r="267" spans="2:17" x14ac:dyDescent="0.25">
      <c r="B267" s="4"/>
      <c r="C267" s="4"/>
      <c r="D267" s="4"/>
      <c r="E267" s="4"/>
      <c r="F267" s="4"/>
      <c r="G267" s="4"/>
      <c r="H267" s="4"/>
      <c r="I267" s="4"/>
      <c r="J267" s="4"/>
      <c r="K267" s="4"/>
      <c r="L267" s="4"/>
      <c r="M267" s="4"/>
      <c r="N267" s="4"/>
      <c r="O267" s="4"/>
      <c r="P267" s="4"/>
      <c r="Q267" s="4"/>
    </row>
    <row r="268" spans="2:17" x14ac:dyDescent="0.25">
      <c r="B268" s="4"/>
      <c r="C268" s="4"/>
      <c r="D268" s="4"/>
      <c r="E268" s="4"/>
      <c r="F268" s="4"/>
      <c r="G268" s="4"/>
      <c r="H268" s="4"/>
      <c r="I268" s="4"/>
      <c r="J268" s="4"/>
      <c r="K268" s="4"/>
      <c r="L268" s="4"/>
      <c r="M268" s="4"/>
      <c r="N268" s="4"/>
      <c r="O268" s="4"/>
      <c r="P268" s="4"/>
      <c r="Q268" s="4"/>
    </row>
    <row r="269" spans="2:17" x14ac:dyDescent="0.25">
      <c r="B269" s="4"/>
      <c r="C269" s="4"/>
      <c r="D269" s="4"/>
      <c r="E269" s="4"/>
      <c r="F269" s="4"/>
      <c r="G269" s="4"/>
      <c r="H269" s="4"/>
      <c r="I269" s="4"/>
      <c r="J269" s="4"/>
      <c r="K269" s="4"/>
      <c r="L269" s="4"/>
      <c r="M269" s="4"/>
      <c r="N269" s="4"/>
      <c r="O269" s="4"/>
      <c r="P269" s="4"/>
      <c r="Q269" s="4"/>
    </row>
    <row r="270" spans="2:17" x14ac:dyDescent="0.25">
      <c r="B270" s="4"/>
      <c r="C270" s="4"/>
      <c r="D270" s="4"/>
      <c r="E270" s="4"/>
      <c r="F270" s="4"/>
      <c r="G270" s="4"/>
      <c r="H270" s="4"/>
      <c r="I270" s="4"/>
      <c r="J270" s="4"/>
      <c r="K270" s="4"/>
      <c r="L270" s="4"/>
      <c r="M270" s="4"/>
      <c r="N270" s="4"/>
      <c r="O270" s="4"/>
      <c r="P270" s="4"/>
      <c r="Q270" s="4"/>
    </row>
  </sheetData>
  <mergeCells count="345">
    <mergeCell ref="J123:L123"/>
    <mergeCell ref="J121:L121"/>
    <mergeCell ref="J120:L120"/>
    <mergeCell ref="J116:L116"/>
    <mergeCell ref="J117:L117"/>
    <mergeCell ref="J119:L119"/>
    <mergeCell ref="N109:Q109"/>
    <mergeCell ref="N110:Q110"/>
    <mergeCell ref="J118:L118"/>
    <mergeCell ref="J122:L122"/>
    <mergeCell ref="K112:L112"/>
    <mergeCell ref="J113:L113"/>
    <mergeCell ref="J114:L114"/>
    <mergeCell ref="J115:L115"/>
    <mergeCell ref="K111:L111"/>
    <mergeCell ref="N111:Q111"/>
    <mergeCell ref="K108:L108"/>
    <mergeCell ref="N108:Q108"/>
    <mergeCell ref="K68:L68"/>
    <mergeCell ref="K69:L69"/>
    <mergeCell ref="K70:L70"/>
    <mergeCell ref="K71:L71"/>
    <mergeCell ref="K73:L73"/>
    <mergeCell ref="K89:L89"/>
    <mergeCell ref="N101:Q101"/>
    <mergeCell ref="N102:Q102"/>
    <mergeCell ref="N103:Q103"/>
    <mergeCell ref="N104:Q104"/>
    <mergeCell ref="N105:Q105"/>
    <mergeCell ref="N106:Q106"/>
    <mergeCell ref="N107:Q107"/>
    <mergeCell ref="K91:L91"/>
    <mergeCell ref="N91:Q91"/>
    <mergeCell ref="N84:Q84"/>
    <mergeCell ref="K94:L94"/>
    <mergeCell ref="K96:L96"/>
    <mergeCell ref="N83:Q83"/>
    <mergeCell ref="K90:L90"/>
    <mergeCell ref="N86:Q86"/>
    <mergeCell ref="N87:Q87"/>
    <mergeCell ref="E70:I70"/>
    <mergeCell ref="E69:I69"/>
    <mergeCell ref="E72:I72"/>
    <mergeCell ref="E78:I78"/>
    <mergeCell ref="E79:I79"/>
    <mergeCell ref="E80:I80"/>
    <mergeCell ref="E75:I75"/>
    <mergeCell ref="E76:I76"/>
    <mergeCell ref="K77:L77"/>
    <mergeCell ref="K78:L78"/>
    <mergeCell ref="K76:L76"/>
    <mergeCell ref="K75:L75"/>
    <mergeCell ref="E108:I108"/>
    <mergeCell ref="E109:I109"/>
    <mergeCell ref="E110:I110"/>
    <mergeCell ref="B84:D92"/>
    <mergeCell ref="K92:L92"/>
    <mergeCell ref="K98:L98"/>
    <mergeCell ref="E98:I98"/>
    <mergeCell ref="E99:I99"/>
    <mergeCell ref="E100:I100"/>
    <mergeCell ref="E101:I101"/>
    <mergeCell ref="K109:L109"/>
    <mergeCell ref="K110:L110"/>
    <mergeCell ref="E95:I95"/>
    <mergeCell ref="K95:L95"/>
    <mergeCell ref="E96:I96"/>
    <mergeCell ref="E94:I94"/>
    <mergeCell ref="K93:L93"/>
    <mergeCell ref="B93:D98"/>
    <mergeCell ref="B99:D111"/>
    <mergeCell ref="E111:I111"/>
    <mergeCell ref="E102:I102"/>
    <mergeCell ref="E103:I103"/>
    <mergeCell ref="K99:L99"/>
    <mergeCell ref="K100:L100"/>
    <mergeCell ref="E104:I104"/>
    <mergeCell ref="E105:I105"/>
    <mergeCell ref="E106:I106"/>
    <mergeCell ref="E107:I107"/>
    <mergeCell ref="K101:L101"/>
    <mergeCell ref="K102:L102"/>
    <mergeCell ref="K103:L103"/>
    <mergeCell ref="K104:L104"/>
    <mergeCell ref="K105:L105"/>
    <mergeCell ref="K106:L106"/>
    <mergeCell ref="K107:L107"/>
    <mergeCell ref="E85:I85"/>
    <mergeCell ref="N79:Q79"/>
    <mergeCell ref="N89:Q89"/>
    <mergeCell ref="E84:I84"/>
    <mergeCell ref="N99:Q99"/>
    <mergeCell ref="N100:Q100"/>
    <mergeCell ref="E92:I92"/>
    <mergeCell ref="N98:Q98"/>
    <mergeCell ref="K86:L86"/>
    <mergeCell ref="K87:L87"/>
    <mergeCell ref="K88:L88"/>
    <mergeCell ref="K84:L84"/>
    <mergeCell ref="N80:Q80"/>
    <mergeCell ref="N81:Q81"/>
    <mergeCell ref="N82:Q82"/>
    <mergeCell ref="N94:Q94"/>
    <mergeCell ref="N95:Q95"/>
    <mergeCell ref="K81:L81"/>
    <mergeCell ref="K82:L82"/>
    <mergeCell ref="K83:L83"/>
    <mergeCell ref="K80:L80"/>
    <mergeCell ref="N93:Q93"/>
    <mergeCell ref="N85:Q85"/>
    <mergeCell ref="K85:L85"/>
    <mergeCell ref="N88:Q88"/>
    <mergeCell ref="B6:D83"/>
    <mergeCell ref="E62:I62"/>
    <mergeCell ref="E58:I58"/>
    <mergeCell ref="E39:I39"/>
    <mergeCell ref="E22:I22"/>
    <mergeCell ref="E23:I23"/>
    <mergeCell ref="E40:I40"/>
    <mergeCell ref="E57:I57"/>
    <mergeCell ref="E55:I55"/>
    <mergeCell ref="E56:I56"/>
    <mergeCell ref="E44:I44"/>
    <mergeCell ref="E45:I45"/>
    <mergeCell ref="E46:I46"/>
    <mergeCell ref="E47:I47"/>
    <mergeCell ref="N12:Q12"/>
    <mergeCell ref="N9:Q9"/>
    <mergeCell ref="K27:L27"/>
    <mergeCell ref="K28:L28"/>
    <mergeCell ref="N19:Q19"/>
    <mergeCell ref="N20:Q20"/>
    <mergeCell ref="N17:Q17"/>
    <mergeCell ref="N15:Q15"/>
    <mergeCell ref="K16:L16"/>
    <mergeCell ref="B3:D3"/>
    <mergeCell ref="B4:D5"/>
    <mergeCell ref="E81:I81"/>
    <mergeCell ref="E82:I82"/>
    <mergeCell ref="E83:I83"/>
    <mergeCell ref="E33:I33"/>
    <mergeCell ref="E34:I34"/>
    <mergeCell ref="E35:I35"/>
    <mergeCell ref="E36:I36"/>
    <mergeCell ref="E77:I77"/>
    <mergeCell ref="E24:I24"/>
    <mergeCell ref="E41:I41"/>
    <mergeCell ref="E42:I42"/>
    <mergeCell ref="E43:I43"/>
    <mergeCell ref="E65:I65"/>
    <mergeCell ref="E66:I66"/>
    <mergeCell ref="E67:I67"/>
    <mergeCell ref="E68:I68"/>
    <mergeCell ref="E59:I59"/>
    <mergeCell ref="E60:I60"/>
    <mergeCell ref="E61:I61"/>
    <mergeCell ref="E21:I21"/>
    <mergeCell ref="E19:I19"/>
    <mergeCell ref="E48:I48"/>
    <mergeCell ref="N3:Q3"/>
    <mergeCell ref="K4:L4"/>
    <mergeCell ref="N4:Q4"/>
    <mergeCell ref="E8:I8"/>
    <mergeCell ref="E12:I12"/>
    <mergeCell ref="E13:I13"/>
    <mergeCell ref="E14:I14"/>
    <mergeCell ref="K8:L8"/>
    <mergeCell ref="K9:L9"/>
    <mergeCell ref="K10:L10"/>
    <mergeCell ref="K11:L11"/>
    <mergeCell ref="K12:L12"/>
    <mergeCell ref="K13:L13"/>
    <mergeCell ref="K14:L14"/>
    <mergeCell ref="E9:I9"/>
    <mergeCell ref="E10:I10"/>
    <mergeCell ref="N14:Q14"/>
    <mergeCell ref="N7:Q7"/>
    <mergeCell ref="E3:I3"/>
    <mergeCell ref="K3:L3"/>
    <mergeCell ref="N6:Q6"/>
    <mergeCell ref="N11:Q11"/>
    <mergeCell ref="E11:I11"/>
    <mergeCell ref="N8:Q8"/>
    <mergeCell ref="N16:Q16"/>
    <mergeCell ref="N33:Q33"/>
    <mergeCell ref="N34:Q34"/>
    <mergeCell ref="N26:Q26"/>
    <mergeCell ref="N27:Q27"/>
    <mergeCell ref="N28:Q28"/>
    <mergeCell ref="E4:I4"/>
    <mergeCell ref="E6:I6"/>
    <mergeCell ref="E7:I7"/>
    <mergeCell ref="E5:I5"/>
    <mergeCell ref="E15:I15"/>
    <mergeCell ref="N5:Q5"/>
    <mergeCell ref="K5:L5"/>
    <mergeCell ref="K6:L6"/>
    <mergeCell ref="K7:L7"/>
    <mergeCell ref="K15:L15"/>
    <mergeCell ref="K21:L21"/>
    <mergeCell ref="K22:L22"/>
    <mergeCell ref="K23:L23"/>
    <mergeCell ref="K18:L18"/>
    <mergeCell ref="K19:L19"/>
    <mergeCell ref="K20:L20"/>
    <mergeCell ref="K30:L30"/>
    <mergeCell ref="K31:L31"/>
    <mergeCell ref="K35:L35"/>
    <mergeCell ref="K34:L34"/>
    <mergeCell ref="K32:L32"/>
    <mergeCell ref="K33:L33"/>
    <mergeCell ref="K26:L26"/>
    <mergeCell ref="K24:L24"/>
    <mergeCell ref="K25:L25"/>
    <mergeCell ref="E16:I16"/>
    <mergeCell ref="E20:I20"/>
    <mergeCell ref="E26:I26"/>
    <mergeCell ref="E27:I27"/>
    <mergeCell ref="E28:I28"/>
    <mergeCell ref="E29:I29"/>
    <mergeCell ref="E30:I30"/>
    <mergeCell ref="E31:I31"/>
    <mergeCell ref="E32:I32"/>
    <mergeCell ref="E25:I25"/>
    <mergeCell ref="E17:I17"/>
    <mergeCell ref="E18:I18"/>
    <mergeCell ref="K17:L17"/>
    <mergeCell ref="N10:Q10"/>
    <mergeCell ref="N13:Q13"/>
    <mergeCell ref="N18:Q18"/>
    <mergeCell ref="N46:Q46"/>
    <mergeCell ref="N47:Q47"/>
    <mergeCell ref="K45:L45"/>
    <mergeCell ref="K46:L46"/>
    <mergeCell ref="K55:L55"/>
    <mergeCell ref="K74:L74"/>
    <mergeCell ref="K43:L43"/>
    <mergeCell ref="K65:L65"/>
    <mergeCell ref="K66:L66"/>
    <mergeCell ref="K67:L67"/>
    <mergeCell ref="K62:L62"/>
    <mergeCell ref="K63:L63"/>
    <mergeCell ref="K56:L56"/>
    <mergeCell ref="K57:L57"/>
    <mergeCell ref="K59:L59"/>
    <mergeCell ref="K60:L60"/>
    <mergeCell ref="K64:L64"/>
    <mergeCell ref="K47:L47"/>
    <mergeCell ref="K48:L48"/>
    <mergeCell ref="K49:L49"/>
    <mergeCell ref="K50:L50"/>
    <mergeCell ref="N23:Q23"/>
    <mergeCell ref="N24:Q24"/>
    <mergeCell ref="N25:Q25"/>
    <mergeCell ref="N21:Q21"/>
    <mergeCell ref="N22:Q22"/>
    <mergeCell ref="N29:Q29"/>
    <mergeCell ref="N30:Q30"/>
    <mergeCell ref="N31:Q31"/>
    <mergeCell ref="N32:Q32"/>
    <mergeCell ref="N56:Q56"/>
    <mergeCell ref="N52:Q52"/>
    <mergeCell ref="N58:Q58"/>
    <mergeCell ref="N55:Q55"/>
    <mergeCell ref="N65:Q65"/>
    <mergeCell ref="N66:Q66"/>
    <mergeCell ref="N53:Q53"/>
    <mergeCell ref="N54:Q54"/>
    <mergeCell ref="K29:L29"/>
    <mergeCell ref="K36:L36"/>
    <mergeCell ref="K51:L51"/>
    <mergeCell ref="N42:Q42"/>
    <mergeCell ref="N43:Q43"/>
    <mergeCell ref="N44:Q44"/>
    <mergeCell ref="N45:Q45"/>
    <mergeCell ref="N37:Q37"/>
    <mergeCell ref="N38:Q38"/>
    <mergeCell ref="N39:Q39"/>
    <mergeCell ref="N35:Q35"/>
    <mergeCell ref="N36:Q36"/>
    <mergeCell ref="N40:Q40"/>
    <mergeCell ref="N41:Q41"/>
    <mergeCell ref="N51:Q51"/>
    <mergeCell ref="K39:L39"/>
    <mergeCell ref="E49:I49"/>
    <mergeCell ref="E50:I50"/>
    <mergeCell ref="E51:I51"/>
    <mergeCell ref="E52:I52"/>
    <mergeCell ref="K37:L37"/>
    <mergeCell ref="K38:L38"/>
    <mergeCell ref="K44:L44"/>
    <mergeCell ref="K52:L52"/>
    <mergeCell ref="K42:L42"/>
    <mergeCell ref="K40:L40"/>
    <mergeCell ref="K41:L41"/>
    <mergeCell ref="E37:I37"/>
    <mergeCell ref="E38:I38"/>
    <mergeCell ref="E93:I93"/>
    <mergeCell ref="N73:Q73"/>
    <mergeCell ref="K53:L53"/>
    <mergeCell ref="K54:L54"/>
    <mergeCell ref="K61:L61"/>
    <mergeCell ref="N57:Q57"/>
    <mergeCell ref="N59:Q59"/>
    <mergeCell ref="N60:Q60"/>
    <mergeCell ref="N61:Q61"/>
    <mergeCell ref="E53:I53"/>
    <mergeCell ref="E54:I54"/>
    <mergeCell ref="N69:Q69"/>
    <mergeCell ref="N70:Q70"/>
    <mergeCell ref="N71:Q71"/>
    <mergeCell ref="K58:L58"/>
    <mergeCell ref="N90:Q90"/>
    <mergeCell ref="E86:I86"/>
    <mergeCell ref="E87:I87"/>
    <mergeCell ref="E88:I88"/>
    <mergeCell ref="E89:I89"/>
    <mergeCell ref="E90:I90"/>
    <mergeCell ref="K79:L79"/>
    <mergeCell ref="N92:Q92"/>
    <mergeCell ref="E91:I91"/>
    <mergeCell ref="J125:L125"/>
    <mergeCell ref="J124:L124"/>
    <mergeCell ref="N48:Q48"/>
    <mergeCell ref="N49:Q49"/>
    <mergeCell ref="N50:Q50"/>
    <mergeCell ref="E97:I97"/>
    <mergeCell ref="K97:L97"/>
    <mergeCell ref="N97:Q97"/>
    <mergeCell ref="N62:Q62"/>
    <mergeCell ref="N63:Q63"/>
    <mergeCell ref="N64:Q64"/>
    <mergeCell ref="K72:L72"/>
    <mergeCell ref="E71:I71"/>
    <mergeCell ref="E73:I73"/>
    <mergeCell ref="E74:I74"/>
    <mergeCell ref="N77:Q77"/>
    <mergeCell ref="N78:Q78"/>
    <mergeCell ref="N67:Q67"/>
    <mergeCell ref="N68:Q68"/>
    <mergeCell ref="N74:Q74"/>
    <mergeCell ref="N75:Q75"/>
    <mergeCell ref="E63:I63"/>
    <mergeCell ref="E64:I64"/>
    <mergeCell ref="N96:Q96"/>
  </mergeCells>
  <phoneticPr fontId="4" type="noConversion"/>
  <hyperlinks>
    <hyperlink ref="R4" r:id="rId1" xr:uid="{6551418E-FDF7-4C8A-BD1E-76C61B196D6C}"/>
    <hyperlink ref="R9" r:id="rId2" xr:uid="{754C1442-D6EA-413F-A5AB-4CED34997B06}"/>
    <hyperlink ref="R13" r:id="rId3" xr:uid="{84D9B4D8-56D7-4A30-9CDE-FCBF463BE1F7}"/>
    <hyperlink ref="R12" r:id="rId4" xr:uid="{A823E1D2-7C0F-4228-918C-3812FEC9A0E6}"/>
    <hyperlink ref="R38" r:id="rId5" xr:uid="{46ADE81D-5C6C-4E9C-8BC7-D69E70174336}"/>
    <hyperlink ref="R36" r:id="rId6" xr:uid="{049E9286-823D-4C4E-8DF9-6865B3ED5F3E}"/>
    <hyperlink ref="R37" r:id="rId7" xr:uid="{AD360B4B-6183-4C2E-AD7D-D45A09363055}"/>
    <hyperlink ref="R39" r:id="rId8" xr:uid="{011C2F27-254A-4B07-B4F8-7ECACFFE6CF4}"/>
    <hyperlink ref="R42" r:id="rId9" xr:uid="{B61E4D6A-6AF6-4B8D-A2E9-9384B5E070D7}"/>
    <hyperlink ref="R43" r:id="rId10" xr:uid="{57BA85D4-F118-44BD-8DB4-4FB9ED594731}"/>
    <hyperlink ref="R44" r:id="rId11" xr:uid="{C3F58F06-99CA-4F78-9450-946BAE28A2B4}"/>
    <hyperlink ref="R46" r:id="rId12" xr:uid="{44757248-E807-4E06-A104-CDB70BFBB17C}"/>
    <hyperlink ref="R47" r:id="rId13" xr:uid="{63694A0E-EE28-472F-A100-009F794536F4}"/>
    <hyperlink ref="R45" r:id="rId14" xr:uid="{6759ED2E-8670-4D4A-A804-5337D64C0AB0}"/>
    <hyperlink ref="R48" r:id="rId15" xr:uid="{C33487B0-8B42-4697-AC53-9DE75D71A4E5}"/>
    <hyperlink ref="R49" r:id="rId16" xr:uid="{AFFE8A84-CCF7-4FDB-BE70-50A20F2295F6}"/>
    <hyperlink ref="R50" r:id="rId17" xr:uid="{BFD2C14F-8748-4C0F-9CDE-D40E7BF6B936}"/>
    <hyperlink ref="R51" r:id="rId18" xr:uid="{2AF21E7A-57F1-4F41-A580-90960FAF2C73}"/>
    <hyperlink ref="R55" r:id="rId19" xr:uid="{024A8BA8-7A1B-475C-8306-63E39F2FF4AA}"/>
    <hyperlink ref="R11" r:id="rId20" xr:uid="{0FCB23D3-0B09-4AF2-A9B9-C4D1AFF41342}"/>
    <hyperlink ref="R56" r:id="rId21" xr:uid="{E1C6C646-3770-499B-838C-02474741BACF}"/>
    <hyperlink ref="R57" r:id="rId22" location="reco_item_pos=1&amp;reco_backend=machinalis-seller-items&amp;reco_backend_type=function&amp;reco_client=vip-seller_items_above-shops&amp;reco_id=89c475ed-a643-49dc-a14a-7c6d177ca57f" display="https://www.proveedorintegral.com/MCO-452842779-tabla-picar-cortar-profesional-roja-co-polimeros-resistente-_JM#reco_item_pos=1&amp;reco_backend=machinalis-seller-items&amp;reco_backend_type=function&amp;reco_client=vip-seller_items_above-shops&amp;reco_id=89c475ed-a643-49dc-a14a-7c6d177ca57f" xr:uid="{92FB10C5-AA96-41A2-92C2-DB3985D3ABE5}"/>
    <hyperlink ref="R63" r:id="rId23" xr:uid="{ABE91071-D5F3-4CF7-8E37-772D4DE3D08B}"/>
    <hyperlink ref="R77" r:id="rId24" xr:uid="{3E4B1FE1-8EF4-45CC-81DF-311F91E8437A}"/>
    <hyperlink ref="R78" r:id="rId25" xr:uid="{8EC94061-6F01-4B61-8908-F6AB7187C6A9}"/>
    <hyperlink ref="R82" r:id="rId26" xr:uid="{63DE2420-30F7-4A50-946C-683CF5F19500}"/>
    <hyperlink ref="R79" r:id="rId27" xr:uid="{CCC9B690-9FC2-4B91-9F1F-F3EA5537ABF2}"/>
    <hyperlink ref="R80" r:id="rId28" xr:uid="{5B222DA6-0DA2-4A6C-B463-FC01B5CC4529}"/>
    <hyperlink ref="R81" r:id="rId29" xr:uid="{054FDED3-EC49-4F23-ADEE-14BAD55E624D}"/>
    <hyperlink ref="R83" r:id="rId30" xr:uid="{F2A0447B-CD68-4CDB-B22B-62C58A7DE032}"/>
    <hyperlink ref="R18" r:id="rId31" xr:uid="{D91BD26C-029E-4BCA-A90B-900EBA9EC8C5}"/>
    <hyperlink ref="R14" r:id="rId32" xr:uid="{5AFFE75D-55E5-4D68-8081-FA4D3B2A8F24}"/>
    <hyperlink ref="R25" r:id="rId33" xr:uid="{DEE4E948-5B86-413A-9CA9-5F371DFE2571}"/>
    <hyperlink ref="R53" r:id="rId34" xr:uid="{30BA35CF-20FF-4B1B-B0FE-AEBC433EED08}"/>
  </hyperlinks>
  <pageMargins left="0.7" right="0.7" top="0.75" bottom="0.75" header="0.3" footer="0.3"/>
  <pageSetup paperSize="0" orientation="portrait" r:id="rId3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P K 9 v U p a x K 3 K i A A A A 9 Q A A A B I A H A B D b 2 5 m a W c v U G F j a 2 F n Z S 5 4 b W w g o h g A K K A U A A A A A A A A A A A A A A A A A A A A A A A A A A A A h Y + x D o I w F E V / h X S n L e h A y K M M r B J N T I x r U 5 7 Y C M X Q Y v k 3 B z / J X x C j q J v j v e c M 9 9 6 v N 8 j H t g k u 2 F v d m Y x E l J M A j e o q b e q M D O 4 Q J i Q X s J H q J G s M J t n Y d L R V R o 7 O n V P G v P f U L 2 j X 1 y z m P G L 7 c r V V R 2 w l + c j 6 v x x q Y 5 0 0 C o m A 3 W u M i G m y p A m f J g G b O y i 1 + f J 4 Y k / 6 U 0 I x N G 7 o U a A N i z W w O Q J 7 X x A P U E s D B B Q A A g A I A D y v b 1 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8 r 2 9 S K I p H u A 4 A A A A R A A A A E w A c A E Z v c m 1 1 b G F z L 1 N l Y 3 R p b 2 4 x L m 0 g o h g A K K A U A A A A A A A A A A A A A A A A A A A A A A A A A A A A K 0 5 N L s n M z 1 M I h t C G 1 g B Q S w E C L Q A U A A I A C A A 8 r 2 9 S l r E r c q I A A A D 1 A A A A E g A A A A A A A A A A A A A A A A A A A A A A Q 2 9 u Z m l n L 1 B h Y 2 t h Z 2 U u e G 1 s U E s B A i 0 A F A A C A A g A P K 9 v U g / K 6 a u k A A A A 6 Q A A A B M A A A A A A A A A A A A A A A A A 7 g A A A F t D b 2 5 0 Z W 5 0 X 1 R 5 c G V z X S 5 4 b W x Q S w E C L Q A U A A I A C A A 8 r 2 9 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D G L C S E v y o k m F u y Y U H s 6 1 d g A A A A A C A A A A A A A Q Z g A A A A E A A C A A A A C C s 9 B a z T y d K 6 R z S F E B 0 t 1 q 8 I p d a 9 6 W 5 L E C z s T Y 8 D y Y O A A A A A A O g A A A A A I A A C A A A A D k J E / Y L P F L 1 M I g l j A P k Q o B t 6 c e t p 3 7 q l G n p 1 a v C W g r R V A A A A D T c J n 3 w / b d h b i n J b 3 x q 8 t / 5 J D 9 8 z 9 Z z k o U t x 9 z + f h u a U 3 3 u + N u J 2 F t / A i B N M i d X L Z D J Q C r i l d d U v G w q W 4 m E X x m d s Q 3 x u c 3 6 i g N r C r W m 4 B E r k A A A A D 1 5 9 1 S B T o M C D R i P w + T 1 s 3 k q s d p K e Y U X Z e E G n g 4 Q 2 / v F c v p Q Y G 4 4 u D A v 9 P m h m P K 1 / L 8 6 L S 0 S E r 0 m M M Z q e 5 x 6 D R s < / D a t a M a s h u p > 
</file>

<file path=customXml/itemProps1.xml><?xml version="1.0" encoding="utf-8"?>
<ds:datastoreItem xmlns:ds="http://schemas.openxmlformats.org/officeDocument/2006/customXml" ds:itemID="{56C0CCC7-7351-4C7A-991E-BD6E083C1EF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Presentación</vt:lpstr>
      <vt:lpstr>1. PLATOS</vt:lpstr>
      <vt:lpstr>2. FICHAS TÉCNICAS</vt:lpstr>
      <vt:lpstr>3. PRECIOS Y COSTOS</vt:lpstr>
      <vt:lpstr>4. COSTOS MO-CIF</vt:lpstr>
      <vt:lpstr>5. PROYECCIONES</vt:lpstr>
      <vt:lpstr>6. PONDERADOS</vt:lpstr>
      <vt:lpstr>7. FLUJOGRAMA</vt:lpstr>
      <vt:lpstr>8. REQUERIMIENTOS 14</vt:lpstr>
      <vt:lpstr>9. PROCESOS </vt:lpstr>
      <vt:lpstr>10. EQUIPO DE TRABAJO</vt:lpstr>
      <vt:lpstr>11. MODELO FINANCIERO</vt:lpstr>
      <vt:lpstr>Presentación!Área_de_impresión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Milena Vargas</dc:creator>
  <cp:lastModifiedBy>Milena Vargas</cp:lastModifiedBy>
  <dcterms:created xsi:type="dcterms:W3CDTF">2020-12-22T22:41:56Z</dcterms:created>
  <dcterms:modified xsi:type="dcterms:W3CDTF">2021-12-14T13:22:43Z</dcterms:modified>
</cp:coreProperties>
</file>