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 Paula\Desktop\entrega final\"/>
    </mc:Choice>
  </mc:AlternateContent>
  <bookViews>
    <workbookView xWindow="0" yWindow="0" windowWidth="16392" windowHeight="5832" firstSheet="1" activeTab="1"/>
  </bookViews>
  <sheets>
    <sheet name="Acueducto" sheetId="10" r:id="rId1"/>
    <sheet name="GAS" sheetId="9" r:id="rId2"/>
    <sheet name="Energia" sheetId="11" r:id="rId3"/>
  </sheets>
  <calcPr calcId="152511"/>
</workbook>
</file>

<file path=xl/calcChain.xml><?xml version="1.0" encoding="utf-8"?>
<calcChain xmlns="http://schemas.openxmlformats.org/spreadsheetml/2006/main">
  <c r="D117" i="9" l="1"/>
  <c r="D118" i="9" s="1"/>
  <c r="D119" i="9"/>
  <c r="D3" i="9"/>
  <c r="D131" i="9" l="1"/>
  <c r="E82" i="9"/>
  <c r="D132" i="9"/>
  <c r="D6" i="9" l="1"/>
  <c r="E83" i="9" s="1"/>
  <c r="C56" i="10"/>
  <c r="C55" i="10" s="1"/>
  <c r="C54" i="10" s="1"/>
  <c r="C53" i="10" s="1"/>
  <c r="C58" i="10"/>
  <c r="C59" i="10" s="1"/>
  <c r="C60" i="10" s="1"/>
  <c r="C61" i="10" s="1"/>
  <c r="C62" i="10" s="1"/>
  <c r="C63" i="10" s="1"/>
  <c r="G59" i="10"/>
  <c r="G60" i="10" s="1"/>
  <c r="G61" i="10" s="1"/>
  <c r="G62" i="10" s="1"/>
  <c r="G63" i="10" s="1"/>
  <c r="G58" i="10"/>
  <c r="G53" i="10"/>
  <c r="G54" i="10"/>
  <c r="G55" i="10"/>
  <c r="G56" i="10"/>
  <c r="H5" i="9" l="1"/>
  <c r="H6" i="9"/>
  <c r="E11" i="11"/>
  <c r="C12" i="11" l="1"/>
  <c r="D48" i="11" s="1"/>
  <c r="Q86" i="11"/>
  <c r="M91" i="11"/>
  <c r="L91" i="11"/>
  <c r="K91" i="11"/>
  <c r="J91" i="11"/>
  <c r="H91" i="11"/>
  <c r="G91" i="11"/>
  <c r="F91" i="11"/>
  <c r="E91" i="11"/>
  <c r="D91" i="11"/>
  <c r="E81" i="11"/>
  <c r="F81" i="11" s="1"/>
  <c r="G81" i="11" s="1"/>
  <c r="H81" i="11" s="1"/>
  <c r="I81" i="11" s="1"/>
  <c r="J81" i="11" s="1"/>
  <c r="K81" i="11" s="1"/>
  <c r="L81" i="11" s="1"/>
  <c r="M81" i="11" s="1"/>
  <c r="C38" i="11"/>
  <c r="N22" i="9"/>
  <c r="E21" i="9"/>
  <c r="F16" i="11"/>
  <c r="D46" i="11"/>
  <c r="E46" i="11" s="1"/>
  <c r="F46" i="11" s="1"/>
  <c r="G46" i="11" s="1"/>
  <c r="H46" i="11" s="1"/>
  <c r="I46" i="11" s="1"/>
  <c r="J46" i="11" s="1"/>
  <c r="K46" i="11" s="1"/>
  <c r="L46" i="11" s="1"/>
  <c r="M46" i="11" s="1"/>
  <c r="D39" i="11"/>
  <c r="E39" i="11" s="1"/>
  <c r="D88" i="11" s="1"/>
  <c r="E88" i="11" s="1"/>
  <c r="F88" i="11" s="1"/>
  <c r="G88" i="11" s="1"/>
  <c r="H88" i="11" s="1"/>
  <c r="I88" i="11" s="1"/>
  <c r="J88" i="11" s="1"/>
  <c r="K88" i="11" s="1"/>
  <c r="L88" i="11" s="1"/>
  <c r="M88" i="11" s="1"/>
  <c r="D38" i="11"/>
  <c r="E38" i="11" s="1"/>
  <c r="D87" i="11" s="1"/>
  <c r="E87" i="11" s="1"/>
  <c r="F87" i="11" s="1"/>
  <c r="C41" i="11"/>
  <c r="D41" i="11" s="1"/>
  <c r="E41" i="11" s="1"/>
  <c r="C40" i="11"/>
  <c r="D40" i="11" s="1"/>
  <c r="E40" i="11" s="1"/>
  <c r="D89" i="11" s="1"/>
  <c r="E89" i="11" s="1"/>
  <c r="F89" i="11" s="1"/>
  <c r="G89" i="11" s="1"/>
  <c r="H89" i="11" s="1"/>
  <c r="I89" i="11" s="1"/>
  <c r="J89" i="11" s="1"/>
  <c r="K89" i="11" s="1"/>
  <c r="L89" i="11" s="1"/>
  <c r="M89" i="11" s="1"/>
  <c r="C39" i="11"/>
  <c r="E34" i="11"/>
  <c r="E35" i="11"/>
  <c r="E33" i="11"/>
  <c r="D36" i="11"/>
  <c r="D86" i="11" l="1"/>
  <c r="F86" i="11"/>
  <c r="G87" i="11"/>
  <c r="E86" i="11"/>
  <c r="E42" i="11"/>
  <c r="E36" i="11"/>
  <c r="C42" i="11" s="1"/>
  <c r="D51" i="11" s="1"/>
  <c r="E51" i="11" s="1"/>
  <c r="F51" i="11" s="1"/>
  <c r="F30" i="11"/>
  <c r="C97" i="11" s="1"/>
  <c r="E25" i="11"/>
  <c r="F25" i="11" s="1"/>
  <c r="C94" i="11" s="1"/>
  <c r="E26" i="11"/>
  <c r="F26" i="11" s="1"/>
  <c r="C95" i="11" s="1"/>
  <c r="E27" i="11"/>
  <c r="F27" i="11" s="1"/>
  <c r="C96" i="11" s="1"/>
  <c r="E24" i="11"/>
  <c r="F24" i="11" s="1"/>
  <c r="C93" i="11" s="1"/>
  <c r="E23" i="11"/>
  <c r="F23" i="11" s="1"/>
  <c r="C92" i="11" s="1"/>
  <c r="I4" i="11"/>
  <c r="L4" i="11"/>
  <c r="M4" i="11" s="1"/>
  <c r="I5" i="11"/>
  <c r="L5" i="11"/>
  <c r="M5" i="11" s="1"/>
  <c r="F15" i="11"/>
  <c r="G15" i="11" s="1"/>
  <c r="G17" i="11" s="1"/>
  <c r="G16" i="11"/>
  <c r="F14" i="11"/>
  <c r="G14" i="11" s="1"/>
  <c r="E15" i="11"/>
  <c r="E16" i="11"/>
  <c r="E14" i="11"/>
  <c r="G51" i="11" l="1"/>
  <c r="H51" i="11" s="1"/>
  <c r="I51" i="11" s="1"/>
  <c r="J51" i="11" s="1"/>
  <c r="K51" i="11" s="1"/>
  <c r="L51" i="11" s="1"/>
  <c r="M51" i="11" s="1"/>
  <c r="G86" i="11"/>
  <c r="H87" i="11"/>
  <c r="G6" i="11"/>
  <c r="G7" i="11"/>
  <c r="F28" i="11"/>
  <c r="G29" i="11" s="1"/>
  <c r="D111" i="11" s="1"/>
  <c r="E28" i="11"/>
  <c r="G27" i="11" s="1"/>
  <c r="E17" i="11"/>
  <c r="F111" i="10"/>
  <c r="F112" i="10" s="1"/>
  <c r="F113" i="10" s="1"/>
  <c r="F114" i="10" s="1"/>
  <c r="F115" i="10" s="1"/>
  <c r="F116" i="10" s="1"/>
  <c r="F107" i="10"/>
  <c r="F108" i="10" s="1"/>
  <c r="F109" i="10" s="1"/>
  <c r="F106" i="10"/>
  <c r="G8" i="11" l="1"/>
  <c r="P92" i="11" s="1"/>
  <c r="H86" i="11"/>
  <c r="I87" i="11"/>
  <c r="M53" i="11"/>
  <c r="M58" i="11" s="1"/>
  <c r="C59" i="11"/>
  <c r="C5" i="11"/>
  <c r="Q92" i="11" s="1"/>
  <c r="E23" i="10"/>
  <c r="F23" i="10"/>
  <c r="G23" i="10"/>
  <c r="H23" i="10"/>
  <c r="I23" i="10"/>
  <c r="J23" i="10"/>
  <c r="K23" i="10"/>
  <c r="L23" i="10"/>
  <c r="M23" i="10"/>
  <c r="D23" i="10"/>
  <c r="D18" i="10"/>
  <c r="G8" i="10"/>
  <c r="H60" i="9"/>
  <c r="H59" i="9" s="1"/>
  <c r="H58" i="9" s="1"/>
  <c r="H57" i="9" s="1"/>
  <c r="H62" i="9"/>
  <c r="H63" i="9" s="1"/>
  <c r="H64" i="9" s="1"/>
  <c r="H65" i="9" s="1"/>
  <c r="H66" i="9" s="1"/>
  <c r="H67" i="9" s="1"/>
  <c r="C61" i="11" l="1"/>
  <c r="D73" i="11"/>
  <c r="P86" i="11"/>
  <c r="R86" i="11" s="1"/>
  <c r="R92" i="11"/>
  <c r="S92" i="11" s="1"/>
  <c r="J87" i="11"/>
  <c r="I86" i="11"/>
  <c r="D49" i="11"/>
  <c r="E49" i="11" s="1"/>
  <c r="H60" i="11"/>
  <c r="E52" i="11"/>
  <c r="E57" i="11" s="1"/>
  <c r="I52" i="11"/>
  <c r="I57" i="11" s="1"/>
  <c r="M52" i="11"/>
  <c r="M57" i="11" s="1"/>
  <c r="F52" i="11"/>
  <c r="F57" i="11" s="1"/>
  <c r="J52" i="11"/>
  <c r="J57" i="11" s="1"/>
  <c r="D52" i="11"/>
  <c r="D57" i="11" s="1"/>
  <c r="G52" i="11"/>
  <c r="G57" i="11" s="1"/>
  <c r="K52" i="11"/>
  <c r="K57" i="11" s="1"/>
  <c r="H52" i="11"/>
  <c r="H57" i="11" s="1"/>
  <c r="L52" i="11"/>
  <c r="L57" i="11" s="1"/>
  <c r="D84" i="10"/>
  <c r="E84" i="10" s="1"/>
  <c r="C82" i="10"/>
  <c r="M86" i="10" s="1"/>
  <c r="D77" i="10"/>
  <c r="E77" i="10" s="1"/>
  <c r="F77" i="10" s="1"/>
  <c r="G77" i="10" s="1"/>
  <c r="H77" i="10" s="1"/>
  <c r="I77" i="10" s="1"/>
  <c r="J77" i="10" s="1"/>
  <c r="K77" i="10" s="1"/>
  <c r="L77" i="10" s="1"/>
  <c r="M77" i="10" s="1"/>
  <c r="D75" i="10"/>
  <c r="E75" i="10" s="1"/>
  <c r="F75" i="10" s="1"/>
  <c r="G75" i="10" s="1"/>
  <c r="H75" i="10" s="1"/>
  <c r="I75" i="10" s="1"/>
  <c r="J75" i="10" s="1"/>
  <c r="K75" i="10" s="1"/>
  <c r="L75" i="10" s="1"/>
  <c r="M75" i="10" s="1"/>
  <c r="C30" i="10"/>
  <c r="H31" i="10" s="1"/>
  <c r="K28" i="10"/>
  <c r="H28" i="10"/>
  <c r="G28" i="10"/>
  <c r="M28" i="10"/>
  <c r="L28" i="10"/>
  <c r="J28" i="10"/>
  <c r="I28" i="10"/>
  <c r="F28" i="10"/>
  <c r="E28" i="10"/>
  <c r="D28" i="10"/>
  <c r="D22" i="10"/>
  <c r="E22" i="10" s="1"/>
  <c r="F22" i="10" s="1"/>
  <c r="E18" i="10"/>
  <c r="F18" i="10" s="1"/>
  <c r="F20" i="10" s="1"/>
  <c r="D17" i="10"/>
  <c r="E17" i="10" s="1"/>
  <c r="F17" i="10" s="1"/>
  <c r="G17" i="10" s="1"/>
  <c r="H17" i="10" s="1"/>
  <c r="I17" i="10" s="1"/>
  <c r="J17" i="10" s="1"/>
  <c r="K17" i="10" s="1"/>
  <c r="L17" i="10" s="1"/>
  <c r="M17" i="10" s="1"/>
  <c r="G7" i="10"/>
  <c r="G9" i="10" s="1"/>
  <c r="D78" i="10" s="1"/>
  <c r="E78" i="10" s="1"/>
  <c r="F78" i="10" s="1"/>
  <c r="G78" i="10" s="1"/>
  <c r="H78" i="10" s="1"/>
  <c r="I78" i="10" s="1"/>
  <c r="J78" i="10" s="1"/>
  <c r="K78" i="10" s="1"/>
  <c r="L78" i="10" s="1"/>
  <c r="M78" i="10" s="1"/>
  <c r="D7" i="10"/>
  <c r="E7" i="10" s="1"/>
  <c r="F49" i="11" l="1"/>
  <c r="G49" i="11" s="1"/>
  <c r="H49" i="11" s="1"/>
  <c r="I49" i="11" s="1"/>
  <c r="J49" i="11" s="1"/>
  <c r="K49" i="11" s="1"/>
  <c r="L49" i="11" s="1"/>
  <c r="M49" i="11" s="1"/>
  <c r="E54" i="11"/>
  <c r="C66" i="11"/>
  <c r="R87" i="11"/>
  <c r="S87" i="11" s="1"/>
  <c r="P97" i="11"/>
  <c r="D83" i="11"/>
  <c r="E83" i="11" s="1"/>
  <c r="F83" i="11" s="1"/>
  <c r="G83" i="11" s="1"/>
  <c r="H83" i="11" s="1"/>
  <c r="I83" i="11" s="1"/>
  <c r="J83" i="11" s="1"/>
  <c r="K83" i="11" s="1"/>
  <c r="E48" i="11"/>
  <c r="F48" i="11" s="1"/>
  <c r="S86" i="11"/>
  <c r="J86" i="11"/>
  <c r="K87" i="11"/>
  <c r="D54" i="11"/>
  <c r="C81" i="10"/>
  <c r="C87" i="10" s="1"/>
  <c r="C93" i="10" s="1"/>
  <c r="D76" i="10"/>
  <c r="C7" i="10"/>
  <c r="H83" i="10"/>
  <c r="D79" i="10"/>
  <c r="E76" i="10"/>
  <c r="G22" i="10"/>
  <c r="H22" i="10" s="1"/>
  <c r="I22" i="10" s="1"/>
  <c r="J22" i="10" s="1"/>
  <c r="K22" i="10" s="1"/>
  <c r="L22" i="10" s="1"/>
  <c r="M22" i="10" s="1"/>
  <c r="F25" i="10"/>
  <c r="F26" i="10" s="1"/>
  <c r="G18" i="10"/>
  <c r="F84" i="10"/>
  <c r="E81" i="10"/>
  <c r="D81" i="10"/>
  <c r="D20" i="10"/>
  <c r="D25" i="10" s="1"/>
  <c r="D26" i="10" s="1"/>
  <c r="E20" i="10"/>
  <c r="E25" i="10" s="1"/>
  <c r="E26" i="10" s="1"/>
  <c r="M19" i="10"/>
  <c r="M24" i="10" s="1"/>
  <c r="M29" i="10" s="1"/>
  <c r="C32" i="10"/>
  <c r="D127" i="9"/>
  <c r="R88" i="11" l="1"/>
  <c r="S88" i="11"/>
  <c r="D84" i="11" s="1"/>
  <c r="E84" i="11" s="1"/>
  <c r="F84" i="11" s="1"/>
  <c r="I93" i="11"/>
  <c r="I91" i="11" s="1"/>
  <c r="L83" i="11"/>
  <c r="L87" i="11"/>
  <c r="K86" i="11"/>
  <c r="D55" i="11"/>
  <c r="D56" i="11" s="1"/>
  <c r="D61" i="11" s="1"/>
  <c r="E55" i="11"/>
  <c r="E56" i="11" s="1"/>
  <c r="E61" i="11" s="1"/>
  <c r="G48" i="11"/>
  <c r="F54" i="11"/>
  <c r="C38" i="10"/>
  <c r="D27" i="10"/>
  <c r="D32" i="10" s="1"/>
  <c r="G20" i="10"/>
  <c r="G25" i="10" s="1"/>
  <c r="G26" i="10" s="1"/>
  <c r="H18" i="10"/>
  <c r="F27" i="10"/>
  <c r="F32" i="10" s="1"/>
  <c r="E27" i="10"/>
  <c r="E32" i="10" s="1"/>
  <c r="E79" i="10"/>
  <c r="E87" i="10" s="1"/>
  <c r="F76" i="10"/>
  <c r="F81" i="10"/>
  <c r="G84" i="10"/>
  <c r="D87" i="10"/>
  <c r="F82" i="9"/>
  <c r="G82" i="9" s="1"/>
  <c r="H82" i="9" s="1"/>
  <c r="I82" i="9" s="1"/>
  <c r="J82" i="9" s="1"/>
  <c r="K82" i="9" s="1"/>
  <c r="L82" i="9" s="1"/>
  <c r="M82" i="9" s="1"/>
  <c r="N82" i="9" s="1"/>
  <c r="D121" i="9"/>
  <c r="N81" i="9" s="1"/>
  <c r="E90" i="9"/>
  <c r="P96" i="11" l="1"/>
  <c r="P98" i="11" s="1"/>
  <c r="E82" i="11"/>
  <c r="E99" i="11" s="1"/>
  <c r="D82" i="11"/>
  <c r="D99" i="11" s="1"/>
  <c r="D110" i="11" s="1"/>
  <c r="F55" i="11"/>
  <c r="F56" i="11" s="1"/>
  <c r="F61" i="11" s="1"/>
  <c r="C91" i="11"/>
  <c r="C99" i="11" s="1"/>
  <c r="G84" i="11"/>
  <c r="F82" i="11"/>
  <c r="F99" i="11" s="1"/>
  <c r="L86" i="11"/>
  <c r="M87" i="11"/>
  <c r="M86" i="11" s="1"/>
  <c r="M83" i="11"/>
  <c r="H48" i="11"/>
  <c r="G54" i="11"/>
  <c r="G55" i="11" s="1"/>
  <c r="G56" i="11" s="1"/>
  <c r="G61" i="11" s="1"/>
  <c r="H84" i="10"/>
  <c r="G81" i="10"/>
  <c r="I18" i="10"/>
  <c r="H20" i="10"/>
  <c r="H25" i="10" s="1"/>
  <c r="H26" i="10" s="1"/>
  <c r="G27" i="10"/>
  <c r="G32" i="10" s="1"/>
  <c r="G76" i="10"/>
  <c r="F79" i="10"/>
  <c r="F87" i="10" s="1"/>
  <c r="E81" i="9"/>
  <c r="I81" i="9"/>
  <c r="M81" i="9"/>
  <c r="G81" i="9"/>
  <c r="K81" i="9"/>
  <c r="H81" i="9"/>
  <c r="L81" i="9"/>
  <c r="F81" i="9"/>
  <c r="J81" i="9"/>
  <c r="H7" i="9"/>
  <c r="E16" i="9"/>
  <c r="E18" i="9" s="1"/>
  <c r="E84" i="9" l="1"/>
  <c r="E85" i="9" s="1"/>
  <c r="C104" i="11"/>
  <c r="H84" i="11"/>
  <c r="G82" i="11"/>
  <c r="G99" i="11" s="1"/>
  <c r="D109" i="11" s="1"/>
  <c r="E108" i="11" s="1"/>
  <c r="I48" i="11"/>
  <c r="H54" i="11"/>
  <c r="H55" i="11" s="1"/>
  <c r="H56" i="11" s="1"/>
  <c r="H61" i="11" s="1"/>
  <c r="G79" i="10"/>
  <c r="G87" i="10" s="1"/>
  <c r="H76" i="10"/>
  <c r="H27" i="10"/>
  <c r="H32" i="10" s="1"/>
  <c r="J18" i="10"/>
  <c r="I20" i="10"/>
  <c r="I25" i="10" s="1"/>
  <c r="I26" i="10" s="1"/>
  <c r="I84" i="10"/>
  <c r="H81" i="10"/>
  <c r="I84" i="11" l="1"/>
  <c r="H82" i="11"/>
  <c r="H99" i="11" s="1"/>
  <c r="J48" i="11"/>
  <c r="I54" i="11"/>
  <c r="I55" i="11" s="1"/>
  <c r="I56" i="11" s="1"/>
  <c r="I61" i="11" s="1"/>
  <c r="J84" i="10"/>
  <c r="I81" i="10"/>
  <c r="I27" i="10"/>
  <c r="I32" i="10" s="1"/>
  <c r="H79" i="10"/>
  <c r="H87" i="10" s="1"/>
  <c r="I76" i="10"/>
  <c r="J20" i="10"/>
  <c r="J25" i="10" s="1"/>
  <c r="J26" i="10" s="1"/>
  <c r="K18" i="10"/>
  <c r="F90" i="9"/>
  <c r="D88" i="9"/>
  <c r="I89" i="9" s="1"/>
  <c r="F83" i="9"/>
  <c r="G83" i="9" s="1"/>
  <c r="H83" i="9" s="1"/>
  <c r="I83" i="9" s="1"/>
  <c r="J83" i="9" s="1"/>
  <c r="K83" i="9" s="1"/>
  <c r="L83" i="9" s="1"/>
  <c r="M83" i="9" s="1"/>
  <c r="N83" i="9" s="1"/>
  <c r="E79" i="9"/>
  <c r="F79" i="9" s="1"/>
  <c r="G79" i="9" s="1"/>
  <c r="H79" i="9" s="1"/>
  <c r="I79" i="9" s="1"/>
  <c r="J79" i="9" s="1"/>
  <c r="K79" i="9" s="1"/>
  <c r="L79" i="9" s="1"/>
  <c r="M79" i="9" s="1"/>
  <c r="N79" i="9" s="1"/>
  <c r="D28" i="9"/>
  <c r="N21" i="9"/>
  <c r="N26" i="9" s="1"/>
  <c r="M21" i="9"/>
  <c r="M26" i="9" s="1"/>
  <c r="L21" i="9"/>
  <c r="L26" i="9" s="1"/>
  <c r="K21" i="9"/>
  <c r="K26" i="9" s="1"/>
  <c r="J21" i="9"/>
  <c r="J26" i="9" s="1"/>
  <c r="I21" i="9"/>
  <c r="I26" i="9" s="1"/>
  <c r="H21" i="9"/>
  <c r="H26" i="9" s="1"/>
  <c r="G21" i="9"/>
  <c r="G26" i="9" s="1"/>
  <c r="F21" i="9"/>
  <c r="F26" i="9" s="1"/>
  <c r="E26" i="9"/>
  <c r="E20" i="9"/>
  <c r="F20" i="9" s="1"/>
  <c r="G20" i="9" s="1"/>
  <c r="H20" i="9" s="1"/>
  <c r="I20" i="9" s="1"/>
  <c r="J20" i="9" s="1"/>
  <c r="K20" i="9" s="1"/>
  <c r="L20" i="9" s="1"/>
  <c r="M20" i="9" s="1"/>
  <c r="N20" i="9" s="1"/>
  <c r="N27" i="9"/>
  <c r="F16" i="9"/>
  <c r="E15" i="9"/>
  <c r="F15" i="9" s="1"/>
  <c r="G15" i="9" s="1"/>
  <c r="H15" i="9" s="1"/>
  <c r="I15" i="9" s="1"/>
  <c r="J15" i="9" s="1"/>
  <c r="K15" i="9" s="1"/>
  <c r="L15" i="9" s="1"/>
  <c r="M15" i="9" s="1"/>
  <c r="N15" i="9" s="1"/>
  <c r="E5" i="9"/>
  <c r="F5" i="9" s="1"/>
  <c r="D5" i="9" s="1"/>
  <c r="E80" i="9" s="1"/>
  <c r="F80" i="9" l="1"/>
  <c r="G80" i="9" s="1"/>
  <c r="H80" i="9" s="1"/>
  <c r="I80" i="9" s="1"/>
  <c r="J80" i="9" s="1"/>
  <c r="K80" i="9" s="1"/>
  <c r="L80" i="9" s="1"/>
  <c r="M80" i="9" s="1"/>
  <c r="N80" i="9" s="1"/>
  <c r="J84" i="11"/>
  <c r="I82" i="11"/>
  <c r="I99" i="11" s="1"/>
  <c r="I29" i="9"/>
  <c r="N17" i="9"/>
  <c r="K48" i="11"/>
  <c r="J54" i="11"/>
  <c r="J55" i="11" s="1"/>
  <c r="J56" i="11" s="1"/>
  <c r="J61" i="11" s="1"/>
  <c r="J27" i="10"/>
  <c r="J32" i="10" s="1"/>
  <c r="J81" i="10"/>
  <c r="K84" i="10"/>
  <c r="K20" i="10"/>
  <c r="K25" i="10" s="1"/>
  <c r="K26" i="10" s="1"/>
  <c r="L18" i="10"/>
  <c r="I79" i="10"/>
  <c r="I87" i="10" s="1"/>
  <c r="J76" i="10"/>
  <c r="E87" i="9"/>
  <c r="G90" i="9"/>
  <c r="H90" i="9" s="1"/>
  <c r="F87" i="9"/>
  <c r="D30" i="9"/>
  <c r="D36" i="9" s="1"/>
  <c r="N92" i="9"/>
  <c r="D87" i="9"/>
  <c r="D93" i="9" s="1"/>
  <c r="D99" i="9" s="1"/>
  <c r="G16" i="9"/>
  <c r="F18" i="9"/>
  <c r="F23" i="9" s="1"/>
  <c r="K84" i="11" l="1"/>
  <c r="J82" i="11"/>
  <c r="J99" i="11" s="1"/>
  <c r="G87" i="9"/>
  <c r="L48" i="11"/>
  <c r="K54" i="11"/>
  <c r="K55" i="11" s="1"/>
  <c r="K56" i="11" s="1"/>
  <c r="K61" i="11" s="1"/>
  <c r="K76" i="10"/>
  <c r="J79" i="10"/>
  <c r="J87" i="10" s="1"/>
  <c r="L84" i="10"/>
  <c r="K81" i="10"/>
  <c r="M18" i="10"/>
  <c r="M20" i="10" s="1"/>
  <c r="M25" i="10" s="1"/>
  <c r="M26" i="10" s="1"/>
  <c r="L20" i="10"/>
  <c r="L25" i="10" s="1"/>
  <c r="L26" i="10" s="1"/>
  <c r="K27" i="10"/>
  <c r="K32" i="10" s="1"/>
  <c r="E93" i="9"/>
  <c r="F84" i="9"/>
  <c r="E23" i="9"/>
  <c r="E24" i="9" s="1"/>
  <c r="I90" i="9"/>
  <c r="H87" i="9"/>
  <c r="F24" i="9"/>
  <c r="F25" i="9" s="1"/>
  <c r="F30" i="9" s="1"/>
  <c r="H16" i="9"/>
  <c r="G18" i="9"/>
  <c r="G23" i="9" s="1"/>
  <c r="L84" i="11" l="1"/>
  <c r="K82" i="11"/>
  <c r="K99" i="11" s="1"/>
  <c r="M48" i="11"/>
  <c r="M54" i="11" s="1"/>
  <c r="M55" i="11" s="1"/>
  <c r="M56" i="11" s="1"/>
  <c r="M61" i="11" s="1"/>
  <c r="L54" i="11"/>
  <c r="L55" i="11" s="1"/>
  <c r="L56" i="11" s="1"/>
  <c r="L61" i="11" s="1"/>
  <c r="L27" i="10"/>
  <c r="L32" i="10" s="1"/>
  <c r="M84" i="10"/>
  <c r="M81" i="10" s="1"/>
  <c r="L81" i="10"/>
  <c r="M27" i="10"/>
  <c r="M32" i="10" s="1"/>
  <c r="K79" i="10"/>
  <c r="K87" i="10" s="1"/>
  <c r="L76" i="10"/>
  <c r="F85" i="9"/>
  <c r="F93" i="9" s="1"/>
  <c r="G84" i="9"/>
  <c r="J90" i="9"/>
  <c r="I87" i="9"/>
  <c r="H18" i="9"/>
  <c r="H23" i="9" s="1"/>
  <c r="I16" i="9"/>
  <c r="G24" i="9"/>
  <c r="G25" i="9" s="1"/>
  <c r="G30" i="9" s="1"/>
  <c r="C39" i="10" l="1"/>
  <c r="D72" i="11"/>
  <c r="D71" i="11"/>
  <c r="C62" i="11"/>
  <c r="C65" i="11"/>
  <c r="M84" i="11"/>
  <c r="M82" i="11" s="1"/>
  <c r="M99" i="11" s="1"/>
  <c r="L82" i="11"/>
  <c r="L99" i="11" s="1"/>
  <c r="C34" i="10"/>
  <c r="L79" i="10"/>
  <c r="L87" i="10" s="1"/>
  <c r="M76" i="10"/>
  <c r="M79" i="10" s="1"/>
  <c r="M87" i="10" s="1"/>
  <c r="C37" i="10"/>
  <c r="C36" i="10" s="1"/>
  <c r="G85" i="9"/>
  <c r="G93" i="9" s="1"/>
  <c r="H84" i="9"/>
  <c r="E25" i="9"/>
  <c r="E30" i="9" s="1"/>
  <c r="K90" i="9"/>
  <c r="J87" i="9"/>
  <c r="H24" i="9"/>
  <c r="H25" i="9" s="1"/>
  <c r="H30" i="9" s="1"/>
  <c r="I18" i="9"/>
  <c r="I23" i="9" s="1"/>
  <c r="J16" i="9"/>
  <c r="E70" i="11" l="1"/>
  <c r="C103" i="11"/>
  <c r="C102" i="11" s="1"/>
  <c r="C101" i="11"/>
  <c r="C89" i="10"/>
  <c r="F105" i="10" s="1"/>
  <c r="C92" i="10"/>
  <c r="C91" i="10" s="1"/>
  <c r="C94" i="10"/>
  <c r="G52" i="10"/>
  <c r="D52" i="10"/>
  <c r="H85" i="9"/>
  <c r="H93" i="9" s="1"/>
  <c r="I84" i="9"/>
  <c r="L90" i="9"/>
  <c r="K87" i="9"/>
  <c r="I24" i="9"/>
  <c r="I25" i="9" s="1"/>
  <c r="I30" i="9" s="1"/>
  <c r="J18" i="9"/>
  <c r="J23" i="9" s="1"/>
  <c r="K16" i="9"/>
  <c r="J84" i="9" l="1"/>
  <c r="I85" i="9"/>
  <c r="I93" i="9" s="1"/>
  <c r="M90" i="9"/>
  <c r="L87" i="9"/>
  <c r="L16" i="9"/>
  <c r="K18" i="9"/>
  <c r="K23" i="9" s="1"/>
  <c r="J24" i="9"/>
  <c r="J25" i="9" s="1"/>
  <c r="J30" i="9" s="1"/>
  <c r="K84" i="9" l="1"/>
  <c r="J85" i="9"/>
  <c r="J93" i="9" s="1"/>
  <c r="M87" i="9"/>
  <c r="N90" i="9"/>
  <c r="N87" i="9" s="1"/>
  <c r="K24" i="9"/>
  <c r="K25" i="9" s="1"/>
  <c r="K30" i="9" s="1"/>
  <c r="L18" i="9"/>
  <c r="L23" i="9" s="1"/>
  <c r="M16" i="9"/>
  <c r="K85" i="9" l="1"/>
  <c r="K93" i="9" s="1"/>
  <c r="L84" i="9"/>
  <c r="M18" i="9"/>
  <c r="M23" i="9" s="1"/>
  <c r="N16" i="9"/>
  <c r="N18" i="9" s="1"/>
  <c r="N23" i="9" s="1"/>
  <c r="L24" i="9"/>
  <c r="L25" i="9" s="1"/>
  <c r="L30" i="9" s="1"/>
  <c r="L85" i="9" l="1"/>
  <c r="L93" i="9" s="1"/>
  <c r="M84" i="9"/>
  <c r="N24" i="9"/>
  <c r="N25" i="9" s="1"/>
  <c r="N30" i="9" s="1"/>
  <c r="D37" i="9" s="1"/>
  <c r="M24" i="9"/>
  <c r="M25" i="9" s="1"/>
  <c r="M30" i="9" s="1"/>
  <c r="D32" i="9" l="1"/>
  <c r="N84" i="9"/>
  <c r="N85" i="9" s="1"/>
  <c r="N93" i="9" s="1"/>
  <c r="M85" i="9"/>
  <c r="M93" i="9" s="1"/>
  <c r="D35" i="9"/>
  <c r="D34" i="9" s="1"/>
  <c r="D100" i="9" l="1"/>
  <c r="H56" i="9"/>
  <c r="D98" i="9"/>
  <c r="D97" i="9" s="1"/>
  <c r="D95" i="9"/>
  <c r="E56" i="9"/>
  <c r="C67" i="11" l="1"/>
  <c r="C64" i="11"/>
</calcChain>
</file>

<file path=xl/sharedStrings.xml><?xml version="1.0" encoding="utf-8"?>
<sst xmlns="http://schemas.openxmlformats.org/spreadsheetml/2006/main" count="302" uniqueCount="200">
  <si>
    <t>Paneles solares</t>
  </si>
  <si>
    <t>Baterías de acumulación</t>
  </si>
  <si>
    <t>Inversor de voltaje</t>
  </si>
  <si>
    <t>Regulador de carga</t>
  </si>
  <si>
    <t>Estructura para paneles</t>
  </si>
  <si>
    <t>Precio unit</t>
  </si>
  <si>
    <t>Total</t>
  </si>
  <si>
    <t>Inversión capital de trabajo</t>
  </si>
  <si>
    <t>Contador</t>
  </si>
  <si>
    <t>Operador</t>
  </si>
  <si>
    <t>Mantenimiento</t>
  </si>
  <si>
    <t>Mensual</t>
  </si>
  <si>
    <t>Watt</t>
  </si>
  <si>
    <t>Precio unitario ($)</t>
  </si>
  <si>
    <t>Gasto ($)</t>
  </si>
  <si>
    <t>Gasto total en ($) Go</t>
  </si>
  <si>
    <t>Precio ($/Kwh) Po</t>
  </si>
  <si>
    <t>Consumo en Kwh/mes</t>
  </si>
  <si>
    <t>Consumo mes total (Kwh-mes) Qo</t>
  </si>
  <si>
    <t>Kwh-mes</t>
  </si>
  <si>
    <t>$-mes</t>
  </si>
  <si>
    <t>$-año</t>
  </si>
  <si>
    <t>Beneficio por consumir más energía</t>
  </si>
  <si>
    <t>Dif(CN-CH)</t>
  </si>
  <si>
    <t>Tarifa regulada</t>
  </si>
  <si>
    <t>Beneficio área triangular</t>
  </si>
  <si>
    <t>Beneficio por Ahorro recursos</t>
  </si>
  <si>
    <t>Consumo</t>
  </si>
  <si>
    <t>$-Total</t>
  </si>
  <si>
    <t>Beneficio total por mayor consumo de energía eléctrica</t>
  </si>
  <si>
    <t>Remuneración operador técnico</t>
  </si>
  <si>
    <t>Precio mercado</t>
  </si>
  <si>
    <t>Precio social</t>
  </si>
  <si>
    <t>Remuneración contador</t>
  </si>
  <si>
    <t>60% Mto insumos nacionales</t>
  </si>
  <si>
    <t>40% Mto insumos importados</t>
  </si>
  <si>
    <t>Precio social mes</t>
  </si>
  <si>
    <t>Ahorro por liberación de recursos</t>
  </si>
  <si>
    <t>Beneficio por mayor consumo</t>
  </si>
  <si>
    <t>Remunerador operador técnico</t>
  </si>
  <si>
    <t>Costos de mantenimiento</t>
  </si>
  <si>
    <t>Capital de trabajo</t>
  </si>
  <si>
    <t>Flujo de caja</t>
  </si>
  <si>
    <t>VPN (12%)</t>
  </si>
  <si>
    <t>Tasa social de descuento</t>
  </si>
  <si>
    <t>RBC</t>
  </si>
  <si>
    <t>VP BENEFICIOS</t>
  </si>
  <si>
    <t>VP COSTOS</t>
  </si>
  <si>
    <t>Precio</t>
  </si>
  <si>
    <t>Precio social anual</t>
  </si>
  <si>
    <t>Arancel de importación</t>
  </si>
  <si>
    <t>Bombillos</t>
  </si>
  <si>
    <t>Televisor</t>
  </si>
  <si>
    <t>Radio</t>
  </si>
  <si>
    <t>Horas-mes</t>
  </si>
  <si>
    <t>Watt-hora/día</t>
  </si>
  <si>
    <t>Precio cuenta ($)</t>
  </si>
  <si>
    <t>Beneficios sociales bruto</t>
  </si>
  <si>
    <t xml:space="preserve">Insumos y materiales </t>
  </si>
  <si>
    <t>Mano de obra no calificada</t>
  </si>
  <si>
    <t>Mano de obra calificada</t>
  </si>
  <si>
    <t>Mantenimiento Maq y equipo nacional</t>
  </si>
  <si>
    <t>Mantenimiento Maq y equipo extranjero</t>
  </si>
  <si>
    <t>RAZON PRECIO CUENTA</t>
  </si>
  <si>
    <t>Inversión: Maq y equipo e insumos y materiales</t>
  </si>
  <si>
    <t>Factor cuenta capital de trabajo-Otros inversión</t>
  </si>
  <si>
    <t>Area triángulo</t>
  </si>
  <si>
    <t>Area rectángulo</t>
  </si>
  <si>
    <t>Beneficios sociales brutos</t>
  </si>
  <si>
    <t>Costos sociales</t>
  </si>
  <si>
    <t>Inversión inicial</t>
  </si>
  <si>
    <t>Inversión reposición</t>
  </si>
  <si>
    <t>AOM</t>
  </si>
  <si>
    <t>Valor de desecho</t>
  </si>
  <si>
    <t>Flujo social neto</t>
  </si>
  <si>
    <t>VNA</t>
  </si>
  <si>
    <t>Costo de oportunidad por pérdida de tiempo ($/Hab)</t>
  </si>
  <si>
    <t>rpc</t>
  </si>
  <si>
    <t>TASA DE DESCUENTO</t>
  </si>
  <si>
    <t>RPC</t>
  </si>
  <si>
    <t>INV</t>
  </si>
  <si>
    <t>MNOC</t>
  </si>
  <si>
    <t>Sal promedio</t>
  </si>
  <si>
    <t>Sal hora</t>
  </si>
  <si>
    <t>FLUJO PRIVADO DE FONDOS EN PRECIOS CORRIENTES</t>
  </si>
  <si>
    <t>Inflación interna</t>
  </si>
  <si>
    <t>Inflación específica AOM</t>
  </si>
  <si>
    <t>Ingreso por venta de activos</t>
  </si>
  <si>
    <t>Ingresos totales</t>
  </si>
  <si>
    <t>Costos AOM</t>
  </si>
  <si>
    <t>Utilidad neta</t>
  </si>
  <si>
    <t>Impuesto de renta</t>
  </si>
  <si>
    <t>Depreciación</t>
  </si>
  <si>
    <t>Valor contable</t>
  </si>
  <si>
    <t>Flujo de caja privado</t>
  </si>
  <si>
    <t>TIO</t>
  </si>
  <si>
    <t>Ahorro por pérdida de tiempo (Externalidad)</t>
  </si>
  <si>
    <t>ANÁLISIS DE SENSIBILIDAD</t>
  </si>
  <si>
    <t>I.Renta</t>
  </si>
  <si>
    <t>Tiempo en acarrear y talar madera (Horas día)</t>
  </si>
  <si>
    <t>Consumo de gas con proyecto ( m3 / mes)</t>
  </si>
  <si>
    <t>% Poblacion Economica Activa</t>
  </si>
  <si>
    <t>Ventas gas</t>
  </si>
  <si>
    <t>FLUJO SOCIAL DE FONDOS EN PRECIOS CONSTANTES</t>
  </si>
  <si>
    <t xml:space="preserve">Ahorro por compra de madera </t>
  </si>
  <si>
    <t>Aumento consumo de gas</t>
  </si>
  <si>
    <t xml:space="preserve">TIR Ajustada </t>
  </si>
  <si>
    <t>Reduccion de emisiones CO2</t>
  </si>
  <si>
    <t>Externalidades</t>
  </si>
  <si>
    <t>Emisiones generadas leña</t>
  </si>
  <si>
    <t>2278,04 Kg CO2/GJ</t>
  </si>
  <si>
    <t>Emisiones generadas gas natural</t>
  </si>
  <si>
    <t>1142,92 Kg CO2/GJ</t>
  </si>
  <si>
    <t>Ahorro en emisiones Kg CO2 mes</t>
  </si>
  <si>
    <t>Ahorro emisiones anuales Kg CO2</t>
  </si>
  <si>
    <t>Kg CO2</t>
  </si>
  <si>
    <t xml:space="preserve"> Aumento consumo </t>
  </si>
  <si>
    <t>Ahorro en emisiones anuales Ton CO2</t>
  </si>
  <si>
    <t>Valor de derecho de Emisiones UE</t>
  </si>
  <si>
    <t>Ahorro en COP por emisiones de CO2 anuales</t>
  </si>
  <si>
    <t>Ton CO2</t>
  </si>
  <si>
    <t>COP</t>
  </si>
  <si>
    <t>Ahorro por generacion de emisiones CO2</t>
  </si>
  <si>
    <t>Reduccion de gastos medicos por Reduccion de emisiones</t>
  </si>
  <si>
    <t>Poblacion promedio afectada por humo de leña</t>
  </si>
  <si>
    <t>Valor anual tratamiento de Infeccion aguda de las vias respiratorias inferiores</t>
  </si>
  <si>
    <t>Ahorro anual de gastos medicos</t>
  </si>
  <si>
    <t xml:space="preserve">Ahorro por gastos en salud </t>
  </si>
  <si>
    <t>precio de agua con proyecto        ($ m3)</t>
  </si>
  <si>
    <t>Consumo de agua con proyecto ( m3 / mes)</t>
  </si>
  <si>
    <t>IVA</t>
  </si>
  <si>
    <t>123.5</t>
  </si>
  <si>
    <t xml:space="preserve">Consumo </t>
  </si>
  <si>
    <t>Pago carrotanque ($ unitario )</t>
  </si>
  <si>
    <t>Tiempo en  acarrear el agua  (Horas día)</t>
  </si>
  <si>
    <t>Consumo m3 sin proyecto (mes)</t>
  </si>
  <si>
    <t xml:space="preserve">Ventas agua </t>
  </si>
  <si>
    <t>Ahorro por uso de factores productivos</t>
  </si>
  <si>
    <t>Aumento consumo de agua</t>
  </si>
  <si>
    <t xml:space="preserve">Numero de hogares </t>
  </si>
  <si>
    <t>Consumo por hogar sin proyecto</t>
  </si>
  <si>
    <t xml:space="preserve">SITUACION SIN PROYECTO </t>
  </si>
  <si>
    <t xml:space="preserve">Fuente de energia </t>
  </si>
  <si>
    <t>Factor de conversion  Kw</t>
  </si>
  <si>
    <t>Velas (unidad)</t>
  </si>
  <si>
    <t>Baterias (cargas)</t>
  </si>
  <si>
    <t xml:space="preserve">Consumo total </t>
  </si>
  <si>
    <t xml:space="preserve">SITUACION CON PROYECTO </t>
  </si>
  <si>
    <t xml:space="preserve">Tarifa Kw </t>
  </si>
  <si>
    <t xml:space="preserve">Consumo kW/ mes </t>
  </si>
  <si>
    <t>kW/ mes</t>
  </si>
  <si>
    <t>Horas/día</t>
  </si>
  <si>
    <t>kW / mes</t>
  </si>
  <si>
    <t xml:space="preserve">COSTOS </t>
  </si>
  <si>
    <t xml:space="preserve">COSTOS DE INVERSION </t>
  </si>
  <si>
    <t>Cantidad</t>
  </si>
  <si>
    <t>COSTOS AOM</t>
  </si>
  <si>
    <t>Precio Anual mercado</t>
  </si>
  <si>
    <t xml:space="preserve">Total anual </t>
  </si>
  <si>
    <t xml:space="preserve">Ingreso por tarifa </t>
  </si>
  <si>
    <t xml:space="preserve">Inflacion </t>
  </si>
  <si>
    <t xml:space="preserve">INGRESOS </t>
  </si>
  <si>
    <t>Inflacion AOM</t>
  </si>
  <si>
    <t xml:space="preserve">Impuesto renta </t>
  </si>
  <si>
    <t xml:space="preserve">Inversion privada </t>
  </si>
  <si>
    <t xml:space="preserve">Inversion social </t>
  </si>
  <si>
    <t>BENEFICIOS SOCIALES POR MAYOR CONSUMO DE ENERGIA</t>
  </si>
  <si>
    <t xml:space="preserve"> BENEFICIOS SOCIALES POR AHORRO DE RECURSOS</t>
  </si>
  <si>
    <t xml:space="preserve"> BENEFICIOS SOCIALES RESUMEN</t>
  </si>
  <si>
    <t xml:space="preserve"> Beneficios brutos</t>
  </si>
  <si>
    <t>Costos sociales AOM</t>
  </si>
  <si>
    <t xml:space="preserve">Costos sociales de inversion </t>
  </si>
  <si>
    <t>Payback</t>
  </si>
  <si>
    <t>a</t>
  </si>
  <si>
    <t>b</t>
  </si>
  <si>
    <t>Ft</t>
  </si>
  <si>
    <t>I</t>
  </si>
  <si>
    <t>Precio  m3</t>
  </si>
  <si>
    <t>Tarifa mensual por hogar</t>
  </si>
  <si>
    <t>TIR</t>
  </si>
  <si>
    <t>precio de Kg de leña ($/kg)</t>
  </si>
  <si>
    <t>kg leña</t>
  </si>
  <si>
    <t>m3 leña</t>
  </si>
  <si>
    <t>1 kg leña/m3 gas</t>
  </si>
  <si>
    <t>Numero de hogares</t>
  </si>
  <si>
    <t>Número de hogares</t>
  </si>
  <si>
    <t>Pago de madera proveedor ($kg madera )</t>
  </si>
  <si>
    <t xml:space="preserve">TIR  </t>
  </si>
  <si>
    <t xml:space="preserve">PRECIO </t>
  </si>
  <si>
    <t>PRECIO</t>
  </si>
  <si>
    <t>CONSUMO</t>
  </si>
  <si>
    <t>precio de gas con proyecto  ($ m3)</t>
  </si>
  <si>
    <t>q</t>
  </si>
  <si>
    <t>mes</t>
  </si>
  <si>
    <t>Consumo madera (m3)</t>
  </si>
  <si>
    <t xml:space="preserve">Calculo consumo de leña  </t>
  </si>
  <si>
    <t>RBC Social</t>
  </si>
  <si>
    <t>TIR Social</t>
  </si>
  <si>
    <t>VPN Social</t>
  </si>
  <si>
    <t>RCB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</si>
</sst>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0.0"/>
    <numFmt numFmtId="167" formatCode="#,##0.000"/>
    <numFmt numFmtId="168" formatCode="_(&quot;$&quot;\ * #,##0.0_);_(&quot;$&quot;\ * \(#,##0.0\);_(&quot;$&quot;\ * &quot;-&quot;??_);_(@_)"/>
    <numFmt numFmtId="169" formatCode="_(&quot;$&quot;\ * #,##0_);_(&quot;$&quot;\ * \(#,##0\);_(&quot;$&quot;\ * &quot;-&quot;??_);_(@_)"/>
    <numFmt numFmtId="170" formatCode="0.0%"/>
    <numFmt numFmtId="171" formatCode="_-* #,##0_-;\-* #,##0_-;_-* &quot;-&quot;??_-;_-@_-"/>
    <numFmt numFmtId="172" formatCode="_-* #,##0.0_-;\-* #,##0.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28"/>
      <color theme="1"/>
      <name val="Times New Roman"/>
      <family val="1"/>
    </font>
    <font>
      <b/>
      <sz val="1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name val="Calibri"/>
      <family val="2"/>
      <scheme val="minor"/>
    </font>
    <font>
      <sz val="11"/>
      <color theme="3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EDA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1">
    <xf numFmtId="0" fontId="0" fillId="0" borderId="0" xfId="0"/>
    <xf numFmtId="0" fontId="0" fillId="0" borderId="1" xfId="0" applyBorder="1"/>
    <xf numFmtId="3" fontId="2" fillId="0" borderId="1" xfId="0" applyNumberFormat="1" applyFont="1" applyBorder="1"/>
    <xf numFmtId="3" fontId="2" fillId="0" borderId="1" xfId="0" applyNumberFormat="1" applyFont="1" applyFill="1" applyBorder="1"/>
    <xf numFmtId="3" fontId="3" fillId="0" borderId="1" xfId="0" applyNumberFormat="1" applyFont="1" applyBorder="1"/>
    <xf numFmtId="0" fontId="0" fillId="0" borderId="0" xfId="0" applyFill="1" applyBorder="1" applyAlignment="1">
      <alignment horizontal="justify" vertical="center"/>
    </xf>
    <xf numFmtId="0" fontId="5" fillId="0" borderId="1" xfId="0" applyFont="1" applyFill="1" applyBorder="1" applyAlignment="1">
      <alignment horizontal="justify" vertical="center"/>
    </xf>
    <xf numFmtId="0" fontId="5" fillId="0" borderId="1" xfId="0" applyFont="1" applyBorder="1"/>
    <xf numFmtId="3" fontId="5" fillId="0" borderId="1" xfId="0" applyNumberFormat="1" applyFont="1" applyBorder="1"/>
    <xf numFmtId="3" fontId="6" fillId="0" borderId="1" xfId="0" applyNumberFormat="1" applyFont="1" applyBorder="1"/>
    <xf numFmtId="0" fontId="4" fillId="0" borderId="1" xfId="0" applyFont="1" applyBorder="1"/>
    <xf numFmtId="0" fontId="5" fillId="0" borderId="1" xfId="0" applyFont="1" applyBorder="1" applyAlignment="1">
      <alignment horizontal="justify" vertical="center"/>
    </xf>
    <xf numFmtId="3" fontId="5" fillId="0" borderId="2" xfId="0" applyNumberFormat="1" applyFont="1" applyBorder="1"/>
    <xf numFmtId="3" fontId="0" fillId="0" borderId="0" xfId="0" applyNumberFormat="1"/>
    <xf numFmtId="9" fontId="0" fillId="0" borderId="1" xfId="0" applyNumberFormat="1" applyBorder="1"/>
    <xf numFmtId="4" fontId="5" fillId="0" borderId="1" xfId="0" applyNumberFormat="1" applyFont="1" applyBorder="1"/>
    <xf numFmtId="3" fontId="0" fillId="2" borderId="0" xfId="0" applyNumberFormat="1" applyFill="1"/>
    <xf numFmtId="166" fontId="0" fillId="2" borderId="0" xfId="0" applyNumberFormat="1" applyFill="1"/>
    <xf numFmtId="3" fontId="0" fillId="3" borderId="0" xfId="0" applyNumberFormat="1" applyFill="1"/>
    <xf numFmtId="167" fontId="5" fillId="0" borderId="1" xfId="0" applyNumberFormat="1" applyFont="1" applyBorder="1"/>
    <xf numFmtId="0" fontId="0" fillId="2" borderId="0" xfId="0" applyFill="1"/>
    <xf numFmtId="3" fontId="0" fillId="4" borderId="0" xfId="0" applyNumberFormat="1" applyFill="1"/>
    <xf numFmtId="0" fontId="2" fillId="0" borderId="1" xfId="0" applyFont="1" applyFill="1" applyBorder="1" applyAlignment="1">
      <alignment horizontal="justify" vertical="center"/>
    </xf>
    <xf numFmtId="0" fontId="2" fillId="0" borderId="1" xfId="0" applyFont="1" applyBorder="1"/>
    <xf numFmtId="0" fontId="2" fillId="0" borderId="0" xfId="0" applyFont="1"/>
    <xf numFmtId="0" fontId="3" fillId="0" borderId="1" xfId="0" applyFont="1" applyFill="1" applyBorder="1" applyAlignment="1">
      <alignment horizontal="justify" vertical="center"/>
    </xf>
    <xf numFmtId="9" fontId="2" fillId="0" borderId="1" xfId="0" applyNumberFormat="1" applyFont="1" applyBorder="1"/>
    <xf numFmtId="2" fontId="2" fillId="0" borderId="1" xfId="0" applyNumberFormat="1" applyFont="1" applyBorder="1"/>
    <xf numFmtId="0" fontId="3" fillId="0" borderId="1" xfId="0" applyFont="1" applyBorder="1"/>
    <xf numFmtId="0" fontId="2" fillId="5" borderId="0" xfId="0" applyFont="1" applyFill="1"/>
    <xf numFmtId="0" fontId="5" fillId="6" borderId="1" xfId="0" applyFont="1" applyFill="1" applyBorder="1" applyAlignment="1">
      <alignment horizontal="justify" vertical="center"/>
    </xf>
    <xf numFmtId="3" fontId="6" fillId="6" borderId="1" xfId="0" applyNumberFormat="1" applyFont="1" applyFill="1" applyBorder="1"/>
    <xf numFmtId="0" fontId="0" fillId="0" borderId="1" xfId="0" applyFill="1" applyBorder="1" applyAlignment="1">
      <alignment horizontal="justify" vertical="center"/>
    </xf>
    <xf numFmtId="170" fontId="0" fillId="0" borderId="1" xfId="1" applyNumberFormat="1" applyFont="1" applyBorder="1"/>
    <xf numFmtId="0" fontId="0" fillId="0" borderId="1" xfId="0" applyBorder="1" applyAlignment="1">
      <alignment horizontal="left"/>
    </xf>
    <xf numFmtId="0" fontId="0" fillId="0" borderId="1" xfId="0" applyFill="1" applyBorder="1"/>
    <xf numFmtId="0" fontId="0" fillId="8" borderId="1" xfId="0" applyFill="1" applyBorder="1"/>
    <xf numFmtId="164" fontId="4" fillId="8" borderId="1" xfId="2" applyFont="1" applyFill="1" applyBorder="1" applyAlignment="1">
      <alignment horizontal="justify" vertical="center"/>
    </xf>
    <xf numFmtId="169" fontId="4" fillId="8" borderId="1" xfId="2" applyNumberFormat="1" applyFont="1" applyFill="1" applyBorder="1"/>
    <xf numFmtId="0" fontId="4" fillId="8" borderId="1" xfId="0" applyFont="1" applyFill="1" applyBorder="1"/>
    <xf numFmtId="168" fontId="4" fillId="8" borderId="1" xfId="2" applyNumberFormat="1" applyFont="1" applyFill="1" applyBorder="1"/>
    <xf numFmtId="164" fontId="4" fillId="8" borderId="3" xfId="2" applyFont="1" applyFill="1" applyBorder="1"/>
    <xf numFmtId="165" fontId="0" fillId="8" borderId="1" xfId="0" applyNumberFormat="1" applyFill="1" applyBorder="1"/>
    <xf numFmtId="3" fontId="0" fillId="8" borderId="1" xfId="0" applyNumberFormat="1" applyFill="1" applyBorder="1"/>
    <xf numFmtId="9" fontId="0" fillId="8" borderId="1" xfId="0" applyNumberFormat="1" applyFill="1" applyBorder="1"/>
    <xf numFmtId="0" fontId="8" fillId="8" borderId="1" xfId="0" applyFont="1" applyFill="1" applyBorder="1" applyAlignment="1">
      <alignment horizontal="center"/>
    </xf>
    <xf numFmtId="164" fontId="0" fillId="0" borderId="1" xfId="2" applyFont="1" applyBorder="1"/>
    <xf numFmtId="0" fontId="0" fillId="0" borderId="1" xfId="0" applyFill="1" applyBorder="1" applyAlignment="1">
      <alignment wrapText="1"/>
    </xf>
    <xf numFmtId="164" fontId="0" fillId="0" borderId="1" xfId="2" applyFont="1" applyFill="1" applyBorder="1"/>
    <xf numFmtId="0" fontId="4" fillId="7" borderId="1" xfId="0" applyFont="1" applyFill="1" applyBorder="1" applyAlignment="1">
      <alignment horizontal="center"/>
    </xf>
    <xf numFmtId="169" fontId="0" fillId="0" borderId="1" xfId="2" applyNumberFormat="1" applyFont="1" applyBorder="1"/>
    <xf numFmtId="0" fontId="7" fillId="6" borderId="0" xfId="0" applyFont="1" applyFill="1" applyBorder="1" applyAlignment="1">
      <alignment horizontal="justify" vertical="center"/>
    </xf>
    <xf numFmtId="0" fontId="9" fillId="0" borderId="0" xfId="0" applyFont="1"/>
    <xf numFmtId="0" fontId="10" fillId="7" borderId="1" xfId="0" applyFont="1" applyFill="1" applyBorder="1" applyAlignment="1">
      <alignment horizontal="center"/>
    </xf>
    <xf numFmtId="0" fontId="9" fillId="8" borderId="1" xfId="0" applyFont="1" applyFill="1" applyBorder="1"/>
    <xf numFmtId="164" fontId="10" fillId="8" borderId="1" xfId="2" applyFont="1" applyFill="1" applyBorder="1" applyAlignment="1">
      <alignment horizontal="justify" vertical="center"/>
    </xf>
    <xf numFmtId="169" fontId="10" fillId="8" borderId="1" xfId="2" applyNumberFormat="1" applyFont="1" applyFill="1" applyBorder="1"/>
    <xf numFmtId="165" fontId="9" fillId="8" borderId="1" xfId="0" applyNumberFormat="1" applyFont="1" applyFill="1" applyBorder="1"/>
    <xf numFmtId="3" fontId="9" fillId="8" borderId="1" xfId="0" applyNumberFormat="1" applyFont="1" applyFill="1" applyBorder="1"/>
    <xf numFmtId="0" fontId="9" fillId="0" borderId="1" xfId="0" applyFont="1" applyBorder="1"/>
    <xf numFmtId="0" fontId="10" fillId="8" borderId="1" xfId="0" applyFont="1" applyFill="1" applyBorder="1"/>
    <xf numFmtId="168" fontId="10" fillId="8" borderId="1" xfId="2" applyNumberFormat="1" applyFont="1" applyFill="1" applyBorder="1"/>
    <xf numFmtId="164" fontId="10" fillId="8" borderId="3" xfId="2" applyFont="1" applyFill="1" applyBorder="1"/>
    <xf numFmtId="9" fontId="9" fillId="8" borderId="1" xfId="0" applyNumberFormat="1" applyFont="1" applyFill="1" applyBorder="1"/>
    <xf numFmtId="9" fontId="9" fillId="0" borderId="1" xfId="0" applyNumberFormat="1" applyFont="1" applyBorder="1"/>
    <xf numFmtId="0" fontId="9" fillId="0" borderId="0" xfId="0" applyFont="1" applyFill="1" applyBorder="1" applyAlignment="1">
      <alignment horizontal="justify" vertical="center"/>
    </xf>
    <xf numFmtId="0" fontId="10" fillId="0" borderId="1" xfId="0" applyFont="1" applyBorder="1"/>
    <xf numFmtId="0" fontId="9" fillId="0" borderId="1" xfId="0" applyFont="1" applyFill="1" applyBorder="1" applyAlignment="1">
      <alignment horizontal="justify" vertical="center"/>
    </xf>
    <xf numFmtId="170" fontId="9" fillId="0" borderId="1" xfId="1" applyNumberFormat="1" applyFont="1" applyBorder="1"/>
    <xf numFmtId="3" fontId="9" fillId="2" borderId="0" xfId="0" applyNumberFormat="1" applyFont="1" applyFill="1"/>
    <xf numFmtId="3" fontId="9" fillId="0" borderId="0" xfId="0" applyNumberFormat="1" applyFont="1"/>
    <xf numFmtId="0" fontId="9" fillId="2" borderId="0" xfId="0" applyFont="1" applyFill="1"/>
    <xf numFmtId="166" fontId="9" fillId="2" borderId="0" xfId="0" applyNumberFormat="1" applyFont="1" applyFill="1"/>
    <xf numFmtId="3" fontId="9" fillId="3" borderId="0" xfId="0" applyNumberFormat="1" applyFont="1" applyFill="1"/>
    <xf numFmtId="3" fontId="9" fillId="4" borderId="0" xfId="0" applyNumberFormat="1" applyFont="1" applyFill="1"/>
    <xf numFmtId="3" fontId="9" fillId="0" borderId="1" xfId="0" applyNumberFormat="1" applyFont="1" applyBorder="1"/>
    <xf numFmtId="0" fontId="9" fillId="0" borderId="1" xfId="0" applyFont="1" applyBorder="1" applyAlignment="1">
      <alignment horizontal="justify" vertical="center"/>
    </xf>
    <xf numFmtId="4" fontId="9" fillId="0" borderId="1" xfId="0" applyNumberFormat="1" applyFont="1" applyBorder="1"/>
    <xf numFmtId="0" fontId="9" fillId="8" borderId="1" xfId="0" applyFont="1" applyFill="1" applyBorder="1" applyAlignment="1">
      <alignment horizontal="center"/>
    </xf>
    <xf numFmtId="3" fontId="9" fillId="0" borderId="2" xfId="0" applyNumberFormat="1" applyFont="1" applyBorder="1"/>
    <xf numFmtId="0" fontId="10" fillId="4" borderId="1" xfId="0" applyFont="1" applyFill="1" applyBorder="1" applyAlignment="1">
      <alignment horizontal="justify" vertical="center"/>
    </xf>
    <xf numFmtId="0" fontId="9" fillId="5" borderId="0" xfId="0" applyFont="1" applyFill="1"/>
    <xf numFmtId="0" fontId="10" fillId="0" borderId="1" xfId="0" applyFont="1" applyFill="1" applyBorder="1" applyAlignment="1">
      <alignment horizontal="justify" vertical="center"/>
    </xf>
    <xf numFmtId="3" fontId="9" fillId="4" borderId="1" xfId="0" applyNumberFormat="1" applyFont="1" applyFill="1" applyBorder="1"/>
    <xf numFmtId="2" fontId="9" fillId="0" borderId="1" xfId="0" applyNumberFormat="1" applyFont="1" applyBorder="1"/>
    <xf numFmtId="167" fontId="9" fillId="0" borderId="1" xfId="0" applyNumberFormat="1" applyFont="1" applyBorder="1"/>
    <xf numFmtId="0" fontId="10" fillId="6" borderId="0" xfId="0" applyFont="1" applyFill="1" applyBorder="1" applyAlignment="1">
      <alignment horizontal="justify" vertical="center"/>
    </xf>
    <xf numFmtId="3" fontId="10" fillId="0" borderId="1" xfId="0" applyNumberFormat="1" applyFont="1" applyBorder="1"/>
    <xf numFmtId="0" fontId="9" fillId="6" borderId="1" xfId="0" applyFont="1" applyFill="1" applyBorder="1" applyAlignment="1">
      <alignment horizontal="justify" vertical="center"/>
    </xf>
    <xf numFmtId="3" fontId="10" fillId="6" borderId="1" xfId="0" applyNumberFormat="1" applyFont="1" applyFill="1" applyBorder="1"/>
    <xf numFmtId="0" fontId="10" fillId="8" borderId="2" xfId="0" applyFont="1" applyFill="1" applyBorder="1" applyAlignment="1">
      <alignment horizontal="center"/>
    </xf>
    <xf numFmtId="0" fontId="10" fillId="8" borderId="5" xfId="0" applyFont="1" applyFill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2" fontId="0" fillId="2" borderId="0" xfId="0" applyNumberFormat="1" applyFill="1"/>
    <xf numFmtId="3" fontId="0" fillId="0" borderId="0" xfId="0" applyNumberFormat="1" applyFill="1"/>
    <xf numFmtId="0" fontId="0" fillId="0" borderId="1" xfId="0" applyBorder="1" applyAlignment="1">
      <alignment horizontal="left"/>
    </xf>
    <xf numFmtId="3" fontId="9" fillId="5" borderId="0" xfId="0" applyNumberFormat="1" applyFont="1" applyFill="1"/>
    <xf numFmtId="3" fontId="9" fillId="5" borderId="1" xfId="0" applyNumberFormat="1" applyFont="1" applyFill="1" applyBorder="1"/>
    <xf numFmtId="171" fontId="0" fillId="0" borderId="1" xfId="3" applyNumberFormat="1" applyFont="1" applyBorder="1"/>
    <xf numFmtId="171" fontId="0" fillId="0" borderId="1" xfId="0" applyNumberFormat="1" applyBorder="1"/>
    <xf numFmtId="0" fontId="0" fillId="0" borderId="0" xfId="0" applyBorder="1"/>
    <xf numFmtId="0" fontId="0" fillId="0" borderId="1" xfId="0" applyBorder="1" applyAlignment="1">
      <alignment horizontal="left"/>
    </xf>
    <xf numFmtId="0" fontId="0" fillId="10" borderId="1" xfId="0" applyFill="1" applyBorder="1"/>
    <xf numFmtId="0" fontId="0" fillId="9" borderId="1" xfId="0" applyFill="1" applyBorder="1"/>
    <xf numFmtId="0" fontId="4" fillId="10" borderId="1" xfId="0" applyFont="1" applyFill="1" applyBorder="1"/>
    <xf numFmtId="0" fontId="4" fillId="9" borderId="1" xfId="0" applyFont="1" applyFill="1" applyBorder="1"/>
    <xf numFmtId="0" fontId="0" fillId="0" borderId="0" xfId="0" applyAlignment="1"/>
    <xf numFmtId="2" fontId="0" fillId="0" borderId="1" xfId="0" applyNumberFormat="1" applyBorder="1"/>
    <xf numFmtId="0" fontId="4" fillId="0" borderId="3" xfId="0" applyFont="1" applyBorder="1"/>
    <xf numFmtId="0" fontId="0" fillId="0" borderId="6" xfId="0" applyBorder="1"/>
    <xf numFmtId="171" fontId="0" fillId="0" borderId="6" xfId="3" applyNumberFormat="1" applyFont="1" applyBorder="1"/>
    <xf numFmtId="0" fontId="4" fillId="12" borderId="1" xfId="0" applyFont="1" applyFill="1" applyBorder="1"/>
    <xf numFmtId="0" fontId="4" fillId="13" borderId="1" xfId="0" applyFont="1" applyFill="1" applyBorder="1"/>
    <xf numFmtId="0" fontId="4" fillId="14" borderId="3" xfId="0" applyFont="1" applyFill="1" applyBorder="1"/>
    <xf numFmtId="0" fontId="4" fillId="12" borderId="3" xfId="0" applyFont="1" applyFill="1" applyBorder="1"/>
    <xf numFmtId="171" fontId="0" fillId="12" borderId="1" xfId="0" applyNumberFormat="1" applyFill="1" applyBorder="1"/>
    <xf numFmtId="172" fontId="0" fillId="12" borderId="1" xfId="3" applyNumberFormat="1" applyFont="1" applyFill="1" applyBorder="1"/>
    <xf numFmtId="0" fontId="0" fillId="12" borderId="1" xfId="0" applyFill="1" applyBorder="1"/>
    <xf numFmtId="171" fontId="0" fillId="12" borderId="6" xfId="0" applyNumberFormat="1" applyFill="1" applyBorder="1"/>
    <xf numFmtId="171" fontId="0" fillId="14" borderId="1" xfId="0" applyNumberFormat="1" applyFill="1" applyBorder="1"/>
    <xf numFmtId="0" fontId="0" fillId="14" borderId="1" xfId="0" applyFill="1" applyBorder="1"/>
    <xf numFmtId="171" fontId="0" fillId="14" borderId="1" xfId="3" applyNumberFormat="1" applyFont="1" applyFill="1" applyBorder="1"/>
    <xf numFmtId="0" fontId="12" fillId="14" borderId="1" xfId="0" applyFont="1" applyFill="1" applyBorder="1"/>
    <xf numFmtId="0" fontId="4" fillId="14" borderId="1" xfId="0" applyFont="1" applyFill="1" applyBorder="1"/>
    <xf numFmtId="0" fontId="0" fillId="15" borderId="1" xfId="0" applyFill="1" applyBorder="1"/>
    <xf numFmtId="0" fontId="7" fillId="12" borderId="1" xfId="0" applyFont="1" applyFill="1" applyBorder="1" applyAlignment="1">
      <alignment horizontal="justify" vertical="center"/>
    </xf>
    <xf numFmtId="0" fontId="3" fillId="12" borderId="1" xfId="0" applyFont="1" applyFill="1" applyBorder="1" applyAlignment="1">
      <alignment horizontal="justify" vertical="center"/>
    </xf>
    <xf numFmtId="3" fontId="2" fillId="12" borderId="1" xfId="0" applyNumberFormat="1" applyFont="1" applyFill="1" applyBorder="1"/>
    <xf numFmtId="0" fontId="0" fillId="12" borderId="0" xfId="0" applyFill="1"/>
    <xf numFmtId="0" fontId="0" fillId="5" borderId="0" xfId="0" applyFill="1"/>
    <xf numFmtId="0" fontId="7" fillId="11" borderId="1" xfId="0" applyFont="1" applyFill="1" applyBorder="1" applyAlignment="1">
      <alignment horizontal="justify" vertical="center"/>
    </xf>
    <xf numFmtId="171" fontId="0" fillId="11" borderId="1" xfId="0" applyNumberFormat="1" applyFill="1" applyBorder="1"/>
    <xf numFmtId="0" fontId="4" fillId="11" borderId="1" xfId="0" applyFont="1" applyFill="1" applyBorder="1" applyAlignment="1">
      <alignment horizontal="center"/>
    </xf>
    <xf numFmtId="171" fontId="2" fillId="0" borderId="1" xfId="3" applyNumberFormat="1" applyFont="1" applyBorder="1"/>
    <xf numFmtId="3" fontId="3" fillId="11" borderId="1" xfId="0" applyNumberFormat="1" applyFont="1" applyFill="1" applyBorder="1"/>
    <xf numFmtId="3" fontId="2" fillId="11" borderId="1" xfId="0" applyNumberFormat="1" applyFont="1" applyFill="1" applyBorder="1"/>
    <xf numFmtId="0" fontId="3" fillId="0" borderId="0" xfId="0" applyFont="1"/>
    <xf numFmtId="9" fontId="2" fillId="0" borderId="0" xfId="0" applyNumberFormat="1" applyFont="1"/>
    <xf numFmtId="0" fontId="2" fillId="0" borderId="1" xfId="0" applyFont="1" applyFill="1" applyBorder="1"/>
    <xf numFmtId="4" fontId="2" fillId="0" borderId="1" xfId="0" applyNumberFormat="1" applyFont="1" applyBorder="1"/>
    <xf numFmtId="170" fontId="9" fillId="0" borderId="0" xfId="1" applyNumberFormat="1" applyFont="1" applyBorder="1"/>
    <xf numFmtId="170" fontId="0" fillId="0" borderId="0" xfId="1" applyNumberFormat="1" applyFont="1" applyBorder="1"/>
    <xf numFmtId="0" fontId="2" fillId="0" borderId="0" xfId="0" applyFont="1" applyAlignment="1"/>
    <xf numFmtId="0" fontId="0" fillId="16" borderId="1" xfId="0" applyFill="1" applyBorder="1"/>
    <xf numFmtId="0" fontId="0" fillId="0" borderId="1" xfId="0" applyBorder="1" applyAlignment="1">
      <alignment horizontal="left"/>
    </xf>
    <xf numFmtId="164" fontId="0" fillId="0" borderId="0" xfId="2" applyFont="1"/>
    <xf numFmtId="43" fontId="0" fillId="0" borderId="0" xfId="3" applyFont="1"/>
    <xf numFmtId="43" fontId="0" fillId="0" borderId="0" xfId="0" applyNumberFormat="1"/>
    <xf numFmtId="167" fontId="9" fillId="0" borderId="4" xfId="0" applyNumberFormat="1" applyFont="1" applyBorder="1"/>
    <xf numFmtId="0" fontId="9" fillId="0" borderId="0" xfId="0" applyFont="1" applyBorder="1"/>
    <xf numFmtId="3" fontId="9" fillId="0" borderId="0" xfId="0" applyNumberFormat="1" applyFont="1" applyBorder="1"/>
    <xf numFmtId="0" fontId="9" fillId="0" borderId="0" xfId="0" applyFont="1" applyFill="1" applyBorder="1" applyAlignment="1">
      <alignment vertical="center"/>
    </xf>
    <xf numFmtId="166" fontId="9" fillId="0" borderId="0" xfId="0" applyNumberFormat="1" applyFont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167" fontId="5" fillId="0" borderId="4" xfId="0" applyNumberFormat="1" applyFont="1" applyBorder="1"/>
    <xf numFmtId="171" fontId="5" fillId="0" borderId="1" xfId="3" applyNumberFormat="1" applyFont="1" applyBorder="1"/>
    <xf numFmtId="9" fontId="0" fillId="0" borderId="1" xfId="0" applyNumberFormat="1" applyFill="1" applyBorder="1" applyAlignment="1">
      <alignment horizontal="justify" vertical="center"/>
    </xf>
    <xf numFmtId="43" fontId="0" fillId="0" borderId="1" xfId="3" applyFont="1" applyBorder="1"/>
    <xf numFmtId="0" fontId="0" fillId="0" borderId="4" xfId="0" applyBorder="1"/>
    <xf numFmtId="0" fontId="9" fillId="0" borderId="18" xfId="0" applyFont="1" applyFill="1" applyBorder="1" applyAlignment="1">
      <alignment horizontal="justify" vertical="center"/>
    </xf>
    <xf numFmtId="0" fontId="9" fillId="0" borderId="18" xfId="0" applyFont="1" applyBorder="1"/>
    <xf numFmtId="9" fontId="9" fillId="0" borderId="18" xfId="0" applyNumberFormat="1" applyFont="1" applyBorder="1"/>
    <xf numFmtId="0" fontId="15" fillId="17" borderId="4" xfId="0" applyFont="1" applyFill="1" applyBorder="1"/>
    <xf numFmtId="43" fontId="15" fillId="17" borderId="1" xfId="3" applyFont="1" applyFill="1" applyBorder="1"/>
    <xf numFmtId="171" fontId="15" fillId="17" borderId="1" xfId="3" applyNumberFormat="1" applyFont="1" applyFill="1" applyBorder="1" applyAlignment="1">
      <alignment horizontal="left"/>
    </xf>
    <xf numFmtId="9" fontId="10" fillId="0" borderId="1" xfId="0" applyNumberFormat="1" applyFont="1" applyBorder="1"/>
    <xf numFmtId="9" fontId="4" fillId="0" borderId="1" xfId="0" applyNumberFormat="1" applyFont="1" applyBorder="1"/>
    <xf numFmtId="0" fontId="10" fillId="0" borderId="0" xfId="0" applyFont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0" fontId="9" fillId="5" borderId="0" xfId="0" applyFont="1" applyFill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textRotation="90"/>
    </xf>
    <xf numFmtId="0" fontId="7" fillId="0" borderId="12" xfId="0" applyFont="1" applyBorder="1" applyAlignment="1">
      <alignment horizontal="center" vertical="center" textRotation="90"/>
    </xf>
    <xf numFmtId="0" fontId="7" fillId="0" borderId="11" xfId="0" applyFont="1" applyBorder="1" applyAlignment="1">
      <alignment horizontal="center" vertical="center" textRotation="90"/>
    </xf>
    <xf numFmtId="0" fontId="7" fillId="0" borderId="8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14" fillId="0" borderId="10" xfId="0" applyFont="1" applyFill="1" applyBorder="1" applyAlignment="1">
      <alignment horizontal="center" vertical="center" textRotation="90"/>
    </xf>
    <xf numFmtId="0" fontId="14" fillId="0" borderId="12" xfId="0" applyFont="1" applyFill="1" applyBorder="1" applyAlignment="1">
      <alignment horizontal="center" vertical="center" textRotation="90"/>
    </xf>
    <xf numFmtId="0" fontId="14" fillId="0" borderId="11" xfId="0" applyFont="1" applyFill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/>
    </xf>
    <xf numFmtId="0" fontId="16" fillId="0" borderId="14" xfId="0" applyFont="1" applyBorder="1" applyAlignment="1">
      <alignment horizontal="left"/>
    </xf>
    <xf numFmtId="0" fontId="16" fillId="0" borderId="15" xfId="0" applyFont="1" applyBorder="1" applyAlignment="1">
      <alignment horizontal="left"/>
    </xf>
    <xf numFmtId="0" fontId="16" fillId="0" borderId="16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0" fillId="7" borderId="1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164" fontId="0" fillId="0" borderId="1" xfId="2" applyFont="1" applyBorder="1" applyAlignment="1">
      <alignment horizontal="center"/>
    </xf>
    <xf numFmtId="0" fontId="0" fillId="0" borderId="1" xfId="0" applyBorder="1" applyAlignment="1">
      <alignment horizontal="left"/>
    </xf>
    <xf numFmtId="0" fontId="11" fillId="0" borderId="10" xfId="0" applyFont="1" applyBorder="1" applyAlignment="1">
      <alignment horizontal="center" textRotation="90"/>
    </xf>
    <xf numFmtId="0" fontId="11" fillId="0" borderId="12" xfId="0" applyFont="1" applyBorder="1" applyAlignment="1">
      <alignment horizontal="center" textRotation="90"/>
    </xf>
    <xf numFmtId="0" fontId="11" fillId="0" borderId="11" xfId="0" applyFont="1" applyBorder="1" applyAlignment="1">
      <alignment horizontal="center" textRotation="90"/>
    </xf>
    <xf numFmtId="0" fontId="11" fillId="0" borderId="8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11" borderId="2" xfId="0" applyFont="1" applyFill="1" applyBorder="1" applyAlignment="1">
      <alignment horizontal="center"/>
    </xf>
    <xf numFmtId="0" fontId="4" fillId="11" borderId="5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4" fillId="10" borderId="2" xfId="0" applyFont="1" applyFill="1" applyBorder="1" applyAlignment="1">
      <alignment horizontal="center"/>
    </xf>
    <xf numFmtId="0" fontId="4" fillId="10" borderId="4" xfId="0" applyFont="1" applyFill="1" applyBorder="1" applyAlignment="1">
      <alignment horizontal="center"/>
    </xf>
    <xf numFmtId="0" fontId="4" fillId="13" borderId="2" xfId="0" applyFont="1" applyFill="1" applyBorder="1" applyAlignment="1">
      <alignment horizontal="center"/>
    </xf>
    <xf numFmtId="0" fontId="4" fillId="13" borderId="4" xfId="0" applyFont="1" applyFill="1" applyBorder="1" applyAlignment="1">
      <alignment horizontal="center"/>
    </xf>
    <xf numFmtId="0" fontId="4" fillId="13" borderId="1" xfId="0" applyFont="1" applyFill="1" applyBorder="1" applyAlignment="1">
      <alignment horizontal="center"/>
    </xf>
    <xf numFmtId="9" fontId="0" fillId="0" borderId="1" xfId="1" applyNumberFormat="1" applyFont="1" applyBorder="1"/>
  </cellXfs>
  <cellStyles count="4">
    <cellStyle name="Millares" xfId="3" builtinId="3"/>
    <cellStyle name="Moneda" xfId="2" builtinId="4"/>
    <cellStyle name="Normal" xfId="0" builtinId="0"/>
    <cellStyle name="Porcentaje" xfId="1" builtinId="5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ED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AG116"/>
  <sheetViews>
    <sheetView topLeftCell="A75" zoomScale="65" zoomScaleNormal="65" workbookViewId="0">
      <selection activeCell="A83" sqref="A83"/>
    </sheetView>
  </sheetViews>
  <sheetFormatPr baseColWidth="10" defaultRowHeight="14.4" x14ac:dyDescent="0.3"/>
  <cols>
    <col min="2" max="2" width="25" customWidth="1"/>
    <col min="3" max="3" width="28.33203125" bestFit="1" customWidth="1"/>
    <col min="4" max="4" width="20.33203125" customWidth="1"/>
    <col min="5" max="5" width="18.88671875" customWidth="1"/>
    <col min="6" max="6" width="20" customWidth="1"/>
    <col min="7" max="7" width="23.6640625" bestFit="1" customWidth="1"/>
    <col min="8" max="8" width="19.21875" customWidth="1"/>
    <col min="9" max="9" width="20.5546875" customWidth="1"/>
    <col min="10" max="10" width="19.21875" customWidth="1"/>
    <col min="11" max="11" width="18.88671875" customWidth="1"/>
    <col min="12" max="12" width="19" customWidth="1"/>
    <col min="13" max="13" width="20.5546875" customWidth="1"/>
  </cols>
  <sheetData>
    <row r="4" spans="2:33" x14ac:dyDescent="0.3">
      <c r="B4" s="59" t="s">
        <v>185</v>
      </c>
      <c r="C4" s="75">
        <v>10000</v>
      </c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2:33" ht="39" customHeight="1" x14ac:dyDescent="0.3">
      <c r="B5" s="76" t="s">
        <v>133</v>
      </c>
      <c r="C5" s="75">
        <v>2500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2:33" ht="34.799999999999997" customHeight="1" x14ac:dyDescent="0.3">
      <c r="B6" s="76" t="s">
        <v>134</v>
      </c>
      <c r="C6" s="77">
        <v>0.75</v>
      </c>
      <c r="D6" s="53" t="s">
        <v>82</v>
      </c>
      <c r="E6" s="53" t="s">
        <v>83</v>
      </c>
      <c r="F6" s="78" t="s">
        <v>116</v>
      </c>
      <c r="G6" s="54" t="s">
        <v>11</v>
      </c>
      <c r="H6" s="52"/>
      <c r="I6" s="90" t="s">
        <v>79</v>
      </c>
      <c r="J6" s="91"/>
      <c r="K6" s="9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2:33" ht="41.4" customHeight="1" x14ac:dyDescent="0.3">
      <c r="B7" s="76" t="s">
        <v>76</v>
      </c>
      <c r="C7" s="75">
        <f>+C6*E7</f>
        <v>2912.8308400460301</v>
      </c>
      <c r="D7" s="75">
        <f>+K9*J9</f>
        <v>810000</v>
      </c>
      <c r="E7" s="79">
        <f>+D7/(48*4.345)</f>
        <v>3883.7744533947066</v>
      </c>
      <c r="F7" s="55" t="s">
        <v>66</v>
      </c>
      <c r="G7" s="56">
        <f>+(C10-C8)*(C5-C9)/2*C4</f>
        <v>3250000</v>
      </c>
      <c r="H7" s="52"/>
      <c r="I7" s="54" t="s">
        <v>72</v>
      </c>
      <c r="J7" s="57">
        <v>0.8</v>
      </c>
      <c r="K7" s="58">
        <v>50000000</v>
      </c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2:33" ht="27.6" customHeight="1" x14ac:dyDescent="0.3">
      <c r="B8" s="76" t="s">
        <v>135</v>
      </c>
      <c r="C8" s="77">
        <v>1.5</v>
      </c>
      <c r="D8" s="52"/>
      <c r="E8" s="59"/>
      <c r="F8" s="60" t="s">
        <v>67</v>
      </c>
      <c r="G8" s="61">
        <f>+(C10-C8)*C9*C4</f>
        <v>6000000</v>
      </c>
      <c r="H8" s="52"/>
      <c r="I8" s="54" t="s">
        <v>80</v>
      </c>
      <c r="J8" s="57">
        <v>0.8</v>
      </c>
      <c r="K8" s="58">
        <v>800000000</v>
      </c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2:33" ht="27.6" customHeight="1" x14ac:dyDescent="0.3">
      <c r="B9" s="76" t="s">
        <v>128</v>
      </c>
      <c r="C9" s="75">
        <v>1200</v>
      </c>
      <c r="D9" s="52"/>
      <c r="E9" s="52"/>
      <c r="F9" s="62" t="s">
        <v>6</v>
      </c>
      <c r="G9" s="56">
        <f>+G7+G8</f>
        <v>9250000</v>
      </c>
      <c r="H9" s="52"/>
      <c r="I9" s="54" t="s">
        <v>81</v>
      </c>
      <c r="J9" s="54">
        <v>0.6</v>
      </c>
      <c r="K9" s="58">
        <v>1350000</v>
      </c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2:33" ht="27.6" customHeight="1" x14ac:dyDescent="0.3">
      <c r="B10" s="76" t="s">
        <v>129</v>
      </c>
      <c r="C10" s="75">
        <v>2</v>
      </c>
      <c r="D10" s="52"/>
      <c r="E10" s="52"/>
      <c r="F10" s="52"/>
      <c r="G10" s="52"/>
      <c r="H10" s="52"/>
      <c r="I10" s="54" t="s">
        <v>98</v>
      </c>
      <c r="J10" s="63">
        <v>0.3</v>
      </c>
      <c r="K10" s="54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2:33" ht="27.6" customHeight="1" x14ac:dyDescent="0.3">
      <c r="B11" s="67" t="s">
        <v>101</v>
      </c>
      <c r="C11" s="64">
        <v>0.6</v>
      </c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2:33" x14ac:dyDescent="0.3"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2:33" x14ac:dyDescent="0.3">
      <c r="B13" s="160" t="s">
        <v>85</v>
      </c>
      <c r="C13" s="161"/>
      <c r="D13" s="162">
        <v>0.06</v>
      </c>
      <c r="E13" s="162">
        <v>0.06</v>
      </c>
      <c r="F13" s="162">
        <v>0.06</v>
      </c>
      <c r="G13" s="162">
        <v>0.06</v>
      </c>
      <c r="H13" s="162">
        <v>0.06</v>
      </c>
      <c r="I13" s="162">
        <v>0.06</v>
      </c>
      <c r="J13" s="162">
        <v>0.06</v>
      </c>
      <c r="K13" s="162">
        <v>0.06</v>
      </c>
      <c r="L13" s="162">
        <v>0.05</v>
      </c>
      <c r="M13" s="162">
        <v>0.05</v>
      </c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2:33" x14ac:dyDescent="0.3">
      <c r="B14" s="160" t="s">
        <v>86</v>
      </c>
      <c r="C14" s="161"/>
      <c r="D14" s="162">
        <v>0.05</v>
      </c>
      <c r="E14" s="162">
        <v>0.05</v>
      </c>
      <c r="F14" s="162">
        <v>0.05</v>
      </c>
      <c r="G14" s="162">
        <v>0.05</v>
      </c>
      <c r="H14" s="162">
        <v>0.05</v>
      </c>
      <c r="I14" s="162">
        <v>0.05</v>
      </c>
      <c r="J14" s="162">
        <v>0.05</v>
      </c>
      <c r="K14" s="162">
        <v>0.05</v>
      </c>
      <c r="L14" s="162">
        <v>0.04</v>
      </c>
      <c r="M14" s="162">
        <v>0.04</v>
      </c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2:33" x14ac:dyDescent="0.3">
      <c r="B15" s="65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2:33" ht="55.2" customHeight="1" x14ac:dyDescent="0.3">
      <c r="B16" s="80" t="s">
        <v>84</v>
      </c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2:33" x14ac:dyDescent="0.3">
      <c r="B17" s="59"/>
      <c r="C17" s="66">
        <v>0</v>
      </c>
      <c r="D17" s="66">
        <f t="shared" ref="D17:M17" si="0">+C17+1</f>
        <v>1</v>
      </c>
      <c r="E17" s="66">
        <f t="shared" si="0"/>
        <v>2</v>
      </c>
      <c r="F17" s="66">
        <f t="shared" si="0"/>
        <v>3</v>
      </c>
      <c r="G17" s="66">
        <f t="shared" si="0"/>
        <v>4</v>
      </c>
      <c r="H17" s="66">
        <f t="shared" si="0"/>
        <v>5</v>
      </c>
      <c r="I17" s="66">
        <f t="shared" si="0"/>
        <v>6</v>
      </c>
      <c r="J17" s="66">
        <f t="shared" si="0"/>
        <v>7</v>
      </c>
      <c r="K17" s="66">
        <f t="shared" si="0"/>
        <v>8</v>
      </c>
      <c r="L17" s="66">
        <f t="shared" si="0"/>
        <v>9</v>
      </c>
      <c r="M17" s="66">
        <f t="shared" si="0"/>
        <v>10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2:33" x14ac:dyDescent="0.3">
      <c r="B18" s="67" t="s">
        <v>136</v>
      </c>
      <c r="C18" s="59"/>
      <c r="D18" s="75">
        <f>+(C9*C10*C4)*12</f>
        <v>288000000</v>
      </c>
      <c r="E18" s="75">
        <f>+D18*(1+E13)</f>
        <v>305280000</v>
      </c>
      <c r="F18" s="75">
        <f t="shared" ref="F18:M18" si="1">+E18*(1+F13)</f>
        <v>323596800</v>
      </c>
      <c r="G18" s="75">
        <f t="shared" si="1"/>
        <v>343012608</v>
      </c>
      <c r="H18" s="75">
        <f t="shared" si="1"/>
        <v>363593364.48000002</v>
      </c>
      <c r="I18" s="75">
        <f t="shared" si="1"/>
        <v>385408966.34880006</v>
      </c>
      <c r="J18" s="75">
        <f t="shared" si="1"/>
        <v>408533504.32972807</v>
      </c>
      <c r="K18" s="75">
        <f t="shared" si="1"/>
        <v>433045514.58951175</v>
      </c>
      <c r="L18" s="75">
        <f t="shared" si="1"/>
        <v>454697790.31898737</v>
      </c>
      <c r="M18" s="75">
        <f t="shared" si="1"/>
        <v>477432679.83493674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2:33" ht="27.6" customHeight="1" x14ac:dyDescent="0.3">
      <c r="B19" s="67" t="s">
        <v>87</v>
      </c>
      <c r="C19" s="59"/>
      <c r="D19" s="75"/>
      <c r="E19" s="75"/>
      <c r="F19" s="75"/>
      <c r="G19" s="75"/>
      <c r="H19" s="75"/>
      <c r="I19" s="75"/>
      <c r="J19" s="75"/>
      <c r="K19" s="75"/>
      <c r="L19" s="75"/>
      <c r="M19" s="75">
        <f>+C30*2/3</f>
        <v>533333333.33333331</v>
      </c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2:33" x14ac:dyDescent="0.3">
      <c r="B20" s="67" t="s">
        <v>88</v>
      </c>
      <c r="C20" s="59"/>
      <c r="D20" s="75">
        <f>+D18+D19</f>
        <v>288000000</v>
      </c>
      <c r="E20" s="75">
        <f t="shared" ref="E20:M20" si="2">+E18+E19</f>
        <v>305280000</v>
      </c>
      <c r="F20" s="75">
        <f t="shared" si="2"/>
        <v>323596800</v>
      </c>
      <c r="G20" s="75">
        <f t="shared" si="2"/>
        <v>343012608</v>
      </c>
      <c r="H20" s="75">
        <f t="shared" si="2"/>
        <v>363593364.48000002</v>
      </c>
      <c r="I20" s="75">
        <f t="shared" si="2"/>
        <v>385408966.34880006</v>
      </c>
      <c r="J20" s="75">
        <f t="shared" si="2"/>
        <v>408533504.32972807</v>
      </c>
      <c r="K20" s="75">
        <f t="shared" si="2"/>
        <v>433045514.58951175</v>
      </c>
      <c r="L20" s="75">
        <f t="shared" si="2"/>
        <v>454697790.31898737</v>
      </c>
      <c r="M20" s="75">
        <f t="shared" si="2"/>
        <v>1010766013.1682701</v>
      </c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2:33" x14ac:dyDescent="0.3"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2:33" x14ac:dyDescent="0.3">
      <c r="B22" s="67" t="s">
        <v>89</v>
      </c>
      <c r="C22" s="75"/>
      <c r="D22" s="75">
        <f>+K7</f>
        <v>50000000</v>
      </c>
      <c r="E22" s="75">
        <f>+D22*(1+E14)</f>
        <v>52500000</v>
      </c>
      <c r="F22" s="75">
        <f t="shared" ref="F22:M22" si="3">+E22*(1+F14)</f>
        <v>55125000</v>
      </c>
      <c r="G22" s="75">
        <f t="shared" si="3"/>
        <v>57881250</v>
      </c>
      <c r="H22" s="75">
        <f t="shared" si="3"/>
        <v>60775312.5</v>
      </c>
      <c r="I22" s="75">
        <f t="shared" si="3"/>
        <v>63814078.125</v>
      </c>
      <c r="J22" s="75">
        <f t="shared" si="3"/>
        <v>67004782.03125</v>
      </c>
      <c r="K22" s="75">
        <f t="shared" si="3"/>
        <v>70355021.1328125</v>
      </c>
      <c r="L22" s="75">
        <f t="shared" si="3"/>
        <v>73169221.978125006</v>
      </c>
      <c r="M22" s="75">
        <f t="shared" si="3"/>
        <v>76095990.857250005</v>
      </c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2:33" x14ac:dyDescent="0.3">
      <c r="B23" s="67" t="s">
        <v>92</v>
      </c>
      <c r="C23" s="75"/>
      <c r="D23" s="75">
        <f>$K$8/30</f>
        <v>26666666.666666668</v>
      </c>
      <c r="E23" s="75">
        <f t="shared" ref="E23:M23" si="4">$K$8/30</f>
        <v>26666666.666666668</v>
      </c>
      <c r="F23" s="75">
        <f t="shared" si="4"/>
        <v>26666666.666666668</v>
      </c>
      <c r="G23" s="75">
        <f t="shared" si="4"/>
        <v>26666666.666666668</v>
      </c>
      <c r="H23" s="75">
        <f t="shared" si="4"/>
        <v>26666666.666666668</v>
      </c>
      <c r="I23" s="75">
        <f t="shared" si="4"/>
        <v>26666666.666666668</v>
      </c>
      <c r="J23" s="75">
        <f t="shared" si="4"/>
        <v>26666666.666666668</v>
      </c>
      <c r="K23" s="75">
        <f t="shared" si="4"/>
        <v>26666666.666666668</v>
      </c>
      <c r="L23" s="75">
        <f t="shared" si="4"/>
        <v>26666666.666666668</v>
      </c>
      <c r="M23" s="75">
        <f t="shared" si="4"/>
        <v>26666666.666666668</v>
      </c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2:33" x14ac:dyDescent="0.3">
      <c r="B24" s="67" t="s">
        <v>93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>
        <f>+M19</f>
        <v>533333333.33333331</v>
      </c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2:33" x14ac:dyDescent="0.3">
      <c r="B25" s="82" t="s">
        <v>90</v>
      </c>
      <c r="C25" s="75"/>
      <c r="D25" s="75">
        <f>+D20-D22-D23-D24</f>
        <v>211333333.33333334</v>
      </c>
      <c r="E25" s="75">
        <f t="shared" ref="E25:M25" si="5">+E20-E22-E23-E24</f>
        <v>226113333.33333334</v>
      </c>
      <c r="F25" s="75">
        <f t="shared" si="5"/>
        <v>241805133.33333334</v>
      </c>
      <c r="G25" s="75">
        <f t="shared" si="5"/>
        <v>258464691.33333334</v>
      </c>
      <c r="H25" s="75">
        <f t="shared" si="5"/>
        <v>276151385.31333333</v>
      </c>
      <c r="I25" s="75">
        <f t="shared" si="5"/>
        <v>294928221.55713338</v>
      </c>
      <c r="J25" s="75">
        <f t="shared" si="5"/>
        <v>314862055.63181138</v>
      </c>
      <c r="K25" s="75">
        <f t="shared" si="5"/>
        <v>336023826.79003257</v>
      </c>
      <c r="L25" s="75">
        <f t="shared" si="5"/>
        <v>354861901.67419571</v>
      </c>
      <c r="M25" s="75">
        <f t="shared" si="5"/>
        <v>374670022.3110202</v>
      </c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2:33" x14ac:dyDescent="0.3">
      <c r="B26" s="67" t="s">
        <v>91</v>
      </c>
      <c r="C26" s="75"/>
      <c r="D26" s="75">
        <f>+IF(D25&lt;0,0,D25*$J$10)</f>
        <v>63400000</v>
      </c>
      <c r="E26" s="75">
        <f t="shared" ref="E26:M26" si="6">+IF(E25&lt;0,0,E25*$J$10)</f>
        <v>67834000</v>
      </c>
      <c r="F26" s="75">
        <f t="shared" si="6"/>
        <v>72541540</v>
      </c>
      <c r="G26" s="75">
        <f t="shared" si="6"/>
        <v>77539407.400000006</v>
      </c>
      <c r="H26" s="75">
        <f t="shared" si="6"/>
        <v>82845415.593999997</v>
      </c>
      <c r="I26" s="75">
        <f t="shared" si="6"/>
        <v>88478466.467140004</v>
      </c>
      <c r="J26" s="75">
        <f t="shared" si="6"/>
        <v>94458616.689543411</v>
      </c>
      <c r="K26" s="75">
        <f t="shared" si="6"/>
        <v>100807148.03700976</v>
      </c>
      <c r="L26" s="75">
        <f t="shared" si="6"/>
        <v>106458570.5022587</v>
      </c>
      <c r="M26" s="75">
        <f t="shared" si="6"/>
        <v>112401006.69330606</v>
      </c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2:33" x14ac:dyDescent="0.3">
      <c r="B27" s="82" t="s">
        <v>90</v>
      </c>
      <c r="C27" s="75"/>
      <c r="D27" s="75">
        <f>+D25-D26</f>
        <v>147933333.33333334</v>
      </c>
      <c r="E27" s="75">
        <f t="shared" ref="E27:M27" si="7">+E25-E26</f>
        <v>158279333.33333334</v>
      </c>
      <c r="F27" s="75">
        <f t="shared" si="7"/>
        <v>169263593.33333334</v>
      </c>
      <c r="G27" s="75">
        <f t="shared" si="7"/>
        <v>180925283.93333334</v>
      </c>
      <c r="H27" s="75">
        <f t="shared" si="7"/>
        <v>193305969.71933335</v>
      </c>
      <c r="I27" s="75">
        <f t="shared" si="7"/>
        <v>206449755.08999336</v>
      </c>
      <c r="J27" s="75">
        <f t="shared" si="7"/>
        <v>220403438.94226795</v>
      </c>
      <c r="K27" s="75">
        <f t="shared" si="7"/>
        <v>235216678.75302279</v>
      </c>
      <c r="L27" s="75">
        <f t="shared" si="7"/>
        <v>248403331.17193699</v>
      </c>
      <c r="M27" s="75">
        <f t="shared" si="7"/>
        <v>262269015.61771414</v>
      </c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2:33" x14ac:dyDescent="0.3">
      <c r="B28" s="67" t="s">
        <v>92</v>
      </c>
      <c r="C28" s="75"/>
      <c r="D28" s="75">
        <f>+D23</f>
        <v>26666666.666666668</v>
      </c>
      <c r="E28" s="75">
        <f t="shared" ref="E28:M28" si="8">+E23</f>
        <v>26666666.666666668</v>
      </c>
      <c r="F28" s="75">
        <f t="shared" si="8"/>
        <v>26666666.666666668</v>
      </c>
      <c r="G28" s="75">
        <f t="shared" si="8"/>
        <v>26666666.666666668</v>
      </c>
      <c r="H28" s="75">
        <f t="shared" si="8"/>
        <v>26666666.666666668</v>
      </c>
      <c r="I28" s="75">
        <f t="shared" si="8"/>
        <v>26666666.666666668</v>
      </c>
      <c r="J28" s="75">
        <f t="shared" si="8"/>
        <v>26666666.666666668</v>
      </c>
      <c r="K28" s="75">
        <f t="shared" si="8"/>
        <v>26666666.666666668</v>
      </c>
      <c r="L28" s="75">
        <f t="shared" si="8"/>
        <v>26666666.666666668</v>
      </c>
      <c r="M28" s="75">
        <f t="shared" si="8"/>
        <v>26666666.666666668</v>
      </c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2:33" x14ac:dyDescent="0.3">
      <c r="B29" s="67" t="s">
        <v>93</v>
      </c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>
        <f>+M24</f>
        <v>533333333.33333331</v>
      </c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2:33" x14ac:dyDescent="0.3">
      <c r="B30" s="67" t="s">
        <v>70</v>
      </c>
      <c r="C30" s="75">
        <f>+K8</f>
        <v>800000000</v>
      </c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2:33" x14ac:dyDescent="0.3">
      <c r="B31" s="67" t="s">
        <v>71</v>
      </c>
      <c r="C31" s="75"/>
      <c r="D31" s="75"/>
      <c r="E31" s="75"/>
      <c r="F31" s="75"/>
      <c r="G31" s="75"/>
      <c r="H31" s="75">
        <f>+C30*0.1</f>
        <v>80000000</v>
      </c>
      <c r="I31" s="75"/>
      <c r="J31" s="75"/>
      <c r="K31" s="75"/>
      <c r="L31" s="75"/>
      <c r="M31" s="75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2:33" x14ac:dyDescent="0.3">
      <c r="B32" s="80" t="s">
        <v>94</v>
      </c>
      <c r="C32" s="83">
        <f>-C30</f>
        <v>-800000000</v>
      </c>
      <c r="D32" s="83">
        <f>+D27+D28+D29-D31</f>
        <v>174600000</v>
      </c>
      <c r="E32" s="83">
        <f t="shared" ref="E32:M32" si="9">+E27+E28+E29-E31</f>
        <v>184946000</v>
      </c>
      <c r="F32" s="83">
        <f t="shared" si="9"/>
        <v>195930260</v>
      </c>
      <c r="G32" s="83">
        <f t="shared" si="9"/>
        <v>207591950.59999999</v>
      </c>
      <c r="H32" s="83">
        <f t="shared" si="9"/>
        <v>139972636.38600001</v>
      </c>
      <c r="I32" s="83">
        <f t="shared" si="9"/>
        <v>233116421.75666001</v>
      </c>
      <c r="J32" s="83">
        <f t="shared" si="9"/>
        <v>247070105.60893461</v>
      </c>
      <c r="K32" s="83">
        <f t="shared" si="9"/>
        <v>261883345.41968945</v>
      </c>
      <c r="L32" s="83">
        <f t="shared" si="9"/>
        <v>275069997.83860368</v>
      </c>
      <c r="M32" s="83">
        <f t="shared" si="9"/>
        <v>822269015.61771417</v>
      </c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2:33" x14ac:dyDescent="0.3"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  <row r="34" spans="2:33" x14ac:dyDescent="0.3">
      <c r="B34" s="67" t="s">
        <v>75</v>
      </c>
      <c r="C34" s="75">
        <f>NPV(C35,D32:M32)+C32</f>
        <v>177966423.97904623</v>
      </c>
      <c r="D34" s="169"/>
      <c r="E34" s="170"/>
      <c r="F34" s="81"/>
      <c r="G34" s="81"/>
      <c r="H34" s="81"/>
      <c r="I34" s="81"/>
      <c r="J34" s="81"/>
      <c r="K34" s="81"/>
      <c r="L34" s="81"/>
      <c r="M34" s="81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</row>
    <row r="35" spans="2:33" x14ac:dyDescent="0.3">
      <c r="B35" s="59" t="s">
        <v>95</v>
      </c>
      <c r="C35" s="64">
        <v>0.19</v>
      </c>
      <c r="D35" s="169"/>
      <c r="E35" s="170"/>
      <c r="F35" s="81"/>
      <c r="G35" s="81"/>
      <c r="H35" s="81"/>
      <c r="I35" s="81"/>
      <c r="J35" s="81"/>
      <c r="K35" s="81"/>
      <c r="L35" s="81"/>
      <c r="M35" s="81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</row>
    <row r="36" spans="2:33" x14ac:dyDescent="0.3">
      <c r="B36" s="59" t="s">
        <v>45</v>
      </c>
      <c r="C36" s="84">
        <f>+C37/C38</f>
        <v>1.2224580299738077</v>
      </c>
      <c r="D36" s="169"/>
      <c r="E36" s="170"/>
      <c r="F36" s="81"/>
      <c r="G36" s="81"/>
      <c r="H36" s="81"/>
      <c r="I36" s="81"/>
      <c r="J36" s="81"/>
      <c r="K36" s="81"/>
      <c r="L36" s="81"/>
      <c r="M36" s="81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</row>
    <row r="37" spans="2:33" x14ac:dyDescent="0.3">
      <c r="B37" s="59" t="s">
        <v>46</v>
      </c>
      <c r="C37" s="75">
        <f>NPV(C35,D32:M32)</f>
        <v>977966423.97904623</v>
      </c>
      <c r="D37" s="169"/>
      <c r="E37" s="170"/>
      <c r="F37" s="81"/>
      <c r="G37" s="81"/>
      <c r="H37" s="81"/>
      <c r="I37" s="81"/>
      <c r="J37" s="81"/>
      <c r="K37" s="81"/>
      <c r="L37" s="81"/>
      <c r="M37" s="81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</row>
    <row r="38" spans="2:33" x14ac:dyDescent="0.3">
      <c r="B38" s="59" t="s">
        <v>47</v>
      </c>
      <c r="C38" s="75">
        <f>-C32</f>
        <v>800000000</v>
      </c>
      <c r="D38" s="169"/>
      <c r="E38" s="170"/>
      <c r="F38" s="81"/>
      <c r="G38" s="81"/>
      <c r="H38" s="81"/>
      <c r="I38" s="81"/>
      <c r="J38" s="81"/>
      <c r="K38" s="81"/>
      <c r="L38" s="81"/>
      <c r="M38" s="81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</row>
    <row r="39" spans="2:33" x14ac:dyDescent="0.3">
      <c r="B39" s="67" t="s">
        <v>187</v>
      </c>
      <c r="C39" s="68">
        <f>IRR(C32:M32)</f>
        <v>0.24018460658345719</v>
      </c>
      <c r="D39" s="171"/>
      <c r="E39" s="17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2:33" x14ac:dyDescent="0.3">
      <c r="B40" s="173"/>
      <c r="C40" s="173"/>
      <c r="D40" s="173"/>
      <c r="E40" s="173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2:33" ht="14.4" customHeight="1" x14ac:dyDescent="0.3">
      <c r="B41" s="154"/>
      <c r="C41" s="141"/>
      <c r="D41" s="150"/>
      <c r="E41" s="153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2:33" ht="14.4" customHeight="1" x14ac:dyDescent="0.3">
      <c r="B42" s="154"/>
      <c r="C42" s="141"/>
      <c r="D42" s="151"/>
      <c r="E42" s="153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2:33" ht="14.4" customHeight="1" x14ac:dyDescent="0.3">
      <c r="B43" s="154"/>
      <c r="C43" s="141"/>
      <c r="D43" s="151"/>
      <c r="E43" s="153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2:33" ht="14.4" customHeight="1" x14ac:dyDescent="0.3">
      <c r="B44" s="154"/>
      <c r="C44" s="141"/>
      <c r="D44" s="151"/>
      <c r="E44" s="153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</row>
    <row r="45" spans="2:33" x14ac:dyDescent="0.3">
      <c r="B45" s="65"/>
      <c r="C45" s="141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2:33" x14ac:dyDescent="0.3">
      <c r="B46" s="65"/>
      <c r="C46" s="141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2:33" x14ac:dyDescent="0.3">
      <c r="B47" s="65"/>
      <c r="C47" s="141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2:33" x14ac:dyDescent="0.3">
      <c r="B48" s="65"/>
      <c r="C48" s="141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2:33" x14ac:dyDescent="0.3">
      <c r="B49" s="65"/>
      <c r="C49" s="141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</row>
    <row r="50" spans="2:33" ht="27.6" customHeight="1" thickBot="1" x14ac:dyDescent="0.35">
      <c r="B50" s="183" t="s">
        <v>97</v>
      </c>
      <c r="C50" s="183"/>
      <c r="D50" s="183"/>
      <c r="E50" s="52"/>
      <c r="F50" s="52"/>
      <c r="G50" s="52"/>
      <c r="H50" s="52"/>
      <c r="I50" s="168"/>
      <c r="J50" s="168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</row>
    <row r="51" spans="2:33" ht="16.2" thickBot="1" x14ac:dyDescent="0.35">
      <c r="B51" s="65"/>
      <c r="C51" s="52"/>
      <c r="D51" s="52"/>
      <c r="E51" s="52"/>
      <c r="F51" s="52"/>
      <c r="G51" s="52"/>
      <c r="H51" s="177" t="s">
        <v>190</v>
      </c>
      <c r="I51" s="178"/>
      <c r="J51" s="178"/>
      <c r="K51" s="178"/>
      <c r="L51" s="179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</row>
    <row r="52" spans="2:33" ht="15" thickBot="1" x14ac:dyDescent="0.35">
      <c r="B52" s="65"/>
      <c r="C52" s="52"/>
      <c r="D52" s="69">
        <f>+C34</f>
        <v>177966423.97904623</v>
      </c>
      <c r="E52" s="52"/>
      <c r="F52" s="52"/>
      <c r="G52" s="70">
        <f>+C34</f>
        <v>177966423.97904623</v>
      </c>
      <c r="H52" s="71">
        <v>1</v>
      </c>
      <c r="I52" s="71">
        <v>2</v>
      </c>
      <c r="J52" s="71">
        <v>3</v>
      </c>
      <c r="K52" s="71">
        <v>4</v>
      </c>
      <c r="L52" s="71">
        <v>5</v>
      </c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</row>
    <row r="53" spans="2:33" x14ac:dyDescent="0.3">
      <c r="B53" s="180" t="s">
        <v>188</v>
      </c>
      <c r="C53" s="72">
        <f>C54-200</f>
        <v>400</v>
      </c>
      <c r="D53" s="73">
        <f t="dataTable" ref="D53:D63" dt2D="0" dtr="0" r1="C9" ca="1"/>
        <v>-529587705.12920594</v>
      </c>
      <c r="E53" s="52"/>
      <c r="F53" s="174" t="s">
        <v>189</v>
      </c>
      <c r="G53" s="72">
        <f>G54-200</f>
        <v>400</v>
      </c>
      <c r="H53" s="73">
        <f t="dataTable" ref="H53:L63" dt2D="1" dtr="1" r1="C10" r2="C9"/>
        <v>-741752730.6914705</v>
      </c>
      <c r="I53" s="73">
        <v>-529587705.12920594</v>
      </c>
      <c r="J53" s="73">
        <v>-352699172.85214287</v>
      </c>
      <c r="K53" s="73">
        <v>-175810640.57507968</v>
      </c>
      <c r="L53" s="73">
        <v>1077891.7019832134</v>
      </c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</row>
    <row r="54" spans="2:33" x14ac:dyDescent="0.3">
      <c r="B54" s="181"/>
      <c r="C54" s="72">
        <f>C55-200</f>
        <v>600</v>
      </c>
      <c r="D54" s="73">
        <v>-352699172.85214287</v>
      </c>
      <c r="E54" s="52"/>
      <c r="F54" s="175"/>
      <c r="G54" s="72">
        <f>G55-200</f>
        <v>600</v>
      </c>
      <c r="H54" s="73">
        <v>-619970387.761374</v>
      </c>
      <c r="I54" s="73">
        <v>-352699172.85214287</v>
      </c>
      <c r="J54" s="73">
        <v>-87366374.436548233</v>
      </c>
      <c r="K54" s="73">
        <v>177966423.97904623</v>
      </c>
      <c r="L54" s="73">
        <v>443299222.39464068</v>
      </c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</row>
    <row r="55" spans="2:33" x14ac:dyDescent="0.3">
      <c r="B55" s="181"/>
      <c r="C55" s="72">
        <f>C56-200</f>
        <v>800</v>
      </c>
      <c r="D55" s="73">
        <v>-175810640.57507968</v>
      </c>
      <c r="E55" s="52"/>
      <c r="F55" s="175"/>
      <c r="G55" s="72">
        <f>G56-200</f>
        <v>800</v>
      </c>
      <c r="H55" s="73">
        <v>-529587705.12920594</v>
      </c>
      <c r="I55" s="73">
        <v>-175810640.57507968</v>
      </c>
      <c r="J55" s="73">
        <v>177966423.97904623</v>
      </c>
      <c r="K55" s="73">
        <v>531743488.53317237</v>
      </c>
      <c r="L55" s="74">
        <v>885520553.08729863</v>
      </c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</row>
    <row r="56" spans="2:33" x14ac:dyDescent="0.3">
      <c r="B56" s="181"/>
      <c r="C56" s="72">
        <f>1200-200</f>
        <v>1000</v>
      </c>
      <c r="D56" s="73">
        <v>1077891.7019832134</v>
      </c>
      <c r="E56" s="52"/>
      <c r="F56" s="175"/>
      <c r="G56" s="72">
        <f>1200-200</f>
        <v>1000</v>
      </c>
      <c r="H56" s="73">
        <v>-441143438.99067432</v>
      </c>
      <c r="I56" s="73">
        <v>1077891.7019832134</v>
      </c>
      <c r="J56" s="73">
        <v>443299222.39464068</v>
      </c>
      <c r="K56" s="73">
        <v>885520553.08729863</v>
      </c>
      <c r="L56" s="74">
        <v>1327741883.7799566</v>
      </c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</row>
    <row r="57" spans="2:33" x14ac:dyDescent="0.3">
      <c r="B57" s="181"/>
      <c r="C57" s="149">
        <v>1200</v>
      </c>
      <c r="D57" s="97">
        <v>177966423.97904623</v>
      </c>
      <c r="E57" s="52"/>
      <c r="F57" s="175"/>
      <c r="G57" s="149">
        <v>1200</v>
      </c>
      <c r="H57" s="73">
        <v>-352699172.85214287</v>
      </c>
      <c r="I57" s="97">
        <v>177966423.97904623</v>
      </c>
      <c r="J57" s="70">
        <v>708632020.81023526</v>
      </c>
      <c r="K57" s="74">
        <v>1239297617.6414247</v>
      </c>
      <c r="L57" s="74">
        <v>1769963214.4726138</v>
      </c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</row>
    <row r="58" spans="2:33" x14ac:dyDescent="0.3">
      <c r="B58" s="181"/>
      <c r="C58" s="72">
        <f>+C57+200</f>
        <v>1400</v>
      </c>
      <c r="D58" s="73">
        <v>354854956.25610924</v>
      </c>
      <c r="E58" s="52"/>
      <c r="F58" s="175"/>
      <c r="G58" s="72">
        <f>+G57+200</f>
        <v>1400</v>
      </c>
      <c r="H58" s="73">
        <v>-264254906.7136113</v>
      </c>
      <c r="I58" s="73">
        <v>354854956.25610924</v>
      </c>
      <c r="J58" s="74">
        <v>973964819.22583008</v>
      </c>
      <c r="K58" s="74">
        <v>1593074682.1955504</v>
      </c>
      <c r="L58" s="74">
        <v>2212184545.1652718</v>
      </c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</row>
    <row r="59" spans="2:33" x14ac:dyDescent="0.3">
      <c r="B59" s="181"/>
      <c r="C59" s="72">
        <f t="shared" ref="C59:C63" si="10">+C58+200</f>
        <v>1600</v>
      </c>
      <c r="D59" s="73">
        <v>531743488.53317237</v>
      </c>
      <c r="E59" s="52"/>
      <c r="F59" s="175"/>
      <c r="G59" s="72">
        <f t="shared" ref="G59:G63" si="11">+G58+200</f>
        <v>1600</v>
      </c>
      <c r="H59" s="73">
        <v>-175810640.57507968</v>
      </c>
      <c r="I59" s="74">
        <v>531743488.53317237</v>
      </c>
      <c r="J59" s="74">
        <v>1239297617.6414247</v>
      </c>
      <c r="K59" s="74">
        <v>1946851746.7496767</v>
      </c>
      <c r="L59" s="74">
        <v>2654405875.8579283</v>
      </c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</row>
    <row r="60" spans="2:33" x14ac:dyDescent="0.3">
      <c r="B60" s="181"/>
      <c r="C60" s="72">
        <f t="shared" si="10"/>
        <v>1800</v>
      </c>
      <c r="D60" s="73">
        <v>708632020.81023526</v>
      </c>
      <c r="E60" s="52"/>
      <c r="F60" s="175"/>
      <c r="G60" s="72">
        <f t="shared" si="11"/>
        <v>1800</v>
      </c>
      <c r="H60" s="74">
        <v>-87366374.436548233</v>
      </c>
      <c r="I60" s="74">
        <v>708632020.81023526</v>
      </c>
      <c r="J60" s="74">
        <v>1504630416.0570192</v>
      </c>
      <c r="K60" s="74">
        <v>2300628811.3038025</v>
      </c>
      <c r="L60" s="74">
        <v>3096627206.5505853</v>
      </c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</row>
    <row r="61" spans="2:33" x14ac:dyDescent="0.3">
      <c r="B61" s="181"/>
      <c r="C61" s="72">
        <f t="shared" si="10"/>
        <v>2000</v>
      </c>
      <c r="D61" s="73">
        <v>885520553.08729863</v>
      </c>
      <c r="E61" s="52"/>
      <c r="F61" s="175"/>
      <c r="G61" s="72">
        <f t="shared" si="11"/>
        <v>2000</v>
      </c>
      <c r="H61" s="74">
        <v>1077891.7019832134</v>
      </c>
      <c r="I61" s="74">
        <v>885520553.08729863</v>
      </c>
      <c r="J61" s="74">
        <v>1769963214.4726138</v>
      </c>
      <c r="K61" s="74">
        <v>2654405875.8579283</v>
      </c>
      <c r="L61" s="74">
        <v>3538848537.2432442</v>
      </c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</row>
    <row r="62" spans="2:33" x14ac:dyDescent="0.3">
      <c r="B62" s="181"/>
      <c r="C62" s="72">
        <f t="shared" si="10"/>
        <v>2200</v>
      </c>
      <c r="D62" s="73">
        <v>1062409085.3643615</v>
      </c>
      <c r="E62" s="52"/>
      <c r="F62" s="175"/>
      <c r="G62" s="72">
        <f t="shared" si="11"/>
        <v>2200</v>
      </c>
      <c r="H62" s="74">
        <v>89522157.840514779</v>
      </c>
      <c r="I62" s="74">
        <v>1062409085.3643615</v>
      </c>
      <c r="J62" s="74">
        <v>2035296012.8882084</v>
      </c>
      <c r="K62" s="74">
        <v>3008182940.412055</v>
      </c>
      <c r="L62" s="74">
        <v>3981069867.9359026</v>
      </c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</row>
    <row r="63" spans="2:33" ht="15" thickBot="1" x14ac:dyDescent="0.35">
      <c r="B63" s="182"/>
      <c r="C63" s="72">
        <f t="shared" si="10"/>
        <v>2400</v>
      </c>
      <c r="D63" s="73">
        <v>1239297617.6414247</v>
      </c>
      <c r="E63" s="52"/>
      <c r="F63" s="176"/>
      <c r="G63" s="72">
        <f t="shared" si="11"/>
        <v>2400</v>
      </c>
      <c r="H63" s="74">
        <v>177966423.97904623</v>
      </c>
      <c r="I63" s="74">
        <v>1239297617.6414247</v>
      </c>
      <c r="J63" s="74">
        <v>2300628811.3038025</v>
      </c>
      <c r="K63" s="74">
        <v>3361960004.9661808</v>
      </c>
      <c r="L63" s="74">
        <v>4423291198.6285591</v>
      </c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</row>
    <row r="64" spans="2:33" x14ac:dyDescent="0.3">
      <c r="B64" s="65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</row>
    <row r="65" spans="2:33" x14ac:dyDescent="0.3">
      <c r="B65" s="65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</row>
    <row r="66" spans="2:33" x14ac:dyDescent="0.3">
      <c r="B66" s="65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</row>
    <row r="67" spans="2:33" x14ac:dyDescent="0.3">
      <c r="B67" s="65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</row>
    <row r="68" spans="2:33" x14ac:dyDescent="0.3">
      <c r="B68" s="65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</row>
    <row r="69" spans="2:33" x14ac:dyDescent="0.3">
      <c r="B69" s="65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</row>
    <row r="70" spans="2:33" x14ac:dyDescent="0.3">
      <c r="B70" s="65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</row>
    <row r="71" spans="2:33" x14ac:dyDescent="0.3">
      <c r="B71" s="65"/>
      <c r="C71" s="52"/>
      <c r="D71" s="52"/>
      <c r="E71" s="52"/>
      <c r="F71" s="52"/>
      <c r="G71" s="70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</row>
    <row r="72" spans="2:33" x14ac:dyDescent="0.3">
      <c r="B72" s="65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</row>
    <row r="73" spans="2:33" x14ac:dyDescent="0.3">
      <c r="B73" s="65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</row>
    <row r="74" spans="2:33" ht="55.2" customHeight="1" x14ac:dyDescent="0.3">
      <c r="B74" s="86" t="s">
        <v>103</v>
      </c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</row>
    <row r="75" spans="2:33" x14ac:dyDescent="0.3">
      <c r="B75" s="52"/>
      <c r="C75" s="66">
        <v>0</v>
      </c>
      <c r="D75" s="66">
        <f>+C75+1</f>
        <v>1</v>
      </c>
      <c r="E75" s="66">
        <f t="shared" ref="E75:M75" si="12">+D75+1</f>
        <v>2</v>
      </c>
      <c r="F75" s="66">
        <f t="shared" si="12"/>
        <v>3</v>
      </c>
      <c r="G75" s="66">
        <f t="shared" si="12"/>
        <v>4</v>
      </c>
      <c r="H75" s="66">
        <f t="shared" si="12"/>
        <v>5</v>
      </c>
      <c r="I75" s="66">
        <f t="shared" si="12"/>
        <v>6</v>
      </c>
      <c r="J75" s="66">
        <f t="shared" si="12"/>
        <v>7</v>
      </c>
      <c r="K75" s="66">
        <f t="shared" si="12"/>
        <v>8</v>
      </c>
      <c r="L75" s="66">
        <f t="shared" si="12"/>
        <v>9</v>
      </c>
      <c r="M75" s="66">
        <f t="shared" si="12"/>
        <v>10</v>
      </c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</row>
    <row r="76" spans="2:33" ht="27.6" x14ac:dyDescent="0.3">
      <c r="B76" s="67" t="s">
        <v>96</v>
      </c>
      <c r="C76" s="59"/>
      <c r="D76" s="75">
        <f>+E7*C6*C4*C11*12</f>
        <v>209723820.48331413</v>
      </c>
      <c r="E76" s="75">
        <f>+D76</f>
        <v>209723820.48331413</v>
      </c>
      <c r="F76" s="75">
        <f t="shared" ref="F76:M78" si="13">+E76</f>
        <v>209723820.48331413</v>
      </c>
      <c r="G76" s="75">
        <f t="shared" si="13"/>
        <v>209723820.48331413</v>
      </c>
      <c r="H76" s="75">
        <f t="shared" si="13"/>
        <v>209723820.48331413</v>
      </c>
      <c r="I76" s="75">
        <f t="shared" si="13"/>
        <v>209723820.48331413</v>
      </c>
      <c r="J76" s="75">
        <f t="shared" si="13"/>
        <v>209723820.48331413</v>
      </c>
      <c r="K76" s="75">
        <f t="shared" si="13"/>
        <v>209723820.48331413</v>
      </c>
      <c r="L76" s="75">
        <f t="shared" si="13"/>
        <v>209723820.48331413</v>
      </c>
      <c r="M76" s="75">
        <f t="shared" si="13"/>
        <v>209723820.48331413</v>
      </c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</row>
    <row r="77" spans="2:33" ht="27.6" customHeight="1" x14ac:dyDescent="0.3">
      <c r="B77" s="67" t="s">
        <v>137</v>
      </c>
      <c r="C77" s="59"/>
      <c r="D77" s="75">
        <f>+C5*C8*C4*12</f>
        <v>450000000</v>
      </c>
      <c r="E77" s="75">
        <f>+D77</f>
        <v>450000000</v>
      </c>
      <c r="F77" s="75">
        <f t="shared" si="13"/>
        <v>450000000</v>
      </c>
      <c r="G77" s="75">
        <f t="shared" si="13"/>
        <v>450000000</v>
      </c>
      <c r="H77" s="75">
        <f t="shared" si="13"/>
        <v>450000000</v>
      </c>
      <c r="I77" s="75">
        <f t="shared" si="13"/>
        <v>450000000</v>
      </c>
      <c r="J77" s="75">
        <f t="shared" si="13"/>
        <v>450000000</v>
      </c>
      <c r="K77" s="75">
        <f t="shared" si="13"/>
        <v>450000000</v>
      </c>
      <c r="L77" s="75">
        <f t="shared" si="13"/>
        <v>450000000</v>
      </c>
      <c r="M77" s="75">
        <f t="shared" si="13"/>
        <v>450000000</v>
      </c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</row>
    <row r="78" spans="2:33" x14ac:dyDescent="0.3">
      <c r="B78" s="67" t="s">
        <v>138</v>
      </c>
      <c r="C78" s="59"/>
      <c r="D78" s="75">
        <f>G9*12</f>
        <v>111000000</v>
      </c>
      <c r="E78" s="75">
        <f>+D78</f>
        <v>111000000</v>
      </c>
      <c r="F78" s="75">
        <f t="shared" si="13"/>
        <v>111000000</v>
      </c>
      <c r="G78" s="75">
        <f t="shared" si="13"/>
        <v>111000000</v>
      </c>
      <c r="H78" s="75">
        <f t="shared" si="13"/>
        <v>111000000</v>
      </c>
      <c r="I78" s="75">
        <f t="shared" si="13"/>
        <v>111000000</v>
      </c>
      <c r="J78" s="75">
        <f t="shared" si="13"/>
        <v>111000000</v>
      </c>
      <c r="K78" s="75">
        <f t="shared" si="13"/>
        <v>111000000</v>
      </c>
      <c r="L78" s="75">
        <f>+K78</f>
        <v>111000000</v>
      </c>
      <c r="M78" s="75">
        <f t="shared" si="13"/>
        <v>111000000</v>
      </c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</row>
    <row r="79" spans="2:33" x14ac:dyDescent="0.3">
      <c r="B79" s="67" t="s">
        <v>68</v>
      </c>
      <c r="C79" s="59"/>
      <c r="D79" s="87">
        <f>SUM(D76:D78)</f>
        <v>770723820.48331416</v>
      </c>
      <c r="E79" s="87">
        <f t="shared" ref="E79:M79" si="14">+SUM(E76:E78)</f>
        <v>770723820.48331416</v>
      </c>
      <c r="F79" s="87">
        <f t="shared" si="14"/>
        <v>770723820.48331416</v>
      </c>
      <c r="G79" s="87">
        <f t="shared" si="14"/>
        <v>770723820.48331416</v>
      </c>
      <c r="H79" s="87">
        <f t="shared" si="14"/>
        <v>770723820.48331416</v>
      </c>
      <c r="I79" s="87">
        <f t="shared" si="14"/>
        <v>770723820.48331416</v>
      </c>
      <c r="J79" s="87">
        <f t="shared" si="14"/>
        <v>770723820.48331416</v>
      </c>
      <c r="K79" s="87">
        <f t="shared" si="14"/>
        <v>770723820.48331416</v>
      </c>
      <c r="L79" s="87">
        <f t="shared" si="14"/>
        <v>770723820.48331416</v>
      </c>
      <c r="M79" s="87">
        <f t="shared" si="14"/>
        <v>770723820.48331416</v>
      </c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</row>
    <row r="80" spans="2:33" x14ac:dyDescent="0.3"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</row>
    <row r="81" spans="2:33" x14ac:dyDescent="0.3">
      <c r="B81" s="67" t="s">
        <v>69</v>
      </c>
      <c r="C81" s="87">
        <f>+C82+C83+C84</f>
        <v>640000000</v>
      </c>
      <c r="D81" s="87">
        <f>+D82+D83+D84</f>
        <v>40000000</v>
      </c>
      <c r="E81" s="87">
        <f t="shared" ref="E81:M81" si="15">+E82+E83+E84</f>
        <v>40000000</v>
      </c>
      <c r="F81" s="87">
        <f t="shared" si="15"/>
        <v>40000000</v>
      </c>
      <c r="G81" s="87">
        <f t="shared" si="15"/>
        <v>40000000</v>
      </c>
      <c r="H81" s="87">
        <f t="shared" si="15"/>
        <v>104000000</v>
      </c>
      <c r="I81" s="87">
        <f t="shared" si="15"/>
        <v>40000000</v>
      </c>
      <c r="J81" s="87">
        <f t="shared" si="15"/>
        <v>40000000</v>
      </c>
      <c r="K81" s="87">
        <f t="shared" si="15"/>
        <v>40000000</v>
      </c>
      <c r="L81" s="87">
        <f t="shared" si="15"/>
        <v>40000000</v>
      </c>
      <c r="M81" s="87">
        <f t="shared" si="15"/>
        <v>40000000</v>
      </c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</row>
    <row r="82" spans="2:33" x14ac:dyDescent="0.3">
      <c r="B82" s="67" t="s">
        <v>70</v>
      </c>
      <c r="C82" s="75">
        <f>+K8*J8</f>
        <v>640000000</v>
      </c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</row>
    <row r="83" spans="2:33" x14ac:dyDescent="0.3">
      <c r="B83" s="67" t="s">
        <v>71</v>
      </c>
      <c r="C83" s="75"/>
      <c r="D83" s="75"/>
      <c r="E83" s="75"/>
      <c r="F83" s="75"/>
      <c r="G83" s="75"/>
      <c r="H83" s="75">
        <f>+C82*0.1</f>
        <v>64000000</v>
      </c>
      <c r="I83" s="75"/>
      <c r="J83" s="75"/>
      <c r="K83" s="75"/>
      <c r="L83" s="75"/>
      <c r="M83" s="75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</row>
    <row r="84" spans="2:33" x14ac:dyDescent="0.3">
      <c r="B84" s="67" t="s">
        <v>72</v>
      </c>
      <c r="C84" s="75"/>
      <c r="D84" s="75">
        <f>+K7*J7</f>
        <v>40000000</v>
      </c>
      <c r="E84" s="75">
        <f>+D84</f>
        <v>40000000</v>
      </c>
      <c r="F84" s="75">
        <f t="shared" ref="F84:M84" si="16">+E84</f>
        <v>40000000</v>
      </c>
      <c r="G84" s="75">
        <f t="shared" si="16"/>
        <v>40000000</v>
      </c>
      <c r="H84" s="75">
        <f t="shared" si="16"/>
        <v>40000000</v>
      </c>
      <c r="I84" s="75">
        <f t="shared" si="16"/>
        <v>40000000</v>
      </c>
      <c r="J84" s="75">
        <f t="shared" si="16"/>
        <v>40000000</v>
      </c>
      <c r="K84" s="75">
        <f t="shared" si="16"/>
        <v>40000000</v>
      </c>
      <c r="L84" s="75">
        <f>+K84</f>
        <v>40000000</v>
      </c>
      <c r="M84" s="75">
        <f t="shared" si="16"/>
        <v>40000000</v>
      </c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</row>
    <row r="85" spans="2:33" x14ac:dyDescent="0.3">
      <c r="B85" s="59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</row>
    <row r="86" spans="2:33" x14ac:dyDescent="0.3">
      <c r="B86" s="67" t="s">
        <v>73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>
        <f>30%*C82</f>
        <v>192000000</v>
      </c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</row>
    <row r="87" spans="2:33" x14ac:dyDescent="0.3">
      <c r="B87" s="88" t="s">
        <v>74</v>
      </c>
      <c r="C87" s="89">
        <f>+C79-C81+C86</f>
        <v>-640000000</v>
      </c>
      <c r="D87" s="89">
        <f t="shared" ref="D87:M87" si="17">+D79-D81+D86</f>
        <v>730723820.48331416</v>
      </c>
      <c r="E87" s="89">
        <f t="shared" si="17"/>
        <v>730723820.48331416</v>
      </c>
      <c r="F87" s="89">
        <f t="shared" si="17"/>
        <v>730723820.48331416</v>
      </c>
      <c r="G87" s="89">
        <f t="shared" si="17"/>
        <v>730723820.48331416</v>
      </c>
      <c r="H87" s="89">
        <f t="shared" si="17"/>
        <v>666723820.48331416</v>
      </c>
      <c r="I87" s="89">
        <f t="shared" si="17"/>
        <v>730723820.48331416</v>
      </c>
      <c r="J87" s="89">
        <f t="shared" si="17"/>
        <v>730723820.48331416</v>
      </c>
      <c r="K87" s="89">
        <f t="shared" si="17"/>
        <v>730723820.48331416</v>
      </c>
      <c r="L87" s="89">
        <f t="shared" si="17"/>
        <v>730723820.48331416</v>
      </c>
      <c r="M87" s="89">
        <f t="shared" si="17"/>
        <v>922723820.48331416</v>
      </c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</row>
    <row r="88" spans="2:33" x14ac:dyDescent="0.3">
      <c r="B88" s="81"/>
      <c r="C88" s="81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</row>
    <row r="89" spans="2:33" x14ac:dyDescent="0.3">
      <c r="B89" s="82" t="s">
        <v>198</v>
      </c>
      <c r="C89" s="75">
        <f>NPV(C90,D87:M87)+C87</f>
        <v>3514256100.5626106</v>
      </c>
      <c r="D89" s="171"/>
      <c r="E89" s="172"/>
      <c r="F89" s="93"/>
      <c r="G89" s="93"/>
      <c r="H89" s="93"/>
      <c r="I89" s="93"/>
      <c r="J89" s="93"/>
      <c r="K89" s="93"/>
      <c r="L89" s="93"/>
      <c r="M89" s="93"/>
      <c r="N89" s="93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</row>
    <row r="90" spans="2:33" x14ac:dyDescent="0.3">
      <c r="B90" s="59" t="s">
        <v>78</v>
      </c>
      <c r="C90" s="64">
        <v>0.12</v>
      </c>
      <c r="D90" s="171"/>
      <c r="E90" s="172"/>
      <c r="F90" s="93"/>
      <c r="G90" s="93"/>
      <c r="H90" s="93"/>
      <c r="I90" s="93"/>
      <c r="J90" s="93"/>
      <c r="K90" s="93"/>
      <c r="L90" s="93"/>
      <c r="M90" s="93"/>
      <c r="N90" s="93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</row>
    <row r="91" spans="2:33" x14ac:dyDescent="0.3">
      <c r="B91" s="66" t="s">
        <v>196</v>
      </c>
      <c r="C91" s="84">
        <f>+C92/C93</f>
        <v>6.4910251571290791</v>
      </c>
      <c r="D91" s="171"/>
      <c r="E91" s="172"/>
      <c r="F91" s="93"/>
      <c r="G91" s="93"/>
      <c r="H91" s="93"/>
      <c r="I91" s="93"/>
      <c r="J91" s="93"/>
      <c r="K91" s="93"/>
      <c r="L91" s="93"/>
      <c r="M91" s="93"/>
      <c r="N91" s="93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</row>
    <row r="92" spans="2:33" x14ac:dyDescent="0.3">
      <c r="B92" s="59" t="s">
        <v>46</v>
      </c>
      <c r="C92" s="75">
        <f>NPV(C90,D87:M87)</f>
        <v>4154256100.5626106</v>
      </c>
      <c r="D92" s="171"/>
      <c r="E92" s="172"/>
      <c r="F92" s="93"/>
      <c r="G92" s="93"/>
      <c r="H92" s="93"/>
      <c r="I92" s="93"/>
      <c r="J92" s="93"/>
      <c r="K92" s="93"/>
      <c r="L92" s="93"/>
      <c r="M92" s="93"/>
      <c r="N92" s="93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</row>
    <row r="93" spans="2:33" x14ac:dyDescent="0.3">
      <c r="B93" s="59" t="s">
        <v>47</v>
      </c>
      <c r="C93" s="75">
        <f>-C87</f>
        <v>640000000</v>
      </c>
      <c r="D93" s="171"/>
      <c r="E93" s="172"/>
      <c r="F93" s="93"/>
      <c r="G93" s="93"/>
      <c r="H93" s="93"/>
      <c r="I93" s="93"/>
      <c r="J93" s="93"/>
      <c r="K93" s="93"/>
      <c r="L93" s="93"/>
      <c r="M93" s="93"/>
      <c r="N93" s="93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</row>
    <row r="94" spans="2:33" x14ac:dyDescent="0.3">
      <c r="B94" s="166" t="s">
        <v>197</v>
      </c>
      <c r="C94" s="64">
        <f>MIRR(C87:M87,,C90)</f>
        <v>0.35035933766614535</v>
      </c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</row>
    <row r="95" spans="2:33" x14ac:dyDescent="0.3"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</row>
    <row r="96" spans="2:33" x14ac:dyDescent="0.3"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</row>
    <row r="97" spans="2:33" x14ac:dyDescent="0.3">
      <c r="B97" s="152"/>
      <c r="C97" s="141"/>
      <c r="D97" s="150"/>
      <c r="E97" s="153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</row>
    <row r="98" spans="2:33" x14ac:dyDescent="0.3">
      <c r="B98" s="152"/>
      <c r="C98" s="141"/>
      <c r="D98" s="151"/>
      <c r="E98" s="153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</row>
    <row r="99" spans="2:33" x14ac:dyDescent="0.3">
      <c r="B99" s="152"/>
      <c r="C99" s="141"/>
      <c r="D99" s="151"/>
      <c r="E99" s="153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</row>
    <row r="100" spans="2:33" x14ac:dyDescent="0.3">
      <c r="B100" s="152"/>
      <c r="C100" s="141"/>
      <c r="D100" s="151"/>
      <c r="E100" s="153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</row>
    <row r="101" spans="2:33" x14ac:dyDescent="0.3">
      <c r="B101" s="52"/>
      <c r="C101" s="52"/>
      <c r="D101" s="52"/>
      <c r="E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</row>
    <row r="102" spans="2:33" x14ac:dyDescent="0.3">
      <c r="B102" s="52"/>
      <c r="C102" s="52"/>
      <c r="D102" s="52"/>
      <c r="E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</row>
    <row r="103" spans="2:33" x14ac:dyDescent="0.3">
      <c r="B103" s="52"/>
      <c r="C103" s="52"/>
      <c r="D103" s="52"/>
      <c r="E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</row>
    <row r="104" spans="2:33" x14ac:dyDescent="0.3">
      <c r="B104" s="52"/>
      <c r="C104" s="52"/>
      <c r="D104" s="52"/>
      <c r="E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</row>
    <row r="105" spans="2:33" x14ac:dyDescent="0.3">
      <c r="F105" s="70">
        <f>C89</f>
        <v>3514256100.5626106</v>
      </c>
      <c r="G105" s="71">
        <v>1</v>
      </c>
      <c r="H105" s="71">
        <v>2</v>
      </c>
      <c r="I105" s="71">
        <v>3</v>
      </c>
      <c r="J105" s="71">
        <v>4</v>
      </c>
      <c r="K105" s="71">
        <v>5</v>
      </c>
    </row>
    <row r="106" spans="2:33" x14ac:dyDescent="0.3">
      <c r="F106" s="72">
        <f>1200-0.6</f>
        <v>1199.4000000000001</v>
      </c>
      <c r="G106" s="73">
        <f t="dataTable" ref="G106:K116" dt2D="1" dtr="1" r1="C10" r2="C9" ca="1"/>
        <v>2260008292.2699103</v>
      </c>
      <c r="H106" s="73">
        <v>3514154396.5480986</v>
      </c>
      <c r="I106" s="73">
        <v>4768300500.8262873</v>
      </c>
      <c r="J106" s="73">
        <v>6022446605.104475</v>
      </c>
      <c r="K106" s="73">
        <v>7276592709.3826647</v>
      </c>
    </row>
    <row r="107" spans="2:33" x14ac:dyDescent="0.3">
      <c r="F107" s="72">
        <f>+F106+0.1</f>
        <v>1199.5</v>
      </c>
      <c r="G107" s="73">
        <v>2259991341.6008253</v>
      </c>
      <c r="H107" s="73">
        <v>3514171347.2171841</v>
      </c>
      <c r="I107" s="73">
        <v>4768351352.8335428</v>
      </c>
      <c r="J107" s="73">
        <v>6022531358.4499016</v>
      </c>
      <c r="K107" s="73">
        <v>7276711364.0662613</v>
      </c>
    </row>
    <row r="108" spans="2:33" x14ac:dyDescent="0.3">
      <c r="F108" s="72">
        <f>+F107+0.1</f>
        <v>1199.5999999999999</v>
      </c>
      <c r="G108" s="73">
        <v>2259974390.9317403</v>
      </c>
      <c r="H108" s="73">
        <v>3514188297.8862691</v>
      </c>
      <c r="I108" s="73">
        <v>4768402204.8408003</v>
      </c>
      <c r="J108" s="73">
        <v>6022616111.7953281</v>
      </c>
      <c r="K108" s="74">
        <v>7276830018.749856</v>
      </c>
    </row>
    <row r="109" spans="2:33" x14ac:dyDescent="0.3">
      <c r="F109" s="72">
        <f>+F108+0.1</f>
        <v>1199.6999999999998</v>
      </c>
      <c r="G109" s="73">
        <v>2259957440.2626543</v>
      </c>
      <c r="H109" s="73">
        <v>3514205248.5553541</v>
      </c>
      <c r="I109" s="73">
        <v>4768453056.8480549</v>
      </c>
      <c r="J109" s="73">
        <v>6022700865.1407537</v>
      </c>
      <c r="K109" s="74">
        <v>7276948673.4334545</v>
      </c>
    </row>
    <row r="110" spans="2:33" x14ac:dyDescent="0.3">
      <c r="F110" s="85">
        <v>1200</v>
      </c>
      <c r="G110" s="73">
        <v>2259906588.2553983</v>
      </c>
      <c r="H110" s="98">
        <v>3514256100.5626106</v>
      </c>
      <c r="I110" s="70">
        <v>4768605612.8698206</v>
      </c>
      <c r="J110" s="74">
        <v>6022955125.1770315</v>
      </c>
      <c r="K110" s="74">
        <v>7277304637.4842453</v>
      </c>
    </row>
    <row r="111" spans="2:33" x14ac:dyDescent="0.3">
      <c r="F111" s="72">
        <f t="shared" ref="F111:F116" si="18">+F110+0.1</f>
        <v>1200.0999999999999</v>
      </c>
      <c r="G111" s="73">
        <v>2259889637.5863132</v>
      </c>
      <c r="H111" s="73">
        <v>3514273051.2316957</v>
      </c>
      <c r="I111" s="74">
        <v>4768656464.8770781</v>
      </c>
      <c r="J111" s="74">
        <v>6023039878.522459</v>
      </c>
      <c r="K111" s="74">
        <v>7277423292.16784</v>
      </c>
    </row>
    <row r="112" spans="2:33" x14ac:dyDescent="0.3">
      <c r="F112" s="72">
        <f t="shared" si="18"/>
        <v>1200.1999999999998</v>
      </c>
      <c r="G112" s="73">
        <v>2259872686.9172282</v>
      </c>
      <c r="H112" s="74">
        <v>3514290001.9007807</v>
      </c>
      <c r="I112" s="74">
        <v>4768707316.8843336</v>
      </c>
      <c r="J112" s="74">
        <v>6023124631.8678856</v>
      </c>
      <c r="K112" s="74">
        <v>7277541946.8514366</v>
      </c>
    </row>
    <row r="113" spans="6:11" x14ac:dyDescent="0.3">
      <c r="F113" s="72">
        <f t="shared" si="18"/>
        <v>1200.2999999999997</v>
      </c>
      <c r="G113" s="74">
        <v>2259855736.2481427</v>
      </c>
      <c r="H113" s="74">
        <v>3514306952.5698657</v>
      </c>
      <c r="I113" s="74">
        <v>4768758168.8915882</v>
      </c>
      <c r="J113" s="74">
        <v>6023209385.2133112</v>
      </c>
      <c r="K113" s="74">
        <v>7277660601.5350351</v>
      </c>
    </row>
    <row r="114" spans="6:11" x14ac:dyDescent="0.3">
      <c r="F114" s="72">
        <f t="shared" si="18"/>
        <v>1200.3999999999996</v>
      </c>
      <c r="G114" s="74">
        <v>2259838785.5790582</v>
      </c>
      <c r="H114" s="74">
        <v>3514323903.2389517</v>
      </c>
      <c r="I114" s="74">
        <v>4768809020.8988447</v>
      </c>
      <c r="J114" s="74">
        <v>6023294138.5587368</v>
      </c>
      <c r="K114" s="74">
        <v>7277779256.2186298</v>
      </c>
    </row>
    <row r="115" spans="6:11" x14ac:dyDescent="0.3">
      <c r="F115" s="72">
        <f t="shared" si="18"/>
        <v>1200.4999999999995</v>
      </c>
      <c r="G115" s="74">
        <v>2259821834.9099722</v>
      </c>
      <c r="H115" s="74">
        <v>3514340853.9080362</v>
      </c>
      <c r="I115" s="74">
        <v>4768859872.9060993</v>
      </c>
      <c r="J115" s="74">
        <v>6023378891.9041624</v>
      </c>
      <c r="K115" s="74">
        <v>7277897910.9022264</v>
      </c>
    </row>
    <row r="116" spans="6:11" x14ac:dyDescent="0.3">
      <c r="F116" s="72">
        <f t="shared" si="18"/>
        <v>1200.5999999999995</v>
      </c>
      <c r="G116" s="74">
        <v>2259804884.2408872</v>
      </c>
      <c r="H116" s="74">
        <v>3514357804.5771213</v>
      </c>
      <c r="I116" s="74">
        <v>4768910724.9133558</v>
      </c>
      <c r="J116" s="74">
        <v>6023463645.249589</v>
      </c>
      <c r="K116" s="74">
        <v>7278016565.585824</v>
      </c>
    </row>
  </sheetData>
  <mergeCells count="17">
    <mergeCell ref="D90:E90"/>
    <mergeCell ref="D91:E91"/>
    <mergeCell ref="D92:E92"/>
    <mergeCell ref="D93:E93"/>
    <mergeCell ref="F53:F63"/>
    <mergeCell ref="H51:L51"/>
    <mergeCell ref="B53:B63"/>
    <mergeCell ref="B50:D50"/>
    <mergeCell ref="D89:E89"/>
    <mergeCell ref="I50:J50"/>
    <mergeCell ref="D34:E34"/>
    <mergeCell ref="D35:E35"/>
    <mergeCell ref="D36:E36"/>
    <mergeCell ref="D37:E37"/>
    <mergeCell ref="D38:E38"/>
    <mergeCell ref="D39:E39"/>
    <mergeCell ref="B40:E40"/>
  </mergeCells>
  <conditionalFormatting sqref="H53:L63">
    <cfRule type="cellIs" dxfId="17" priority="1" operator="lessThan">
      <formula>$I$57</formula>
    </cfRule>
    <cfRule type="cellIs" dxfId="16" priority="2" operator="greaterThan">
      <formula>$I$57</formula>
    </cfRule>
    <cfRule type="cellIs" dxfId="15" priority="13" operator="greaterThan">
      <formula>$G$52</formula>
    </cfRule>
  </conditionalFormatting>
  <conditionalFormatting sqref="H53:I63">
    <cfRule type="cellIs" dxfId="14" priority="12" operator="lessThan">
      <formula>$C$34</formula>
    </cfRule>
  </conditionalFormatting>
  <conditionalFormatting sqref="D53:D63">
    <cfRule type="cellIs" dxfId="13" priority="10" operator="greaterThan">
      <formula>$C$34</formula>
    </cfRule>
    <cfRule type="cellIs" dxfId="12" priority="11" operator="greaterThan">
      <formula>$D$52</formula>
    </cfRule>
  </conditionalFormatting>
  <conditionalFormatting sqref="D53:D56">
    <cfRule type="cellIs" dxfId="11" priority="9" operator="lessThan">
      <formula>$C$34</formula>
    </cfRule>
  </conditionalFormatting>
  <conditionalFormatting sqref="G106:K116">
    <cfRule type="cellIs" dxfId="10" priority="4" operator="greaterThan">
      <formula>$H$111</formula>
    </cfRule>
    <cfRule type="cellIs" dxfId="9" priority="5" operator="lessThan">
      <formula>$C$89</formula>
    </cfRule>
    <cfRule type="cellIs" dxfId="8" priority="6" operator="greaterThan">
      <formula>$C$89</formula>
    </cfRule>
    <cfRule type="cellIs" dxfId="7" priority="8" operator="greaterThan">
      <formula>$G$52</formula>
    </cfRule>
  </conditionalFormatting>
  <conditionalFormatting sqref="G106:H116">
    <cfRule type="cellIs" dxfId="6" priority="7" operator="lessThan">
      <formula>$C$34</formula>
    </cfRule>
  </conditionalFormatting>
  <conditionalFormatting sqref="K67">
    <cfRule type="cellIs" dxfId="5" priority="3" operator="greaterThan">
      <formula>$I$57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32"/>
  <sheetViews>
    <sheetView tabSelected="1" topLeftCell="D13" zoomScale="55" zoomScaleNormal="55" workbookViewId="0">
      <selection activeCell="D37" sqref="D37"/>
    </sheetView>
  </sheetViews>
  <sheetFormatPr baseColWidth="10" defaultRowHeight="14.4" x14ac:dyDescent="0.3"/>
  <cols>
    <col min="2" max="2" width="16" customWidth="1"/>
    <col min="3" max="3" width="45.44140625" customWidth="1"/>
    <col min="4" max="4" width="23.6640625" customWidth="1"/>
    <col min="5" max="5" width="20.33203125" customWidth="1"/>
    <col min="6" max="6" width="19.5546875" bestFit="1" customWidth="1"/>
    <col min="7" max="7" width="31.21875" customWidth="1"/>
    <col min="8" max="8" width="24.88671875" customWidth="1"/>
    <col min="9" max="14" width="19.5546875" bestFit="1" customWidth="1"/>
  </cols>
  <sheetData>
    <row r="2" spans="3:14" ht="15.6" x14ac:dyDescent="0.3">
      <c r="C2" s="7" t="s">
        <v>184</v>
      </c>
      <c r="D2" s="8">
        <v>2500</v>
      </c>
    </row>
    <row r="3" spans="3:14" ht="32.4" customHeight="1" x14ac:dyDescent="0.3">
      <c r="C3" s="11" t="s">
        <v>186</v>
      </c>
      <c r="D3" s="8">
        <f>D129</f>
        <v>300</v>
      </c>
    </row>
    <row r="4" spans="3:14" ht="31.2" customHeight="1" x14ac:dyDescent="0.3">
      <c r="C4" s="11" t="s">
        <v>99</v>
      </c>
      <c r="D4" s="15">
        <v>0.75</v>
      </c>
      <c r="E4" s="49" t="s">
        <v>82</v>
      </c>
      <c r="F4" s="49" t="s">
        <v>83</v>
      </c>
      <c r="G4" s="45" t="s">
        <v>116</v>
      </c>
      <c r="H4" s="36" t="s">
        <v>11</v>
      </c>
      <c r="J4" s="193" t="s">
        <v>79</v>
      </c>
      <c r="K4" s="194"/>
      <c r="L4" s="195"/>
    </row>
    <row r="5" spans="3:14" ht="30" x14ac:dyDescent="0.3">
      <c r="C5" s="11" t="s">
        <v>76</v>
      </c>
      <c r="D5" s="8">
        <f>F5</f>
        <v>863.06098964326816</v>
      </c>
      <c r="E5" s="8">
        <f>+L7*K7</f>
        <v>180000</v>
      </c>
      <c r="F5" s="12">
        <f>+E5/(48*4.345)</f>
        <v>863.06098964326816</v>
      </c>
      <c r="G5" s="37" t="s">
        <v>66</v>
      </c>
      <c r="H5" s="38">
        <f>+(D8-D6)*(D3-D7)/2*D2</f>
        <v>-1718403.7500000002</v>
      </c>
      <c r="J5" s="36" t="s">
        <v>72</v>
      </c>
      <c r="K5" s="42">
        <v>0.8</v>
      </c>
      <c r="L5" s="43">
        <v>18000000</v>
      </c>
    </row>
    <row r="6" spans="3:14" ht="15.6" x14ac:dyDescent="0.3">
      <c r="C6" s="11" t="s">
        <v>194</v>
      </c>
      <c r="D6" s="156">
        <f>D131</f>
        <v>6.0722199999999997</v>
      </c>
      <c r="F6" s="1"/>
      <c r="G6" s="39" t="s">
        <v>67</v>
      </c>
      <c r="H6" s="40">
        <f>+(D8-D6) *D7*D2</f>
        <v>6382642.5000000009</v>
      </c>
      <c r="J6" s="36" t="s">
        <v>80</v>
      </c>
      <c r="K6" s="42">
        <v>0.9</v>
      </c>
      <c r="L6" s="43">
        <v>200000000</v>
      </c>
    </row>
    <row r="7" spans="3:14" ht="15.6" x14ac:dyDescent="0.3">
      <c r="C7" s="11" t="s">
        <v>191</v>
      </c>
      <c r="D7" s="8">
        <v>650</v>
      </c>
      <c r="G7" s="41" t="s">
        <v>6</v>
      </c>
      <c r="H7" s="38">
        <f>(+H5+H6)</f>
        <v>4664238.7500000009</v>
      </c>
      <c r="J7" s="36" t="s">
        <v>81</v>
      </c>
      <c r="K7" s="36">
        <v>0.6</v>
      </c>
      <c r="L7" s="43">
        <v>300000</v>
      </c>
    </row>
    <row r="8" spans="3:14" ht="15.6" x14ac:dyDescent="0.3">
      <c r="C8" s="11" t="s">
        <v>100</v>
      </c>
      <c r="D8" s="8">
        <v>10</v>
      </c>
      <c r="J8" s="36" t="s">
        <v>98</v>
      </c>
      <c r="K8" s="44">
        <v>0.15</v>
      </c>
      <c r="L8" s="36"/>
    </row>
    <row r="9" spans="3:14" ht="15" x14ac:dyDescent="0.3">
      <c r="C9" s="6" t="s">
        <v>101</v>
      </c>
      <c r="D9" s="14">
        <v>0.4</v>
      </c>
    </row>
    <row r="11" spans="3:14" ht="15" x14ac:dyDescent="0.3">
      <c r="C11" s="6" t="s">
        <v>85</v>
      </c>
      <c r="D11" s="1"/>
      <c r="E11" s="14">
        <v>0.05</v>
      </c>
      <c r="F11" s="14">
        <v>0.05</v>
      </c>
      <c r="G11" s="14">
        <v>0.05</v>
      </c>
      <c r="H11" s="14">
        <v>0.05</v>
      </c>
      <c r="I11" s="14">
        <v>0.05</v>
      </c>
      <c r="J11" s="14">
        <v>0.05</v>
      </c>
      <c r="K11" s="14">
        <v>0.05</v>
      </c>
      <c r="L11" s="14">
        <v>0.05</v>
      </c>
      <c r="M11" s="14">
        <v>0.05</v>
      </c>
      <c r="N11" s="14">
        <v>0.05</v>
      </c>
    </row>
    <row r="12" spans="3:14" ht="15" x14ac:dyDescent="0.3">
      <c r="C12" s="6" t="s">
        <v>86</v>
      </c>
      <c r="D12" s="1"/>
      <c r="E12" s="14">
        <v>0.06</v>
      </c>
      <c r="F12" s="14">
        <v>0.06</v>
      </c>
      <c r="G12" s="14">
        <v>0.06</v>
      </c>
      <c r="H12" s="14">
        <v>0.06</v>
      </c>
      <c r="I12" s="14">
        <v>0.06</v>
      </c>
      <c r="J12" s="14">
        <v>0.06</v>
      </c>
      <c r="K12" s="14">
        <v>0.06</v>
      </c>
      <c r="L12" s="14">
        <v>0.06</v>
      </c>
      <c r="M12" s="14">
        <v>0.06</v>
      </c>
      <c r="N12" s="14">
        <v>0.06</v>
      </c>
    </row>
    <row r="13" spans="3:14" x14ac:dyDescent="0.3">
      <c r="C13" s="5"/>
    </row>
    <row r="14" spans="3:14" ht="49.2" customHeight="1" x14ac:dyDescent="0.3">
      <c r="C14" s="80" t="s">
        <v>84</v>
      </c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</row>
    <row r="15" spans="3:14" x14ac:dyDescent="0.3">
      <c r="C15" s="59"/>
      <c r="D15" s="66">
        <v>0</v>
      </c>
      <c r="E15" s="66">
        <f t="shared" ref="E15:N15" si="0">+D15+1</f>
        <v>1</v>
      </c>
      <c r="F15" s="66">
        <f t="shared" si="0"/>
        <v>2</v>
      </c>
      <c r="G15" s="66">
        <f t="shared" si="0"/>
        <v>3</v>
      </c>
      <c r="H15" s="66">
        <f t="shared" si="0"/>
        <v>4</v>
      </c>
      <c r="I15" s="66">
        <f t="shared" si="0"/>
        <v>5</v>
      </c>
      <c r="J15" s="66">
        <f t="shared" si="0"/>
        <v>6</v>
      </c>
      <c r="K15" s="66">
        <f t="shared" si="0"/>
        <v>7</v>
      </c>
      <c r="L15" s="66">
        <f t="shared" si="0"/>
        <v>8</v>
      </c>
      <c r="M15" s="66">
        <f t="shared" si="0"/>
        <v>9</v>
      </c>
      <c r="N15" s="66">
        <f t="shared" si="0"/>
        <v>10</v>
      </c>
    </row>
    <row r="16" spans="3:14" x14ac:dyDescent="0.3">
      <c r="C16" s="67" t="s">
        <v>102</v>
      </c>
      <c r="D16" s="59"/>
      <c r="E16" s="75">
        <f>+(D7*D8*D2)*12</f>
        <v>195000000</v>
      </c>
      <c r="F16" s="75">
        <f>+E16*(1+F11)</f>
        <v>204750000</v>
      </c>
      <c r="G16" s="75">
        <f t="shared" ref="G16:N16" si="1">+F16*(1+G11)</f>
        <v>214987500</v>
      </c>
      <c r="H16" s="75">
        <f t="shared" si="1"/>
        <v>225736875</v>
      </c>
      <c r="I16" s="75">
        <f t="shared" si="1"/>
        <v>237023718.75</v>
      </c>
      <c r="J16" s="75">
        <f t="shared" si="1"/>
        <v>248874904.6875</v>
      </c>
      <c r="K16" s="75">
        <f t="shared" si="1"/>
        <v>261318649.921875</v>
      </c>
      <c r="L16" s="75">
        <f t="shared" si="1"/>
        <v>274384582.41796875</v>
      </c>
      <c r="M16" s="75">
        <f t="shared" si="1"/>
        <v>288103811.53886718</v>
      </c>
      <c r="N16" s="75">
        <f t="shared" si="1"/>
        <v>302509002.11581057</v>
      </c>
    </row>
    <row r="17" spans="3:14" ht="36" customHeight="1" x14ac:dyDescent="0.3">
      <c r="C17" s="67" t="s">
        <v>87</v>
      </c>
      <c r="D17" s="59"/>
      <c r="E17" s="75"/>
      <c r="F17" s="75"/>
      <c r="G17" s="75"/>
      <c r="H17" s="75"/>
      <c r="I17" s="75"/>
      <c r="J17" s="75"/>
      <c r="K17" s="75"/>
      <c r="L17" s="75"/>
      <c r="M17" s="75"/>
      <c r="N17" s="75">
        <f>+D28*2/3</f>
        <v>133333333.33333333</v>
      </c>
    </row>
    <row r="18" spans="3:14" x14ac:dyDescent="0.3">
      <c r="C18" s="67" t="s">
        <v>88</v>
      </c>
      <c r="D18" s="59"/>
      <c r="E18" s="75">
        <f>+E16+E17</f>
        <v>195000000</v>
      </c>
      <c r="F18" s="75">
        <f t="shared" ref="F18:N18" si="2">+F16+F17</f>
        <v>204750000</v>
      </c>
      <c r="G18" s="75">
        <f t="shared" si="2"/>
        <v>214987500</v>
      </c>
      <c r="H18" s="75">
        <f t="shared" si="2"/>
        <v>225736875</v>
      </c>
      <c r="I18" s="75">
        <f t="shared" si="2"/>
        <v>237023718.75</v>
      </c>
      <c r="J18" s="75">
        <f t="shared" si="2"/>
        <v>248874904.6875</v>
      </c>
      <c r="K18" s="75">
        <f t="shared" si="2"/>
        <v>261318649.921875</v>
      </c>
      <c r="L18" s="75">
        <f t="shared" si="2"/>
        <v>274384582.41796875</v>
      </c>
      <c r="M18" s="75">
        <f t="shared" si="2"/>
        <v>288103811.53886718</v>
      </c>
      <c r="N18" s="75">
        <f t="shared" si="2"/>
        <v>435842335.44914389</v>
      </c>
    </row>
    <row r="19" spans="3:14" x14ac:dyDescent="0.3"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</row>
    <row r="20" spans="3:14" x14ac:dyDescent="0.3">
      <c r="C20" s="67" t="s">
        <v>89</v>
      </c>
      <c r="D20" s="75"/>
      <c r="E20" s="75">
        <f>+L5</f>
        <v>18000000</v>
      </c>
      <c r="F20" s="75">
        <f>+E20*(1+F12)</f>
        <v>19080000</v>
      </c>
      <c r="G20" s="75">
        <f t="shared" ref="G20:N20" si="3">+F20*(1+G12)</f>
        <v>20224800</v>
      </c>
      <c r="H20" s="75">
        <f t="shared" si="3"/>
        <v>21438288</v>
      </c>
      <c r="I20" s="75">
        <f t="shared" si="3"/>
        <v>22724585.280000001</v>
      </c>
      <c r="J20" s="75">
        <f t="shared" si="3"/>
        <v>24088060.396800004</v>
      </c>
      <c r="K20" s="75">
        <f t="shared" si="3"/>
        <v>25533344.020608004</v>
      </c>
      <c r="L20" s="75">
        <f t="shared" si="3"/>
        <v>27065344.661844485</v>
      </c>
      <c r="M20" s="75">
        <f t="shared" si="3"/>
        <v>28689265.341555156</v>
      </c>
      <c r="N20" s="75">
        <f t="shared" si="3"/>
        <v>30410621.262048468</v>
      </c>
    </row>
    <row r="21" spans="3:14" x14ac:dyDescent="0.3">
      <c r="C21" s="67" t="s">
        <v>92</v>
      </c>
      <c r="D21" s="75"/>
      <c r="E21" s="75">
        <f>+$L$6/30</f>
        <v>6666666.666666667</v>
      </c>
      <c r="F21" s="75">
        <f t="shared" ref="F21:N21" si="4">+$L$6/30</f>
        <v>6666666.666666667</v>
      </c>
      <c r="G21" s="75">
        <f t="shared" si="4"/>
        <v>6666666.666666667</v>
      </c>
      <c r="H21" s="75">
        <f t="shared" si="4"/>
        <v>6666666.666666667</v>
      </c>
      <c r="I21" s="75">
        <f t="shared" si="4"/>
        <v>6666666.666666667</v>
      </c>
      <c r="J21" s="75">
        <f t="shared" si="4"/>
        <v>6666666.666666667</v>
      </c>
      <c r="K21" s="75">
        <f t="shared" si="4"/>
        <v>6666666.666666667</v>
      </c>
      <c r="L21" s="75">
        <f t="shared" si="4"/>
        <v>6666666.666666667</v>
      </c>
      <c r="M21" s="75">
        <f t="shared" si="4"/>
        <v>6666666.666666667</v>
      </c>
      <c r="N21" s="75">
        <f t="shared" si="4"/>
        <v>6666666.666666667</v>
      </c>
    </row>
    <row r="22" spans="3:14" x14ac:dyDescent="0.3">
      <c r="C22" s="67" t="s">
        <v>93</v>
      </c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>
        <f>+N17</f>
        <v>133333333.33333333</v>
      </c>
    </row>
    <row r="23" spans="3:14" x14ac:dyDescent="0.3">
      <c r="C23" s="82" t="s">
        <v>90</v>
      </c>
      <c r="D23" s="75"/>
      <c r="E23" s="75">
        <f t="shared" ref="E23:N23" si="5">+E18-E20-E21-E22</f>
        <v>170333333.33333334</v>
      </c>
      <c r="F23" s="75">
        <f t="shared" si="5"/>
        <v>179003333.33333334</v>
      </c>
      <c r="G23" s="75">
        <f t="shared" si="5"/>
        <v>188096033.33333334</v>
      </c>
      <c r="H23" s="75">
        <f t="shared" si="5"/>
        <v>197631920.33333334</v>
      </c>
      <c r="I23" s="75">
        <f t="shared" si="5"/>
        <v>207632466.80333334</v>
      </c>
      <c r="J23" s="75">
        <f t="shared" si="5"/>
        <v>218120177.62403333</v>
      </c>
      <c r="K23" s="75">
        <f t="shared" si="5"/>
        <v>229118639.23460034</v>
      </c>
      <c r="L23" s="75">
        <f t="shared" si="5"/>
        <v>240652571.0894576</v>
      </c>
      <c r="M23" s="75">
        <f>+M18-M20-M21-M22</f>
        <v>252747879.53064537</v>
      </c>
      <c r="N23" s="75">
        <f t="shared" si="5"/>
        <v>265431714.1870954</v>
      </c>
    </row>
    <row r="24" spans="3:14" x14ac:dyDescent="0.3">
      <c r="C24" s="67" t="s">
        <v>91</v>
      </c>
      <c r="D24" s="75"/>
      <c r="E24" s="75">
        <f>+IF(E23&lt;0,0,E23*$K$8)</f>
        <v>25550000</v>
      </c>
      <c r="F24" s="75">
        <f t="shared" ref="F24:N24" si="6">+IF(F23&lt;0,0,F23*$K$8)</f>
        <v>26850500</v>
      </c>
      <c r="G24" s="75">
        <f t="shared" si="6"/>
        <v>28214405</v>
      </c>
      <c r="H24" s="75">
        <f t="shared" si="6"/>
        <v>29644788.050000001</v>
      </c>
      <c r="I24" s="75">
        <f t="shared" si="6"/>
        <v>31144870.020500001</v>
      </c>
      <c r="J24" s="75">
        <f t="shared" si="6"/>
        <v>32718026.643604998</v>
      </c>
      <c r="K24" s="75">
        <f t="shared" si="6"/>
        <v>34367795.885190047</v>
      </c>
      <c r="L24" s="75">
        <f t="shared" si="6"/>
        <v>36097885.663418636</v>
      </c>
      <c r="M24" s="75">
        <f t="shared" si="6"/>
        <v>37912181.929596804</v>
      </c>
      <c r="N24" s="75">
        <f t="shared" si="6"/>
        <v>39814757.128064312</v>
      </c>
    </row>
    <row r="25" spans="3:14" x14ac:dyDescent="0.3">
      <c r="C25" s="82" t="s">
        <v>90</v>
      </c>
      <c r="D25" s="75"/>
      <c r="E25" s="75">
        <f>+E23-E24</f>
        <v>144783333.33333334</v>
      </c>
      <c r="F25" s="75">
        <f t="shared" ref="F25:N25" si="7">+F23-F24</f>
        <v>152152833.33333334</v>
      </c>
      <c r="G25" s="75">
        <f t="shared" si="7"/>
        <v>159881628.33333334</v>
      </c>
      <c r="H25" s="75">
        <f t="shared" si="7"/>
        <v>167987132.28333333</v>
      </c>
      <c r="I25" s="75">
        <f t="shared" si="7"/>
        <v>176487596.78283334</v>
      </c>
      <c r="J25" s="75">
        <f t="shared" si="7"/>
        <v>185402150.98042834</v>
      </c>
      <c r="K25" s="75">
        <f t="shared" si="7"/>
        <v>194750843.3494103</v>
      </c>
      <c r="L25" s="75">
        <f t="shared" si="7"/>
        <v>204554685.42603898</v>
      </c>
      <c r="M25" s="75">
        <f t="shared" si="7"/>
        <v>214835697.60104856</v>
      </c>
      <c r="N25" s="75">
        <f t="shared" si="7"/>
        <v>225616957.0590311</v>
      </c>
    </row>
    <row r="26" spans="3:14" x14ac:dyDescent="0.3">
      <c r="C26" s="67" t="s">
        <v>92</v>
      </c>
      <c r="D26" s="75"/>
      <c r="E26" s="75">
        <f t="shared" ref="E26:N26" si="8">+E21</f>
        <v>6666666.666666667</v>
      </c>
      <c r="F26" s="75">
        <f t="shared" si="8"/>
        <v>6666666.666666667</v>
      </c>
      <c r="G26" s="75">
        <f t="shared" si="8"/>
        <v>6666666.666666667</v>
      </c>
      <c r="H26" s="75">
        <f t="shared" si="8"/>
        <v>6666666.666666667</v>
      </c>
      <c r="I26" s="75">
        <f t="shared" si="8"/>
        <v>6666666.666666667</v>
      </c>
      <c r="J26" s="75">
        <f t="shared" si="8"/>
        <v>6666666.666666667</v>
      </c>
      <c r="K26" s="75">
        <f t="shared" si="8"/>
        <v>6666666.666666667</v>
      </c>
      <c r="L26" s="75">
        <f t="shared" si="8"/>
        <v>6666666.666666667</v>
      </c>
      <c r="M26" s="75">
        <f t="shared" si="8"/>
        <v>6666666.666666667</v>
      </c>
      <c r="N26" s="75">
        <f t="shared" si="8"/>
        <v>6666666.666666667</v>
      </c>
    </row>
    <row r="27" spans="3:14" x14ac:dyDescent="0.3">
      <c r="C27" s="67" t="s">
        <v>93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>
        <f>+N22</f>
        <v>133333333.33333333</v>
      </c>
    </row>
    <row r="28" spans="3:14" x14ac:dyDescent="0.3">
      <c r="C28" s="67" t="s">
        <v>70</v>
      </c>
      <c r="D28" s="75">
        <f>+L6</f>
        <v>200000000</v>
      </c>
      <c r="E28" s="75"/>
      <c r="F28" s="75"/>
      <c r="G28" s="75"/>
      <c r="H28" s="75"/>
      <c r="I28" s="75"/>
      <c r="J28" s="75"/>
      <c r="K28" s="75"/>
      <c r="L28" s="75"/>
      <c r="M28" s="75"/>
      <c r="N28" s="75"/>
    </row>
    <row r="29" spans="3:14" x14ac:dyDescent="0.3">
      <c r="C29" s="67" t="s">
        <v>71</v>
      </c>
      <c r="D29" s="75"/>
      <c r="E29" s="75"/>
      <c r="F29" s="75"/>
      <c r="G29" s="75"/>
      <c r="H29" s="75"/>
      <c r="I29" s="75">
        <f>+D28*0.1</f>
        <v>20000000</v>
      </c>
      <c r="J29" s="75"/>
      <c r="K29" s="75"/>
      <c r="L29" s="75"/>
      <c r="M29" s="75"/>
      <c r="N29" s="75"/>
    </row>
    <row r="30" spans="3:14" x14ac:dyDescent="0.3">
      <c r="C30" s="80" t="s">
        <v>94</v>
      </c>
      <c r="D30" s="83">
        <f>-D28</f>
        <v>-200000000</v>
      </c>
      <c r="E30" s="83">
        <f>+E25+E26+E27-E29</f>
        <v>151450000</v>
      </c>
      <c r="F30" s="83">
        <f t="shared" ref="F30:N30" si="9">+F25+F26+F27-F29</f>
        <v>158819500</v>
      </c>
      <c r="G30" s="83">
        <f t="shared" si="9"/>
        <v>166548295</v>
      </c>
      <c r="H30" s="83">
        <f t="shared" si="9"/>
        <v>174653798.94999999</v>
      </c>
      <c r="I30" s="83">
        <f t="shared" si="9"/>
        <v>163154263.44949999</v>
      </c>
      <c r="J30" s="83">
        <f t="shared" si="9"/>
        <v>192068817.64709499</v>
      </c>
      <c r="K30" s="83">
        <f t="shared" si="9"/>
        <v>201417510.01607695</v>
      </c>
      <c r="L30" s="83">
        <f t="shared" si="9"/>
        <v>211221352.09270564</v>
      </c>
      <c r="M30" s="83">
        <f t="shared" si="9"/>
        <v>221502364.26771522</v>
      </c>
      <c r="N30" s="83">
        <f>+N25+N26+N27-N29</f>
        <v>365616957.05903107</v>
      </c>
    </row>
    <row r="31" spans="3:14" ht="15.6" x14ac:dyDescent="0.3"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</row>
    <row r="32" spans="3:14" ht="15.6" x14ac:dyDescent="0.3">
      <c r="C32" s="22" t="s">
        <v>75</v>
      </c>
      <c r="D32" s="2">
        <f>NPV(D33,E30:N30)+D30</f>
        <v>723414903.02866364</v>
      </c>
      <c r="E32" s="29"/>
      <c r="F32" s="29"/>
      <c r="G32" s="29"/>
      <c r="H32" s="29"/>
      <c r="I32" s="29"/>
      <c r="J32" s="29"/>
      <c r="K32" s="29"/>
      <c r="L32" s="29"/>
      <c r="M32" s="29"/>
      <c r="N32" s="29"/>
    </row>
    <row r="33" spans="3:14" ht="15.6" x14ac:dyDescent="0.3">
      <c r="C33" s="23" t="s">
        <v>95</v>
      </c>
      <c r="D33" s="26">
        <v>0.15</v>
      </c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3:14" ht="15.6" x14ac:dyDescent="0.3">
      <c r="C34" s="23" t="s">
        <v>45</v>
      </c>
      <c r="D34" s="27">
        <f>+D35/D36</f>
        <v>4.6170745151433179</v>
      </c>
      <c r="E34" s="29"/>
      <c r="F34" s="29"/>
      <c r="G34" s="29"/>
      <c r="H34" s="29"/>
      <c r="I34" s="29"/>
      <c r="J34" s="29"/>
      <c r="K34" s="29"/>
      <c r="L34" s="29"/>
      <c r="M34" s="29"/>
      <c r="N34" s="29"/>
    </row>
    <row r="35" spans="3:14" ht="15.6" x14ac:dyDescent="0.3">
      <c r="C35" s="23" t="s">
        <v>46</v>
      </c>
      <c r="D35" s="2">
        <f>NPV(D33,E30:N30)</f>
        <v>923414903.02866364</v>
      </c>
      <c r="E35" s="29"/>
      <c r="F35" s="29"/>
      <c r="G35" s="29"/>
      <c r="H35" s="29"/>
      <c r="I35" s="29"/>
      <c r="J35" s="29"/>
      <c r="K35" s="29"/>
      <c r="L35" s="29"/>
      <c r="M35" s="29"/>
      <c r="N35" s="29"/>
    </row>
    <row r="36" spans="3:14" ht="15.6" x14ac:dyDescent="0.3">
      <c r="C36" s="23" t="s">
        <v>47</v>
      </c>
      <c r="D36" s="2">
        <f>-D30</f>
        <v>200000000</v>
      </c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3:14" x14ac:dyDescent="0.3">
      <c r="C37" s="32" t="s">
        <v>179</v>
      </c>
      <c r="D37" s="220">
        <f>IRR(D30:N30)</f>
        <v>0.79992835350437241</v>
      </c>
    </row>
    <row r="38" spans="3:14" x14ac:dyDescent="0.3">
      <c r="C38" s="5"/>
      <c r="D38" s="142"/>
    </row>
    <row r="39" spans="3:14" x14ac:dyDescent="0.3">
      <c r="C39" s="5"/>
      <c r="D39" s="142"/>
    </row>
    <row r="40" spans="3:14" x14ac:dyDescent="0.3">
      <c r="C40" s="5"/>
      <c r="D40" s="142"/>
    </row>
    <row r="41" spans="3:14" x14ac:dyDescent="0.3">
      <c r="C41" s="152"/>
      <c r="D41" s="141"/>
      <c r="E41" s="150"/>
      <c r="F41" s="153"/>
    </row>
    <row r="42" spans="3:14" x14ac:dyDescent="0.3">
      <c r="C42" s="152"/>
      <c r="D42" s="141"/>
      <c r="E42" s="151"/>
      <c r="F42" s="153"/>
    </row>
    <row r="43" spans="3:14" x14ac:dyDescent="0.3">
      <c r="C43" s="152"/>
      <c r="D43" s="141"/>
      <c r="E43" s="151"/>
      <c r="F43" s="153"/>
    </row>
    <row r="44" spans="3:14" x14ac:dyDescent="0.3">
      <c r="C44" s="152"/>
      <c r="D44" s="141"/>
      <c r="E44" s="151"/>
      <c r="F44" s="153"/>
    </row>
    <row r="45" spans="3:14" x14ac:dyDescent="0.3">
      <c r="C45" s="5"/>
      <c r="D45" s="142"/>
    </row>
    <row r="46" spans="3:14" x14ac:dyDescent="0.3">
      <c r="C46" s="5"/>
      <c r="D46" s="142"/>
    </row>
    <row r="47" spans="3:14" x14ac:dyDescent="0.3">
      <c r="C47" s="5"/>
      <c r="D47" s="142"/>
    </row>
    <row r="48" spans="3:14" x14ac:dyDescent="0.3">
      <c r="C48" s="5"/>
      <c r="D48" s="142"/>
    </row>
    <row r="49" spans="2:13" x14ac:dyDescent="0.3">
      <c r="C49" s="5"/>
      <c r="D49" s="142"/>
    </row>
    <row r="50" spans="2:13" x14ac:dyDescent="0.3">
      <c r="C50" s="5"/>
      <c r="D50" s="142"/>
    </row>
    <row r="51" spans="2:13" x14ac:dyDescent="0.3">
      <c r="C51" s="5"/>
      <c r="D51" s="142"/>
    </row>
    <row r="52" spans="2:13" x14ac:dyDescent="0.3">
      <c r="C52" s="5"/>
      <c r="D52" s="142"/>
    </row>
    <row r="53" spans="2:13" x14ac:dyDescent="0.3">
      <c r="C53" s="5"/>
      <c r="D53" s="142"/>
    </row>
    <row r="54" spans="2:13" ht="15" thickBot="1" x14ac:dyDescent="0.35">
      <c r="C54" s="5" t="s">
        <v>97</v>
      </c>
    </row>
    <row r="55" spans="2:13" ht="34.950000000000003" customHeight="1" thickBot="1" x14ac:dyDescent="0.6">
      <c r="C55" s="5"/>
      <c r="I55" s="202" t="s">
        <v>132</v>
      </c>
      <c r="J55" s="203"/>
      <c r="K55" s="203"/>
      <c r="L55" s="203"/>
      <c r="M55" s="204"/>
    </row>
    <row r="56" spans="2:13" ht="15" thickBot="1" x14ac:dyDescent="0.35">
      <c r="C56" s="5"/>
      <c r="E56" s="16">
        <f>+D32</f>
        <v>723414903.02866364</v>
      </c>
      <c r="H56" s="13">
        <f>D32</f>
        <v>723414903.02866364</v>
      </c>
      <c r="I56" s="20">
        <v>8</v>
      </c>
      <c r="J56" s="20">
        <v>9</v>
      </c>
      <c r="K56" s="20">
        <v>10</v>
      </c>
      <c r="L56" s="20">
        <v>11</v>
      </c>
      <c r="M56" s="20">
        <v>12</v>
      </c>
    </row>
    <row r="57" spans="2:13" x14ac:dyDescent="0.3">
      <c r="C57" s="5"/>
      <c r="D57" s="17">
        <v>156</v>
      </c>
      <c r="E57" s="18">
        <f t="dataTable" ref="E57:E67" dt2D="0" dtr="0" r1="D7"/>
        <v>-29082210.397654146</v>
      </c>
      <c r="G57" s="199" t="s">
        <v>177</v>
      </c>
      <c r="H57" s="94">
        <f>H58-(650*$C$58)</f>
        <v>156</v>
      </c>
      <c r="I57" s="18">
        <f t="dataTable" ref="I57:M67" dt2D="1" dtr="1" r1="D8" r2="D7" ca="1"/>
        <v>-76608343.877211079</v>
      </c>
      <c r="J57" s="18">
        <v>-52845277.137432605</v>
      </c>
      <c r="K57" s="18">
        <v>-29082210.397654146</v>
      </c>
      <c r="L57" s="18">
        <v>-5319143.6578756571</v>
      </c>
      <c r="M57" s="18">
        <v>18443923.081902742</v>
      </c>
    </row>
    <row r="58" spans="2:13" x14ac:dyDescent="0.3">
      <c r="B58" s="1" t="s">
        <v>130</v>
      </c>
      <c r="C58" s="157">
        <v>0.19</v>
      </c>
      <c r="D58" s="17">
        <v>279.5</v>
      </c>
      <c r="E58" s="18">
        <v>159042067.95892531</v>
      </c>
      <c r="G58" s="200"/>
      <c r="H58" s="94">
        <f>H59-(650*$C$58)</f>
        <v>279.5</v>
      </c>
      <c r="I58" s="18">
        <v>73891078.80805248</v>
      </c>
      <c r="J58" s="18">
        <v>116466573.38348895</v>
      </c>
      <c r="K58" s="18">
        <v>159042067.95892531</v>
      </c>
      <c r="L58" s="18">
        <v>201617562.53436172</v>
      </c>
      <c r="M58" s="18">
        <v>244193057.10979813</v>
      </c>
    </row>
    <row r="59" spans="2:13" x14ac:dyDescent="0.3">
      <c r="B59" s="1"/>
      <c r="C59" s="32" t="s">
        <v>131</v>
      </c>
      <c r="D59" s="17">
        <v>403</v>
      </c>
      <c r="E59" s="18">
        <v>347166346.31550467</v>
      </c>
      <c r="G59" s="200"/>
      <c r="H59" s="94">
        <f>H60-(650*$C$58)</f>
        <v>403</v>
      </c>
      <c r="I59" s="18">
        <v>224390501.49331605</v>
      </c>
      <c r="J59" s="18">
        <v>285778423.90441048</v>
      </c>
      <c r="K59" s="18">
        <v>347166346.31550467</v>
      </c>
      <c r="L59" s="18">
        <v>408554268.72659922</v>
      </c>
      <c r="M59" s="21">
        <v>469942191.13769352</v>
      </c>
    </row>
    <row r="60" spans="2:13" x14ac:dyDescent="0.3">
      <c r="C60" s="5"/>
      <c r="D60" s="17">
        <v>526.5</v>
      </c>
      <c r="E60" s="18">
        <v>535290624.67208409</v>
      </c>
      <c r="G60" s="200"/>
      <c r="H60" s="94">
        <f>H61-(650*$C$58)</f>
        <v>526.5</v>
      </c>
      <c r="I60" s="18">
        <v>374889924.17857957</v>
      </c>
      <c r="J60" s="18">
        <v>455090274.42533183</v>
      </c>
      <c r="K60" s="18">
        <v>535290624.67208409</v>
      </c>
      <c r="L60" s="18">
        <v>615490974.91883647</v>
      </c>
      <c r="M60" s="21">
        <v>695691325.16558886</v>
      </c>
    </row>
    <row r="61" spans="2:13" ht="15.6" x14ac:dyDescent="0.3">
      <c r="C61" s="5"/>
      <c r="D61" s="19">
        <v>650</v>
      </c>
      <c r="E61" s="95">
        <v>723414903.02866364</v>
      </c>
      <c r="G61" s="200"/>
      <c r="H61" s="155">
        <v>650</v>
      </c>
      <c r="I61" s="18">
        <v>525389346.86384308</v>
      </c>
      <c r="J61" s="18">
        <v>624402124.94625342</v>
      </c>
      <c r="K61" s="13">
        <v>723414903.02866364</v>
      </c>
      <c r="L61" s="21">
        <v>822427681.11107397</v>
      </c>
      <c r="M61" s="21">
        <v>921440459.19348407</v>
      </c>
    </row>
    <row r="62" spans="2:13" x14ac:dyDescent="0.3">
      <c r="C62" s="5"/>
      <c r="D62" s="17">
        <v>773.5</v>
      </c>
      <c r="E62" s="18">
        <v>911539181.38524342</v>
      </c>
      <c r="G62" s="200"/>
      <c r="H62" s="94">
        <f t="shared" ref="H62:H67" si="10">H61*$C$58+650</f>
        <v>773.5</v>
      </c>
      <c r="I62" s="18">
        <v>675888769.54910684</v>
      </c>
      <c r="J62" s="18">
        <v>793713975.46717489</v>
      </c>
      <c r="K62" s="21">
        <v>911539181.38524342</v>
      </c>
      <c r="L62" s="21">
        <v>1029364387.3033113</v>
      </c>
      <c r="M62" s="21">
        <v>1147189593.2213795</v>
      </c>
    </row>
    <row r="63" spans="2:13" x14ac:dyDescent="0.3">
      <c r="C63" s="5"/>
      <c r="D63" s="17">
        <v>796.96500000000003</v>
      </c>
      <c r="E63" s="18">
        <v>947282794.27299333</v>
      </c>
      <c r="G63" s="200"/>
      <c r="H63" s="94">
        <f t="shared" si="10"/>
        <v>796.96500000000003</v>
      </c>
      <c r="I63" s="18">
        <v>704483659.85930681</v>
      </c>
      <c r="J63" s="21">
        <v>825883227.06615019</v>
      </c>
      <c r="K63" s="21">
        <v>947282794.27299333</v>
      </c>
      <c r="L63" s="21">
        <v>1068682361.4798362</v>
      </c>
      <c r="M63" s="21">
        <v>1190081928.6866794</v>
      </c>
    </row>
    <row r="64" spans="2:13" x14ac:dyDescent="0.3">
      <c r="C64" s="5"/>
      <c r="D64" s="17">
        <v>801.42335000000003</v>
      </c>
      <c r="E64" s="18">
        <v>954074080.72166586</v>
      </c>
      <c r="G64" s="200"/>
      <c r="H64" s="94">
        <f t="shared" si="10"/>
        <v>801.42335000000003</v>
      </c>
      <c r="I64" s="21">
        <v>709916689.01824498</v>
      </c>
      <c r="J64" s="21">
        <v>831995384.86995542</v>
      </c>
      <c r="K64" s="21">
        <v>954074080.72166586</v>
      </c>
      <c r="L64" s="21">
        <v>1076152776.5733764</v>
      </c>
      <c r="M64" s="21">
        <v>1198231472.4250867</v>
      </c>
    </row>
    <row r="65" spans="3:14" x14ac:dyDescent="0.3">
      <c r="C65" s="5"/>
      <c r="D65" s="17">
        <v>802.27043649999996</v>
      </c>
      <c r="E65" s="18">
        <v>955364425.14691353</v>
      </c>
      <c r="G65" s="200"/>
      <c r="H65" s="94">
        <f t="shared" si="10"/>
        <v>802.27043649999996</v>
      </c>
      <c r="I65" s="21">
        <v>710948964.55844331</v>
      </c>
      <c r="J65" s="21">
        <v>833156694.8526783</v>
      </c>
      <c r="K65" s="21">
        <v>955364425.14691353</v>
      </c>
      <c r="L65" s="21">
        <v>1077572155.441149</v>
      </c>
      <c r="M65" s="21">
        <v>1199779885.7353842</v>
      </c>
    </row>
    <row r="66" spans="3:14" x14ac:dyDescent="0.3">
      <c r="C66" s="5"/>
      <c r="D66" s="17">
        <v>802.43138293499999</v>
      </c>
      <c r="E66" s="18">
        <v>955609590.58771062</v>
      </c>
      <c r="G66" s="200"/>
      <c r="H66" s="94">
        <f t="shared" si="10"/>
        <v>802.43138293499999</v>
      </c>
      <c r="I66" s="21">
        <v>711145096.91108072</v>
      </c>
      <c r="J66" s="21">
        <v>833377343.74939573</v>
      </c>
      <c r="K66" s="21">
        <v>955609590.58771062</v>
      </c>
      <c r="L66" s="21">
        <v>1077841837.4260252</v>
      </c>
      <c r="M66" s="21">
        <v>1200074084.2643409</v>
      </c>
    </row>
    <row r="67" spans="3:14" ht="15" thickBot="1" x14ac:dyDescent="0.35">
      <c r="C67" s="5"/>
      <c r="D67" s="17">
        <v>802.46196275764999</v>
      </c>
      <c r="E67" s="18">
        <v>955656172.02146196</v>
      </c>
      <c r="G67" s="201"/>
      <c r="H67" s="94">
        <f t="shared" si="10"/>
        <v>802.46196275764999</v>
      </c>
      <c r="I67" s="21">
        <v>711182362.05808187</v>
      </c>
      <c r="J67" s="21">
        <v>833419267.03977203</v>
      </c>
      <c r="K67" s="21">
        <v>955656172.02146196</v>
      </c>
      <c r="L67" s="21">
        <v>1077893077.0031521</v>
      </c>
      <c r="M67" s="21">
        <v>1200129981.9848423</v>
      </c>
    </row>
    <row r="68" spans="3:14" x14ac:dyDescent="0.3">
      <c r="C68" s="5"/>
    </row>
    <row r="69" spans="3:14" x14ac:dyDescent="0.3">
      <c r="C69" s="5"/>
    </row>
    <row r="70" spans="3:14" x14ac:dyDescent="0.3">
      <c r="C70" s="5"/>
    </row>
    <row r="71" spans="3:14" x14ac:dyDescent="0.3">
      <c r="C71" s="5"/>
    </row>
    <row r="72" spans="3:14" x14ac:dyDescent="0.3">
      <c r="C72" s="5"/>
    </row>
    <row r="73" spans="3:14" x14ac:dyDescent="0.3">
      <c r="C73" s="5"/>
    </row>
    <row r="74" spans="3:14" x14ac:dyDescent="0.3">
      <c r="C74" s="5"/>
    </row>
    <row r="75" spans="3:14" x14ac:dyDescent="0.3">
      <c r="C75" s="5"/>
      <c r="H75" s="13"/>
    </row>
    <row r="76" spans="3:14" x14ac:dyDescent="0.3">
      <c r="C76" s="5"/>
    </row>
    <row r="77" spans="3:14" x14ac:dyDescent="0.3">
      <c r="C77" s="5"/>
    </row>
    <row r="78" spans="3:14" ht="49.95" customHeight="1" x14ac:dyDescent="0.3">
      <c r="C78" s="51" t="s">
        <v>103</v>
      </c>
    </row>
    <row r="79" spans="3:14" ht="15.6" x14ac:dyDescent="0.3">
      <c r="C79" s="24"/>
      <c r="D79" s="28">
        <v>0</v>
      </c>
      <c r="E79" s="28">
        <f>+D79+1</f>
        <v>1</v>
      </c>
      <c r="F79" s="28">
        <f t="shared" ref="F79:N79" si="11">+E79+1</f>
        <v>2</v>
      </c>
      <c r="G79" s="28">
        <f t="shared" si="11"/>
        <v>3</v>
      </c>
      <c r="H79" s="28">
        <f t="shared" si="11"/>
        <v>4</v>
      </c>
      <c r="I79" s="28">
        <f t="shared" si="11"/>
        <v>5</v>
      </c>
      <c r="J79" s="28">
        <f t="shared" si="11"/>
        <v>6</v>
      </c>
      <c r="K79" s="28">
        <f t="shared" si="11"/>
        <v>7</v>
      </c>
      <c r="L79" s="28">
        <f t="shared" si="11"/>
        <v>8</v>
      </c>
      <c r="M79" s="28">
        <f t="shared" si="11"/>
        <v>9</v>
      </c>
      <c r="N79" s="28">
        <f t="shared" si="11"/>
        <v>10</v>
      </c>
    </row>
    <row r="80" spans="3:14" ht="15.6" x14ac:dyDescent="0.3">
      <c r="C80" s="6" t="s">
        <v>96</v>
      </c>
      <c r="D80" s="7"/>
      <c r="E80" s="8">
        <f>+D5*D4*D2*D9*12</f>
        <v>7767548.9067894146</v>
      </c>
      <c r="F80" s="8">
        <f>+E80</f>
        <v>7767548.9067894146</v>
      </c>
      <c r="G80" s="8">
        <f t="shared" ref="G80:N83" si="12">+F80</f>
        <v>7767548.9067894146</v>
      </c>
      <c r="H80" s="8">
        <f t="shared" si="12"/>
        <v>7767548.9067894146</v>
      </c>
      <c r="I80" s="8">
        <f t="shared" si="12"/>
        <v>7767548.9067894146</v>
      </c>
      <c r="J80" s="8">
        <f t="shared" si="12"/>
        <v>7767548.9067894146</v>
      </c>
      <c r="K80" s="8">
        <f t="shared" si="12"/>
        <v>7767548.9067894146</v>
      </c>
      <c r="L80" s="8">
        <f t="shared" si="12"/>
        <v>7767548.9067894146</v>
      </c>
      <c r="M80" s="8">
        <f t="shared" si="12"/>
        <v>7767548.9067894146</v>
      </c>
      <c r="N80" s="8">
        <f t="shared" si="12"/>
        <v>7767548.9067894146</v>
      </c>
    </row>
    <row r="81" spans="3:15" ht="15.6" x14ac:dyDescent="0.3">
      <c r="C81" s="6" t="s">
        <v>122</v>
      </c>
      <c r="D81" s="7"/>
      <c r="E81" s="8">
        <f>+D121</f>
        <v>224002.33151639995</v>
      </c>
      <c r="F81" s="8">
        <f>D121</f>
        <v>224002.33151639995</v>
      </c>
      <c r="G81" s="8">
        <f>D121</f>
        <v>224002.33151639995</v>
      </c>
      <c r="H81" s="8">
        <f>D121</f>
        <v>224002.33151639995</v>
      </c>
      <c r="I81" s="8">
        <f>D121</f>
        <v>224002.33151639995</v>
      </c>
      <c r="J81" s="8">
        <f>D121</f>
        <v>224002.33151639995</v>
      </c>
      <c r="K81" s="8">
        <f>D121</f>
        <v>224002.33151639995</v>
      </c>
      <c r="L81" s="8">
        <f>D121</f>
        <v>224002.33151639995</v>
      </c>
      <c r="M81" s="8">
        <f>D121</f>
        <v>224002.33151639995</v>
      </c>
      <c r="N81" s="8">
        <f>D121</f>
        <v>224002.33151639995</v>
      </c>
    </row>
    <row r="82" spans="3:15" ht="15.6" x14ac:dyDescent="0.3">
      <c r="C82" s="6" t="s">
        <v>127</v>
      </c>
      <c r="D82" s="7"/>
      <c r="E82" s="8">
        <f>D127</f>
        <v>3155220</v>
      </c>
      <c r="F82" s="8">
        <f>E82</f>
        <v>3155220</v>
      </c>
      <c r="G82" s="8">
        <f>F82</f>
        <v>3155220</v>
      </c>
      <c r="H82" s="8">
        <f t="shared" ref="H82:N82" si="13">G82</f>
        <v>3155220</v>
      </c>
      <c r="I82" s="8">
        <f t="shared" si="13"/>
        <v>3155220</v>
      </c>
      <c r="J82" s="8">
        <f t="shared" si="13"/>
        <v>3155220</v>
      </c>
      <c r="K82" s="8">
        <f t="shared" si="13"/>
        <v>3155220</v>
      </c>
      <c r="L82" s="8">
        <f t="shared" si="13"/>
        <v>3155220</v>
      </c>
      <c r="M82" s="8">
        <f t="shared" si="13"/>
        <v>3155220</v>
      </c>
      <c r="N82" s="8">
        <f t="shared" si="13"/>
        <v>3155220</v>
      </c>
    </row>
    <row r="83" spans="3:15" ht="18.600000000000001" customHeight="1" x14ac:dyDescent="0.3">
      <c r="C83" s="6" t="s">
        <v>104</v>
      </c>
      <c r="D83" s="7"/>
      <c r="E83" s="8">
        <f>+D3*D6*D2*12</f>
        <v>54649980</v>
      </c>
      <c r="F83" s="8">
        <f>+E83</f>
        <v>54649980</v>
      </c>
      <c r="G83" s="8">
        <f t="shared" si="12"/>
        <v>54649980</v>
      </c>
      <c r="H83" s="8">
        <f t="shared" si="12"/>
        <v>54649980</v>
      </c>
      <c r="I83" s="8">
        <f t="shared" si="12"/>
        <v>54649980</v>
      </c>
      <c r="J83" s="8">
        <f t="shared" si="12"/>
        <v>54649980</v>
      </c>
      <c r="K83" s="8">
        <f t="shared" si="12"/>
        <v>54649980</v>
      </c>
      <c r="L83" s="8">
        <f t="shared" si="12"/>
        <v>54649980</v>
      </c>
      <c r="M83" s="8">
        <f t="shared" si="12"/>
        <v>54649980</v>
      </c>
      <c r="N83" s="8">
        <f t="shared" si="12"/>
        <v>54649980</v>
      </c>
    </row>
    <row r="84" spans="3:15" ht="19.95" customHeight="1" x14ac:dyDescent="0.3">
      <c r="C84" s="6" t="s">
        <v>105</v>
      </c>
      <c r="D84" s="7"/>
      <c r="E84" s="156">
        <f>+H7*12</f>
        <v>55970865.000000015</v>
      </c>
      <c r="F84" s="8">
        <f>+E84</f>
        <v>55970865.000000015</v>
      </c>
      <c r="G84" s="8">
        <f t="shared" ref="G84:N84" si="14">+F84</f>
        <v>55970865.000000015</v>
      </c>
      <c r="H84" s="8">
        <f t="shared" si="14"/>
        <v>55970865.000000015</v>
      </c>
      <c r="I84" s="8">
        <f t="shared" si="14"/>
        <v>55970865.000000015</v>
      </c>
      <c r="J84" s="8">
        <f t="shared" si="14"/>
        <v>55970865.000000015</v>
      </c>
      <c r="K84" s="8">
        <f t="shared" si="14"/>
        <v>55970865.000000015</v>
      </c>
      <c r="L84" s="8">
        <f t="shared" si="14"/>
        <v>55970865.000000015</v>
      </c>
      <c r="M84" s="8">
        <f>+L84</f>
        <v>55970865.000000015</v>
      </c>
      <c r="N84" s="8">
        <f t="shared" si="14"/>
        <v>55970865.000000015</v>
      </c>
    </row>
    <row r="85" spans="3:15" ht="15.6" x14ac:dyDescent="0.3">
      <c r="C85" s="6" t="s">
        <v>68</v>
      </c>
      <c r="D85" s="7"/>
      <c r="E85" s="9">
        <f>SUM(E80:E84)</f>
        <v>121767616.23830584</v>
      </c>
      <c r="F85" s="9">
        <f t="shared" ref="F85:L85" si="15">+SUM(F80:F84)</f>
        <v>121767616.23830584</v>
      </c>
      <c r="G85" s="9">
        <f t="shared" si="15"/>
        <v>121767616.23830584</v>
      </c>
      <c r="H85" s="9">
        <f t="shared" si="15"/>
        <v>121767616.23830584</v>
      </c>
      <c r="I85" s="9">
        <f t="shared" si="15"/>
        <v>121767616.23830584</v>
      </c>
      <c r="J85" s="9">
        <f t="shared" si="15"/>
        <v>121767616.23830584</v>
      </c>
      <c r="K85" s="9">
        <f t="shared" si="15"/>
        <v>121767616.23830584</v>
      </c>
      <c r="L85" s="9">
        <f t="shared" si="15"/>
        <v>121767616.23830584</v>
      </c>
      <c r="M85" s="9">
        <f>+SUM(M80:M84)</f>
        <v>121767616.23830584</v>
      </c>
      <c r="N85" s="9">
        <f>+SUM(N80:N84)</f>
        <v>121767616.23830584</v>
      </c>
    </row>
    <row r="86" spans="3:15" ht="15.6" x14ac:dyDescent="0.3"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</row>
    <row r="87" spans="3:15" ht="15.6" x14ac:dyDescent="0.3">
      <c r="C87" s="6" t="s">
        <v>69</v>
      </c>
      <c r="D87" s="9">
        <f>+D88+D89+D90</f>
        <v>180000000</v>
      </c>
      <c r="E87" s="9">
        <f>+E88+E89+E90</f>
        <v>14400000</v>
      </c>
      <c r="F87" s="9">
        <f t="shared" ref="F87:N87" si="16">+F88+F89+F90</f>
        <v>14400000</v>
      </c>
      <c r="G87" s="9">
        <f t="shared" si="16"/>
        <v>14400000</v>
      </c>
      <c r="H87" s="9">
        <f t="shared" si="16"/>
        <v>14400000</v>
      </c>
      <c r="I87" s="9">
        <f t="shared" si="16"/>
        <v>32400000</v>
      </c>
      <c r="J87" s="9">
        <f t="shared" si="16"/>
        <v>14400000</v>
      </c>
      <c r="K87" s="9">
        <f t="shared" si="16"/>
        <v>14400000</v>
      </c>
      <c r="L87" s="9">
        <f t="shared" si="16"/>
        <v>14400000</v>
      </c>
      <c r="M87" s="9">
        <f t="shared" si="16"/>
        <v>14400000</v>
      </c>
      <c r="N87" s="9">
        <f t="shared" si="16"/>
        <v>14400000</v>
      </c>
    </row>
    <row r="88" spans="3:15" ht="15.6" x14ac:dyDescent="0.3">
      <c r="C88" s="6" t="s">
        <v>70</v>
      </c>
      <c r="D88" s="8">
        <f>+L6*K6</f>
        <v>180000000</v>
      </c>
      <c r="E88" s="8"/>
      <c r="F88" s="8"/>
      <c r="G88" s="8"/>
      <c r="H88" s="8"/>
      <c r="I88" s="8"/>
      <c r="J88" s="8"/>
      <c r="K88" s="8"/>
      <c r="L88" s="8"/>
      <c r="M88" s="8"/>
      <c r="N88" s="8"/>
    </row>
    <row r="89" spans="3:15" ht="15.6" x14ac:dyDescent="0.3">
      <c r="C89" s="6" t="s">
        <v>71</v>
      </c>
      <c r="D89" s="8"/>
      <c r="E89" s="8"/>
      <c r="F89" s="8"/>
      <c r="G89" s="8"/>
      <c r="H89" s="8"/>
      <c r="I89" s="8">
        <f>+D88*0.1</f>
        <v>18000000</v>
      </c>
      <c r="J89" s="8"/>
      <c r="K89" s="8"/>
      <c r="L89" s="8"/>
      <c r="M89" s="8"/>
      <c r="N89" s="8"/>
    </row>
    <row r="90" spans="3:15" ht="15.6" x14ac:dyDescent="0.3">
      <c r="C90" s="6" t="s">
        <v>72</v>
      </c>
      <c r="D90" s="8"/>
      <c r="E90" s="8">
        <f>+L5*K5</f>
        <v>14400000</v>
      </c>
      <c r="F90" s="8">
        <f>+E90</f>
        <v>14400000</v>
      </c>
      <c r="G90" s="8">
        <f t="shared" ref="G90:N90" si="17">+F90</f>
        <v>14400000</v>
      </c>
      <c r="H90" s="8">
        <f t="shared" si="17"/>
        <v>14400000</v>
      </c>
      <c r="I90" s="8">
        <f t="shared" si="17"/>
        <v>14400000</v>
      </c>
      <c r="J90" s="8">
        <f t="shared" si="17"/>
        <v>14400000</v>
      </c>
      <c r="K90" s="8">
        <f t="shared" si="17"/>
        <v>14400000</v>
      </c>
      <c r="L90" s="8">
        <f t="shared" si="17"/>
        <v>14400000</v>
      </c>
      <c r="M90" s="8">
        <f>+L90</f>
        <v>14400000</v>
      </c>
      <c r="N90" s="8">
        <f t="shared" si="17"/>
        <v>14400000</v>
      </c>
    </row>
    <row r="91" spans="3:15" ht="15.6" x14ac:dyDescent="0.3">
      <c r="C91" s="7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</row>
    <row r="92" spans="3:15" ht="15.6" x14ac:dyDescent="0.3">
      <c r="C92" s="6" t="s">
        <v>73</v>
      </c>
      <c r="D92" s="8"/>
      <c r="E92" s="8"/>
      <c r="F92" s="8"/>
      <c r="G92" s="8"/>
      <c r="H92" s="8"/>
      <c r="I92" s="8"/>
      <c r="J92" s="8"/>
      <c r="K92" s="8"/>
      <c r="L92" s="8"/>
      <c r="M92" s="8"/>
      <c r="N92" s="8">
        <f>30%*D88</f>
        <v>54000000</v>
      </c>
    </row>
    <row r="93" spans="3:15" ht="15.6" x14ac:dyDescent="0.3">
      <c r="C93" s="30" t="s">
        <v>74</v>
      </c>
      <c r="D93" s="31">
        <f>+D85-D87+D92</f>
        <v>-180000000</v>
      </c>
      <c r="E93" s="31">
        <f t="shared" ref="E93:N93" si="18">+E85-E87+E92</f>
        <v>107367616.23830584</v>
      </c>
      <c r="F93" s="31">
        <f t="shared" si="18"/>
        <v>107367616.23830584</v>
      </c>
      <c r="G93" s="31">
        <f t="shared" si="18"/>
        <v>107367616.23830584</v>
      </c>
      <c r="H93" s="31">
        <f t="shared" si="18"/>
        <v>107367616.23830584</v>
      </c>
      <c r="I93" s="31">
        <f t="shared" si="18"/>
        <v>89367616.238305837</v>
      </c>
      <c r="J93" s="31">
        <f t="shared" si="18"/>
        <v>107367616.23830584</v>
      </c>
      <c r="K93" s="31">
        <f t="shared" si="18"/>
        <v>107367616.23830584</v>
      </c>
      <c r="L93" s="31">
        <f t="shared" si="18"/>
        <v>107367616.23830584</v>
      </c>
      <c r="M93" s="31">
        <f t="shared" si="18"/>
        <v>107367616.23830584</v>
      </c>
      <c r="N93" s="31">
        <f t="shared" si="18"/>
        <v>161367616.23830584</v>
      </c>
    </row>
    <row r="94" spans="3:15" ht="15.6" x14ac:dyDescent="0.3">
      <c r="C94" s="29"/>
      <c r="D94" s="29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</row>
    <row r="95" spans="3:15" ht="15.6" x14ac:dyDescent="0.3">
      <c r="C95" s="25" t="s">
        <v>198</v>
      </c>
      <c r="D95" s="2">
        <f>NPV(D96,E93:N93)+D93</f>
        <v>433823849.14821851</v>
      </c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</row>
    <row r="96" spans="3:15" ht="15.6" x14ac:dyDescent="0.3">
      <c r="C96" s="23" t="s">
        <v>78</v>
      </c>
      <c r="D96" s="26">
        <v>0.12</v>
      </c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</row>
    <row r="97" spans="3:15" ht="15.6" x14ac:dyDescent="0.3">
      <c r="C97" s="28" t="s">
        <v>199</v>
      </c>
      <c r="D97" s="27">
        <f>+D98/D99</f>
        <v>3.4101324952678804</v>
      </c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</row>
    <row r="98" spans="3:15" ht="15.6" x14ac:dyDescent="0.3">
      <c r="C98" s="23" t="s">
        <v>46</v>
      </c>
      <c r="D98" s="2">
        <f>NPV(D96,E93:N93)</f>
        <v>613823849.14821851</v>
      </c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</row>
    <row r="99" spans="3:15" ht="15.6" x14ac:dyDescent="0.3">
      <c r="C99" s="23" t="s">
        <v>47</v>
      </c>
      <c r="D99" s="2">
        <f>-D93</f>
        <v>180000000</v>
      </c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</row>
    <row r="100" spans="3:15" x14ac:dyDescent="0.3">
      <c r="C100" s="167" t="s">
        <v>197</v>
      </c>
      <c r="D100" s="14">
        <f>IRR(D93:N93)</f>
        <v>0.58648797519324147</v>
      </c>
    </row>
    <row r="103" spans="3:15" x14ac:dyDescent="0.3">
      <c r="C103" s="152"/>
      <c r="D103" s="141"/>
      <c r="E103" s="150"/>
      <c r="F103" s="153"/>
    </row>
    <row r="104" spans="3:15" x14ac:dyDescent="0.3">
      <c r="C104" s="152"/>
      <c r="D104" s="141"/>
      <c r="E104" s="151"/>
      <c r="F104" s="153"/>
    </row>
    <row r="105" spans="3:15" x14ac:dyDescent="0.3">
      <c r="C105" s="152"/>
      <c r="D105" s="141"/>
      <c r="E105" s="151"/>
      <c r="F105" s="153"/>
    </row>
    <row r="106" spans="3:15" x14ac:dyDescent="0.3">
      <c r="C106" s="152"/>
      <c r="D106" s="141"/>
      <c r="E106" s="151"/>
      <c r="F106" s="153"/>
    </row>
    <row r="113" spans="3:12" x14ac:dyDescent="0.3">
      <c r="C113" s="191" t="s">
        <v>108</v>
      </c>
      <c r="D113" s="192"/>
    </row>
    <row r="114" spans="3:12" x14ac:dyDescent="0.3">
      <c r="C114" s="189" t="s">
        <v>107</v>
      </c>
      <c r="D114" s="190"/>
    </row>
    <row r="115" spans="3:12" x14ac:dyDescent="0.3">
      <c r="C115" s="1" t="s">
        <v>109</v>
      </c>
      <c r="D115" s="1" t="s">
        <v>110</v>
      </c>
    </row>
    <row r="116" spans="3:12" x14ac:dyDescent="0.3">
      <c r="C116" s="1" t="s">
        <v>111</v>
      </c>
      <c r="D116" s="1" t="s">
        <v>112</v>
      </c>
    </row>
    <row r="117" spans="3:12" x14ac:dyDescent="0.3">
      <c r="C117" s="1" t="s">
        <v>113</v>
      </c>
      <c r="D117" s="145">
        <f>(2278.04-1142.91 )</f>
        <v>1135.1299999999999</v>
      </c>
    </row>
    <row r="118" spans="3:12" x14ac:dyDescent="0.3">
      <c r="C118" s="35" t="s">
        <v>114</v>
      </c>
      <c r="D118" s="145">
        <f>(D117*12)</f>
        <v>13621.559999999998</v>
      </c>
      <c r="E118" s="1" t="s">
        <v>115</v>
      </c>
    </row>
    <row r="119" spans="3:12" x14ac:dyDescent="0.3">
      <c r="C119" s="35" t="s">
        <v>117</v>
      </c>
      <c r="D119" s="145">
        <f>13621.56/1000</f>
        <v>13.621559999999999</v>
      </c>
      <c r="E119" s="1" t="s">
        <v>120</v>
      </c>
    </row>
    <row r="120" spans="3:12" x14ac:dyDescent="0.3">
      <c r="C120" s="35" t="s">
        <v>118</v>
      </c>
      <c r="D120" s="46">
        <v>16444.689999999999</v>
      </c>
      <c r="E120" s="34" t="s">
        <v>121</v>
      </c>
    </row>
    <row r="121" spans="3:12" x14ac:dyDescent="0.3">
      <c r="C121" s="196" t="s">
        <v>119</v>
      </c>
      <c r="D121" s="197">
        <f>D119*D120</f>
        <v>224002.33151639995</v>
      </c>
      <c r="E121" s="198" t="s">
        <v>120</v>
      </c>
    </row>
    <row r="122" spans="3:12" x14ac:dyDescent="0.3">
      <c r="C122" s="196"/>
      <c r="D122" s="197"/>
      <c r="E122" s="198"/>
    </row>
    <row r="124" spans="3:12" x14ac:dyDescent="0.3">
      <c r="C124" s="188" t="s">
        <v>123</v>
      </c>
      <c r="D124" s="188"/>
      <c r="L124" t="s">
        <v>192</v>
      </c>
    </row>
    <row r="125" spans="3:12" x14ac:dyDescent="0.3">
      <c r="C125" s="35" t="s">
        <v>124</v>
      </c>
      <c r="D125" s="1">
        <v>30</v>
      </c>
    </row>
    <row r="126" spans="3:12" ht="28.8" x14ac:dyDescent="0.3">
      <c r="C126" s="47" t="s">
        <v>125</v>
      </c>
      <c r="D126" s="48">
        <v>105174</v>
      </c>
    </row>
    <row r="127" spans="3:12" x14ac:dyDescent="0.3">
      <c r="C127" s="1" t="s">
        <v>126</v>
      </c>
      <c r="D127" s="50">
        <f>(D125*D126)</f>
        <v>3155220</v>
      </c>
    </row>
    <row r="129" spans="1:12" ht="15" thickBot="1" x14ac:dyDescent="0.35">
      <c r="C129" s="1" t="s">
        <v>180</v>
      </c>
      <c r="D129" s="1">
        <v>300</v>
      </c>
      <c r="E129" s="1"/>
    </row>
    <row r="130" spans="1:12" x14ac:dyDescent="0.3">
      <c r="A130" s="184" t="s">
        <v>195</v>
      </c>
      <c r="B130" s="185"/>
      <c r="C130" s="159" t="s">
        <v>181</v>
      </c>
      <c r="D130" s="158">
        <v>14</v>
      </c>
      <c r="E130" s="1" t="s">
        <v>193</v>
      </c>
    </row>
    <row r="131" spans="1:12" ht="15" thickBot="1" x14ac:dyDescent="0.35">
      <c r="A131" s="186"/>
      <c r="B131" s="187"/>
      <c r="C131" s="163" t="s">
        <v>182</v>
      </c>
      <c r="D131" s="164">
        <f>+D130*D132</f>
        <v>6.0722199999999997</v>
      </c>
      <c r="E131" s="165" t="s">
        <v>193</v>
      </c>
    </row>
    <row r="132" spans="1:12" x14ac:dyDescent="0.3">
      <c r="C132" s="1" t="s">
        <v>183</v>
      </c>
      <c r="D132" s="1">
        <f>433.73/1000</f>
        <v>0.43373</v>
      </c>
      <c r="E132" s="1"/>
      <c r="G132" s="146"/>
      <c r="I132" s="147"/>
      <c r="L132" s="148"/>
    </row>
  </sheetData>
  <scenarios current="0" show="0">
    <scenario name="1" locked="1" count="8" user="Maria Paula" comment="Creado por Maria Paula el 01/04/2017">
      <inputCells r="D2" val="2500" numFmtId="3"/>
      <inputCells r="D3" val="2000" numFmtId="3"/>
      <inputCells r="D4" val="0,75" numFmtId="4"/>
      <inputCells r="D5" val="2589,1829689298"/>
      <inputCells r="D6" val="6" numFmtId="3"/>
      <inputCells r="D7" val="650" numFmtId="3"/>
      <inputCells r="D8" val="10" numFmtId="3"/>
      <inputCells r="D9" val="0,4" numFmtId="9"/>
    </scenario>
    <scenario name="Habitantes" locked="1" count="1" user="Maria Paula" comment="Creado por Maria Paula el 01/04/2017_x000a_Modificado por Maria Paula el 01/04/2017">
      <inputCells r="D2" val="1500" numFmtId="3"/>
    </scenario>
    <scenario name="Consumo" locked="1" count="1" user="Maria Paula" comment="Creado por Maria Paula el 01/04/2017">
      <inputCells r="D8" val="5" numFmtId="3"/>
    </scenario>
  </scenarios>
  <mergeCells count="10">
    <mergeCell ref="A130:B131"/>
    <mergeCell ref="C124:D124"/>
    <mergeCell ref="C114:D114"/>
    <mergeCell ref="C113:D113"/>
    <mergeCell ref="J4:L4"/>
    <mergeCell ref="C121:C122"/>
    <mergeCell ref="D121:D122"/>
    <mergeCell ref="E121:E122"/>
    <mergeCell ref="G57:G67"/>
    <mergeCell ref="I55:M55"/>
  </mergeCells>
  <conditionalFormatting sqref="H56:M67">
    <cfRule type="cellIs" dxfId="4" priority="5" operator="greaterThan">
      <formula>$D$32</formula>
    </cfRule>
  </conditionalFormatting>
  <conditionalFormatting sqref="I57:M67">
    <cfRule type="cellIs" dxfId="3" priority="4" operator="lessThan">
      <formula>$D$32</formula>
    </cfRule>
  </conditionalFormatting>
  <conditionalFormatting sqref="E57:E67">
    <cfRule type="cellIs" dxfId="2" priority="1" operator="greaterThan">
      <formula>$D$32</formula>
    </cfRule>
    <cfRule type="cellIs" dxfId="1" priority="2" operator="lessThan">
      <formula>$D$32</formula>
    </cfRule>
    <cfRule type="cellIs" dxfId="0" priority="3" operator="greaterThan">
      <formula>$D$32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N111"/>
  <sheetViews>
    <sheetView zoomScale="53" zoomScaleNormal="53" workbookViewId="0">
      <selection activeCell="C10" sqref="C10"/>
    </sheetView>
  </sheetViews>
  <sheetFormatPr baseColWidth="10" defaultRowHeight="14.4" x14ac:dyDescent="0.3"/>
  <cols>
    <col min="2" max="2" width="38.88671875" customWidth="1"/>
    <col min="3" max="3" width="19" customWidth="1"/>
    <col min="4" max="4" width="25" customWidth="1"/>
    <col min="5" max="5" width="33.33203125" customWidth="1"/>
    <col min="6" max="6" width="23.6640625" customWidth="1"/>
    <col min="7" max="7" width="28" bestFit="1" customWidth="1"/>
    <col min="8" max="8" width="29.33203125" customWidth="1"/>
    <col min="9" max="9" width="40.6640625" customWidth="1"/>
    <col min="10" max="10" width="21.33203125" customWidth="1"/>
    <col min="11" max="11" width="13.5546875" bestFit="1" customWidth="1"/>
    <col min="12" max="12" width="20.6640625" customWidth="1"/>
    <col min="13" max="13" width="14.44140625" bestFit="1" customWidth="1"/>
    <col min="15" max="15" width="48.44140625" customWidth="1"/>
    <col min="16" max="16" width="24.44140625" customWidth="1"/>
    <col min="17" max="17" width="16.33203125" customWidth="1"/>
    <col min="18" max="18" width="16" customWidth="1"/>
    <col min="19" max="19" width="15.6640625" customWidth="1"/>
  </cols>
  <sheetData>
    <row r="2" spans="2:13" x14ac:dyDescent="0.3">
      <c r="B2" s="214" t="s">
        <v>141</v>
      </c>
      <c r="C2" s="214"/>
    </row>
    <row r="3" spans="2:13" x14ac:dyDescent="0.3">
      <c r="B3" s="125" t="s">
        <v>139</v>
      </c>
      <c r="C3" s="125">
        <v>80</v>
      </c>
      <c r="F3" s="106" t="s">
        <v>142</v>
      </c>
      <c r="G3" s="106" t="s">
        <v>27</v>
      </c>
      <c r="H3" s="106" t="s">
        <v>143</v>
      </c>
      <c r="I3" s="106" t="s">
        <v>17</v>
      </c>
      <c r="J3" s="106" t="s">
        <v>13</v>
      </c>
      <c r="K3" s="106" t="s">
        <v>77</v>
      </c>
      <c r="L3" s="106" t="s">
        <v>56</v>
      </c>
      <c r="M3" s="106" t="s">
        <v>14</v>
      </c>
    </row>
    <row r="4" spans="2:13" x14ac:dyDescent="0.3">
      <c r="B4" s="1" t="s">
        <v>140</v>
      </c>
      <c r="C4" s="104">
        <v>4.95</v>
      </c>
      <c r="F4" s="1" t="s">
        <v>144</v>
      </c>
      <c r="G4" s="1">
        <v>30</v>
      </c>
      <c r="H4" s="1">
        <v>4.4999999999999998E-2</v>
      </c>
      <c r="I4" s="1">
        <f>G4*H4</f>
        <v>1.3499999999999999</v>
      </c>
      <c r="J4" s="1">
        <v>1000</v>
      </c>
      <c r="K4" s="1">
        <v>0.79</v>
      </c>
      <c r="L4" s="1">
        <f>J4*K4</f>
        <v>790</v>
      </c>
      <c r="M4" s="99">
        <f>L4*G4</f>
        <v>23700</v>
      </c>
    </row>
    <row r="5" spans="2:13" x14ac:dyDescent="0.3">
      <c r="B5" s="1" t="s">
        <v>146</v>
      </c>
      <c r="C5" s="1">
        <f>C3*C4</f>
        <v>396</v>
      </c>
      <c r="D5" t="s">
        <v>152</v>
      </c>
      <c r="F5" s="1" t="s">
        <v>145</v>
      </c>
      <c r="G5" s="1">
        <v>5</v>
      </c>
      <c r="H5" s="1">
        <v>0.72</v>
      </c>
      <c r="I5" s="1">
        <f>G5*H5</f>
        <v>3.5999999999999996</v>
      </c>
      <c r="J5" s="1">
        <v>5000</v>
      </c>
      <c r="K5" s="1">
        <v>0.79</v>
      </c>
      <c r="L5" s="1">
        <f>J5*K5</f>
        <v>3950</v>
      </c>
      <c r="M5" s="99">
        <f>L5*G5</f>
        <v>19750</v>
      </c>
    </row>
    <row r="6" spans="2:13" x14ac:dyDescent="0.3">
      <c r="B6" s="101"/>
      <c r="C6" s="101"/>
      <c r="F6" s="1" t="s">
        <v>18</v>
      </c>
      <c r="G6" s="104">
        <f>SUM(I4:I5)</f>
        <v>4.9499999999999993</v>
      </c>
    </row>
    <row r="7" spans="2:13" x14ac:dyDescent="0.3">
      <c r="B7" s="101"/>
      <c r="C7" s="101"/>
      <c r="F7" s="1" t="s">
        <v>15</v>
      </c>
      <c r="G7" s="100">
        <f>SUM(M4:M5)</f>
        <v>43450</v>
      </c>
    </row>
    <row r="8" spans="2:13" x14ac:dyDescent="0.3">
      <c r="B8" s="101"/>
      <c r="C8" s="101"/>
      <c r="F8" s="1" t="s">
        <v>16</v>
      </c>
      <c r="G8" s="100">
        <f>G7/G6</f>
        <v>8777.7777777777792</v>
      </c>
    </row>
    <row r="9" spans="2:13" x14ac:dyDescent="0.3">
      <c r="B9" s="215" t="s">
        <v>147</v>
      </c>
      <c r="C9" s="216"/>
    </row>
    <row r="10" spans="2:13" x14ac:dyDescent="0.3">
      <c r="B10" s="1" t="s">
        <v>148</v>
      </c>
      <c r="C10" s="1">
        <v>800</v>
      </c>
    </row>
    <row r="11" spans="2:13" x14ac:dyDescent="0.3">
      <c r="B11" s="1" t="s">
        <v>149</v>
      </c>
      <c r="C11" s="103">
        <v>25.5</v>
      </c>
      <c r="D11" s="1" t="s">
        <v>178</v>
      </c>
      <c r="E11" s="144">
        <f>C10*C11</f>
        <v>20400</v>
      </c>
    </row>
    <row r="12" spans="2:13" x14ac:dyDescent="0.3">
      <c r="B12" s="1" t="s">
        <v>146</v>
      </c>
      <c r="C12" s="1">
        <f>C11*C3</f>
        <v>2040</v>
      </c>
      <c r="D12" t="s">
        <v>150</v>
      </c>
      <c r="L12" s="107"/>
      <c r="M12" s="107"/>
    </row>
    <row r="13" spans="2:13" x14ac:dyDescent="0.3">
      <c r="B13" s="103"/>
      <c r="C13" s="105" t="s">
        <v>12</v>
      </c>
      <c r="D13" s="105" t="s">
        <v>151</v>
      </c>
      <c r="E13" s="105" t="s">
        <v>55</v>
      </c>
      <c r="F13" s="105" t="s">
        <v>54</v>
      </c>
      <c r="G13" s="105" t="s">
        <v>19</v>
      </c>
      <c r="I13" s="217" t="s">
        <v>63</v>
      </c>
      <c r="J13" s="218"/>
    </row>
    <row r="14" spans="2:13" x14ac:dyDescent="0.3">
      <c r="B14" s="1" t="s">
        <v>51</v>
      </c>
      <c r="C14" s="1">
        <v>120</v>
      </c>
      <c r="D14" s="1">
        <v>3</v>
      </c>
      <c r="E14" s="1">
        <f>C14*D14</f>
        <v>360</v>
      </c>
      <c r="F14" s="1">
        <f>D14*30</f>
        <v>90</v>
      </c>
      <c r="G14" s="1">
        <f>C14*F14/1000</f>
        <v>10.8</v>
      </c>
      <c r="I14" s="1" t="s">
        <v>58</v>
      </c>
      <c r="J14" s="1">
        <v>0.79</v>
      </c>
    </row>
    <row r="15" spans="2:13" x14ac:dyDescent="0.3">
      <c r="B15" s="1" t="s">
        <v>52</v>
      </c>
      <c r="C15" s="1">
        <v>50</v>
      </c>
      <c r="D15" s="1">
        <v>5</v>
      </c>
      <c r="E15" s="1">
        <f>C15*D15</f>
        <v>250</v>
      </c>
      <c r="F15" s="1">
        <f>D15*30</f>
        <v>150</v>
      </c>
      <c r="G15" s="1">
        <f>C15*F15/1000</f>
        <v>7.5</v>
      </c>
      <c r="I15" s="1" t="s">
        <v>59</v>
      </c>
      <c r="J15" s="1">
        <v>0.6</v>
      </c>
    </row>
    <row r="16" spans="2:13" x14ac:dyDescent="0.3">
      <c r="B16" s="1" t="s">
        <v>53</v>
      </c>
      <c r="C16" s="1">
        <v>40</v>
      </c>
      <c r="D16" s="1">
        <v>6</v>
      </c>
      <c r="E16" s="1">
        <f>C16*D16</f>
        <v>240</v>
      </c>
      <c r="F16" s="1">
        <f>D16*30</f>
        <v>180</v>
      </c>
      <c r="G16" s="1">
        <f>C16*F16/1000</f>
        <v>7.2</v>
      </c>
      <c r="I16" s="1" t="s">
        <v>60</v>
      </c>
      <c r="J16" s="1">
        <v>1</v>
      </c>
    </row>
    <row r="17" spans="2:10" ht="17.399999999999999" customHeight="1" x14ac:dyDescent="0.3">
      <c r="B17" s="1"/>
      <c r="C17" s="1"/>
      <c r="D17" s="1"/>
      <c r="E17" s="1">
        <f>SUM(E14:E16)</f>
        <v>850</v>
      </c>
      <c r="F17" s="1"/>
      <c r="G17" s="103">
        <f>SUM(G14:G16)</f>
        <v>25.5</v>
      </c>
      <c r="I17" s="102" t="s">
        <v>61</v>
      </c>
      <c r="J17" s="1">
        <v>0.77</v>
      </c>
    </row>
    <row r="18" spans="2:10" x14ac:dyDescent="0.3">
      <c r="I18" s="96" t="s">
        <v>62</v>
      </c>
      <c r="J18" s="1">
        <v>1.18</v>
      </c>
    </row>
    <row r="19" spans="2:10" x14ac:dyDescent="0.3">
      <c r="I19" s="1" t="s">
        <v>50</v>
      </c>
      <c r="J19" s="108">
        <v>0.2</v>
      </c>
    </row>
    <row r="20" spans="2:10" x14ac:dyDescent="0.3">
      <c r="B20" s="219" t="s">
        <v>153</v>
      </c>
      <c r="C20" s="219"/>
      <c r="D20" s="219"/>
      <c r="E20" s="219"/>
      <c r="F20" s="219"/>
      <c r="I20" s="1" t="s">
        <v>64</v>
      </c>
      <c r="J20" s="1">
        <v>1.18</v>
      </c>
    </row>
    <row r="21" spans="2:10" x14ac:dyDescent="0.3">
      <c r="B21" s="219"/>
      <c r="C21" s="219"/>
      <c r="D21" s="219"/>
      <c r="E21" s="219"/>
      <c r="F21" s="219"/>
      <c r="I21" s="1" t="s">
        <v>65</v>
      </c>
      <c r="J21" s="1">
        <v>1</v>
      </c>
    </row>
    <row r="22" spans="2:10" x14ac:dyDescent="0.3">
      <c r="B22" s="113" t="s">
        <v>154</v>
      </c>
      <c r="C22" s="109" t="s">
        <v>155</v>
      </c>
      <c r="D22" s="109" t="s">
        <v>5</v>
      </c>
      <c r="E22" s="115" t="s">
        <v>31</v>
      </c>
      <c r="F22" s="114" t="s">
        <v>32</v>
      </c>
    </row>
    <row r="23" spans="2:10" x14ac:dyDescent="0.3">
      <c r="B23" s="1" t="s">
        <v>0</v>
      </c>
      <c r="C23" s="1">
        <v>80</v>
      </c>
      <c r="D23" s="99">
        <v>1000000</v>
      </c>
      <c r="E23" s="100">
        <f>D23*C23</f>
        <v>80000000</v>
      </c>
      <c r="F23" s="99">
        <f>E23*(1-$J$19)*$J$20</f>
        <v>75520000</v>
      </c>
      <c r="I23" s="1" t="s">
        <v>160</v>
      </c>
      <c r="J23" s="14">
        <v>0.05</v>
      </c>
    </row>
    <row r="24" spans="2:10" x14ac:dyDescent="0.3">
      <c r="B24" s="1" t="s">
        <v>1</v>
      </c>
      <c r="C24" s="1">
        <v>80</v>
      </c>
      <c r="D24" s="99">
        <v>200000</v>
      </c>
      <c r="E24" s="100">
        <f>D24*C24</f>
        <v>16000000</v>
      </c>
      <c r="F24" s="99">
        <f>E24*(1-$J$19)*$J$20</f>
        <v>15104000</v>
      </c>
      <c r="I24" s="35" t="s">
        <v>162</v>
      </c>
      <c r="J24" s="14">
        <v>0.03</v>
      </c>
    </row>
    <row r="25" spans="2:10" x14ac:dyDescent="0.3">
      <c r="B25" s="1" t="s">
        <v>3</v>
      </c>
      <c r="C25" s="1">
        <v>80</v>
      </c>
      <c r="D25" s="99">
        <v>210000</v>
      </c>
      <c r="E25" s="100">
        <f>D25*C25</f>
        <v>16800000</v>
      </c>
      <c r="F25" s="99">
        <f>E25*(1-$J$19)*$J$20</f>
        <v>15859200</v>
      </c>
      <c r="I25" s="35" t="s">
        <v>163</v>
      </c>
      <c r="J25" s="14">
        <v>0.15</v>
      </c>
    </row>
    <row r="26" spans="2:10" x14ac:dyDescent="0.3">
      <c r="B26" s="1" t="s">
        <v>2</v>
      </c>
      <c r="C26" s="1">
        <v>80</v>
      </c>
      <c r="D26" s="99">
        <v>300000</v>
      </c>
      <c r="E26" s="100">
        <f>D26*C26</f>
        <v>24000000</v>
      </c>
      <c r="F26" s="99">
        <f>E26*(1-$J$19)*$J$20</f>
        <v>22656000</v>
      </c>
      <c r="G26" s="118" t="s">
        <v>164</v>
      </c>
    </row>
    <row r="27" spans="2:10" x14ac:dyDescent="0.3">
      <c r="B27" s="1" t="s">
        <v>4</v>
      </c>
      <c r="C27" s="1">
        <v>80</v>
      </c>
      <c r="D27" s="99">
        <v>250000</v>
      </c>
      <c r="E27" s="100">
        <f>D27*C27</f>
        <v>20000000</v>
      </c>
      <c r="F27" s="99">
        <f>E27*(1-$J$19)*$J$20</f>
        <v>18880000</v>
      </c>
      <c r="G27" s="100">
        <f>SUM(E28:E30)</f>
        <v>166639590.80000001</v>
      </c>
    </row>
    <row r="28" spans="2:10" x14ac:dyDescent="0.3">
      <c r="B28" s="10" t="s">
        <v>6</v>
      </c>
      <c r="C28" s="1"/>
      <c r="D28" s="1"/>
      <c r="E28" s="116">
        <f>SUM(E23:E27)</f>
        <v>156800000</v>
      </c>
      <c r="F28" s="122">
        <f>SUM(F23:F27)</f>
        <v>148019200</v>
      </c>
      <c r="G28" s="121" t="s">
        <v>165</v>
      </c>
    </row>
    <row r="29" spans="2:10" x14ac:dyDescent="0.3">
      <c r="B29" s="1"/>
      <c r="C29" s="1"/>
      <c r="D29" s="1"/>
      <c r="E29" s="1"/>
      <c r="F29" s="99"/>
      <c r="G29" s="100">
        <f>SUM(F28:F30)</f>
        <v>157858790.80000001</v>
      </c>
    </row>
    <row r="30" spans="2:10" x14ac:dyDescent="0.3">
      <c r="B30" s="1" t="s">
        <v>7</v>
      </c>
      <c r="C30" s="1"/>
      <c r="D30" s="1"/>
      <c r="E30" s="117">
        <v>9839590.8000000007</v>
      </c>
      <c r="F30" s="122">
        <f>E30*J21</f>
        <v>9839590.8000000007</v>
      </c>
    </row>
    <row r="31" spans="2:10" x14ac:dyDescent="0.3">
      <c r="B31" s="219" t="s">
        <v>156</v>
      </c>
      <c r="C31" s="219"/>
      <c r="D31" s="219"/>
      <c r="E31" s="219"/>
    </row>
    <row r="32" spans="2:10" x14ac:dyDescent="0.3">
      <c r="B32" s="1"/>
      <c r="C32" s="1"/>
      <c r="D32" s="1" t="s">
        <v>11</v>
      </c>
      <c r="E32" s="112" t="s">
        <v>157</v>
      </c>
    </row>
    <row r="33" spans="2:13" x14ac:dyDescent="0.3">
      <c r="B33" s="1" t="s">
        <v>8</v>
      </c>
      <c r="C33" s="1">
        <v>1</v>
      </c>
      <c r="D33" s="99">
        <v>400000</v>
      </c>
      <c r="E33" s="100">
        <f>D33*12</f>
        <v>4800000</v>
      </c>
    </row>
    <row r="34" spans="2:13" x14ac:dyDescent="0.3">
      <c r="B34" s="1" t="s">
        <v>9</v>
      </c>
      <c r="C34" s="1">
        <v>1</v>
      </c>
      <c r="D34" s="99">
        <v>500000</v>
      </c>
      <c r="E34" s="100">
        <f>D34*12</f>
        <v>6000000</v>
      </c>
    </row>
    <row r="35" spans="2:13" x14ac:dyDescent="0.3">
      <c r="B35" s="1" t="s">
        <v>10</v>
      </c>
      <c r="C35" s="1">
        <v>1</v>
      </c>
      <c r="D35" s="99">
        <v>500000</v>
      </c>
      <c r="E35" s="100">
        <f>D35*12</f>
        <v>6000000</v>
      </c>
    </row>
    <row r="36" spans="2:13" x14ac:dyDescent="0.3">
      <c r="B36" s="110" t="s">
        <v>6</v>
      </c>
      <c r="C36" s="110"/>
      <c r="D36" s="111">
        <f>SUM(D33:D35)</f>
        <v>1400000</v>
      </c>
      <c r="E36" s="119">
        <f>SUM(E33:E35)</f>
        <v>16800000</v>
      </c>
    </row>
    <row r="37" spans="2:13" x14ac:dyDescent="0.3">
      <c r="B37" s="1"/>
      <c r="C37" s="112" t="s">
        <v>31</v>
      </c>
      <c r="D37" s="124" t="s">
        <v>36</v>
      </c>
      <c r="E37" s="123" t="s">
        <v>49</v>
      </c>
    </row>
    <row r="38" spans="2:13" x14ac:dyDescent="0.3">
      <c r="B38" s="1" t="s">
        <v>30</v>
      </c>
      <c r="C38" s="100">
        <f>D34</f>
        <v>500000</v>
      </c>
      <c r="D38" s="100">
        <f>D34*J15</f>
        <v>300000</v>
      </c>
      <c r="E38" s="100">
        <f>D38*12</f>
        <v>3600000</v>
      </c>
    </row>
    <row r="39" spans="2:13" x14ac:dyDescent="0.3">
      <c r="B39" s="1" t="s">
        <v>33</v>
      </c>
      <c r="C39" s="100">
        <f>D33</f>
        <v>400000</v>
      </c>
      <c r="D39" s="100">
        <f>D33*J16</f>
        <v>400000</v>
      </c>
      <c r="E39" s="100">
        <f>D39*12</f>
        <v>4800000</v>
      </c>
    </row>
    <row r="40" spans="2:13" x14ac:dyDescent="0.3">
      <c r="B40" s="1" t="s">
        <v>34</v>
      </c>
      <c r="C40" s="100">
        <f>D35*60%</f>
        <v>300000</v>
      </c>
      <c r="D40" s="100">
        <f>C40*J17</f>
        <v>231000</v>
      </c>
      <c r="E40" s="100">
        <f>D40*12</f>
        <v>2772000</v>
      </c>
    </row>
    <row r="41" spans="2:13" x14ac:dyDescent="0.3">
      <c r="B41" s="1" t="s">
        <v>35</v>
      </c>
      <c r="C41" s="100">
        <f>D35*40%</f>
        <v>200000</v>
      </c>
      <c r="D41" s="100">
        <f>C41*J18</f>
        <v>236000</v>
      </c>
      <c r="E41" s="100">
        <f>D41*12</f>
        <v>2832000</v>
      </c>
    </row>
    <row r="42" spans="2:13" x14ac:dyDescent="0.3">
      <c r="B42" s="35" t="s">
        <v>158</v>
      </c>
      <c r="C42" s="116">
        <f>E36</f>
        <v>16800000</v>
      </c>
      <c r="D42" s="1"/>
      <c r="E42" s="120">
        <f>SUM(E38:E41)</f>
        <v>14004000</v>
      </c>
    </row>
    <row r="45" spans="2:13" ht="31.2" x14ac:dyDescent="0.3">
      <c r="B45" s="126" t="s">
        <v>84</v>
      </c>
    </row>
    <row r="46" spans="2:13" x14ac:dyDescent="0.3">
      <c r="B46" s="1"/>
      <c r="C46" s="10">
        <v>0</v>
      </c>
      <c r="D46" s="10">
        <f t="shared" ref="D46:M46" si="0">+C46+1</f>
        <v>1</v>
      </c>
      <c r="E46" s="10">
        <f t="shared" si="0"/>
        <v>2</v>
      </c>
      <c r="F46" s="10">
        <f t="shared" si="0"/>
        <v>3</v>
      </c>
      <c r="G46" s="10">
        <f t="shared" si="0"/>
        <v>4</v>
      </c>
      <c r="H46" s="10">
        <f t="shared" si="0"/>
        <v>5</v>
      </c>
      <c r="I46" s="10">
        <f t="shared" si="0"/>
        <v>6</v>
      </c>
      <c r="J46" s="10">
        <f t="shared" si="0"/>
        <v>7</v>
      </c>
      <c r="K46" s="10">
        <f t="shared" si="0"/>
        <v>8</v>
      </c>
      <c r="L46" s="10">
        <f t="shared" si="0"/>
        <v>9</v>
      </c>
      <c r="M46" s="10">
        <f t="shared" si="0"/>
        <v>10</v>
      </c>
    </row>
    <row r="47" spans="2:13" x14ac:dyDescent="0.3">
      <c r="B47" s="1" t="s">
        <v>161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</row>
    <row r="48" spans="2:13" ht="15.6" x14ac:dyDescent="0.3">
      <c r="B48" s="22" t="s">
        <v>159</v>
      </c>
      <c r="C48" s="23"/>
      <c r="D48" s="2">
        <f>E11*C12</f>
        <v>41616000</v>
      </c>
      <c r="E48" s="2">
        <f>D48*(1+$J$23)</f>
        <v>43696800</v>
      </c>
      <c r="F48" s="2">
        <f>E48*(1+$J$23)</f>
        <v>45881640</v>
      </c>
      <c r="G48" s="2">
        <f t="shared" ref="G48:M49" si="1">F48*(1+$J$23)</f>
        <v>48175722</v>
      </c>
      <c r="H48" s="2">
        <f t="shared" si="1"/>
        <v>50584508.100000001</v>
      </c>
      <c r="I48" s="2">
        <f t="shared" si="1"/>
        <v>53113733.505000003</v>
      </c>
      <c r="J48" s="2">
        <f t="shared" si="1"/>
        <v>55769420.180250004</v>
      </c>
      <c r="K48" s="2">
        <f t="shared" si="1"/>
        <v>58557891.189262509</v>
      </c>
      <c r="L48" s="2">
        <f t="shared" si="1"/>
        <v>61485785.748725638</v>
      </c>
      <c r="M48" s="2">
        <f t="shared" si="1"/>
        <v>64560075.036161922</v>
      </c>
    </row>
    <row r="49" spans="1:92" ht="15.6" x14ac:dyDescent="0.3">
      <c r="B49" s="22" t="s">
        <v>88</v>
      </c>
      <c r="C49" s="23"/>
      <c r="D49" s="2">
        <f>D48</f>
        <v>41616000</v>
      </c>
      <c r="E49" s="2">
        <f>D49*(1+$J$23)</f>
        <v>43696800</v>
      </c>
      <c r="F49" s="2">
        <f>E49*(1+$J$23)</f>
        <v>45881640</v>
      </c>
      <c r="G49" s="2">
        <f t="shared" si="1"/>
        <v>48175722</v>
      </c>
      <c r="H49" s="2">
        <f t="shared" si="1"/>
        <v>50584508.100000001</v>
      </c>
      <c r="I49" s="2">
        <f t="shared" si="1"/>
        <v>53113733.505000003</v>
      </c>
      <c r="J49" s="2">
        <f t="shared" si="1"/>
        <v>55769420.180250004</v>
      </c>
      <c r="K49" s="2">
        <f t="shared" si="1"/>
        <v>58557891.189262509</v>
      </c>
      <c r="L49" s="2">
        <f t="shared" si="1"/>
        <v>61485785.748725638</v>
      </c>
      <c r="M49" s="2">
        <f t="shared" si="1"/>
        <v>64560075.036161922</v>
      </c>
    </row>
    <row r="50" spans="1:92" ht="15.6" x14ac:dyDescent="0.3"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</row>
    <row r="51" spans="1:92" ht="15.6" x14ac:dyDescent="0.3">
      <c r="B51" s="22" t="s">
        <v>89</v>
      </c>
      <c r="C51" s="2"/>
      <c r="D51" s="2">
        <f>C42</f>
        <v>16800000</v>
      </c>
      <c r="E51" s="2">
        <f>D51*(1+$J$24)</f>
        <v>17304000</v>
      </c>
      <c r="F51" s="2">
        <f t="shared" ref="F51:M51" si="2">E51*(1+$J$24)</f>
        <v>17823120</v>
      </c>
      <c r="G51" s="2">
        <f t="shared" si="2"/>
        <v>18357813.600000001</v>
      </c>
      <c r="H51" s="2">
        <f t="shared" si="2"/>
        <v>18908548.008000001</v>
      </c>
      <c r="I51" s="2">
        <f t="shared" si="2"/>
        <v>19475804.448240001</v>
      </c>
      <c r="J51" s="2">
        <f t="shared" si="2"/>
        <v>20060078.581687201</v>
      </c>
      <c r="K51" s="2">
        <f t="shared" si="2"/>
        <v>20661880.939137816</v>
      </c>
      <c r="L51" s="2">
        <f t="shared" si="2"/>
        <v>21281737.367311951</v>
      </c>
      <c r="M51" s="2">
        <f t="shared" si="2"/>
        <v>21920189.48833131</v>
      </c>
    </row>
    <row r="52" spans="1:92" ht="15.6" x14ac:dyDescent="0.3">
      <c r="B52" s="22" t="s">
        <v>92</v>
      </c>
      <c r="C52" s="2"/>
      <c r="D52" s="2">
        <f>$G$27/30</f>
        <v>5554653.0266666673</v>
      </c>
      <c r="E52" s="2">
        <f t="shared" ref="E52:M52" si="3">$G$27/30</f>
        <v>5554653.0266666673</v>
      </c>
      <c r="F52" s="2">
        <f t="shared" si="3"/>
        <v>5554653.0266666673</v>
      </c>
      <c r="G52" s="2">
        <f t="shared" si="3"/>
        <v>5554653.0266666673</v>
      </c>
      <c r="H52" s="2">
        <f t="shared" si="3"/>
        <v>5554653.0266666673</v>
      </c>
      <c r="I52" s="2">
        <f t="shared" si="3"/>
        <v>5554653.0266666673</v>
      </c>
      <c r="J52" s="2">
        <f t="shared" si="3"/>
        <v>5554653.0266666673</v>
      </c>
      <c r="K52" s="2">
        <f t="shared" si="3"/>
        <v>5554653.0266666673</v>
      </c>
      <c r="L52" s="2">
        <f t="shared" si="3"/>
        <v>5554653.0266666673</v>
      </c>
      <c r="M52" s="2">
        <f t="shared" si="3"/>
        <v>5554653.0266666673</v>
      </c>
    </row>
    <row r="53" spans="1:92" ht="15.6" x14ac:dyDescent="0.3">
      <c r="B53" s="22" t="s">
        <v>93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>
        <f>E28+E30 *2/3</f>
        <v>163359727.19999999</v>
      </c>
    </row>
    <row r="54" spans="1:92" ht="15.6" x14ac:dyDescent="0.3">
      <c r="B54" s="25" t="s">
        <v>90</v>
      </c>
      <c r="C54" s="2"/>
      <c r="D54" s="2">
        <f t="shared" ref="D54:M54" si="4">+D49-D51-D52-D53</f>
        <v>19261346.973333333</v>
      </c>
      <c r="E54" s="2">
        <f t="shared" si="4"/>
        <v>20838146.973333333</v>
      </c>
      <c r="F54" s="2">
        <f t="shared" si="4"/>
        <v>22503866.973333333</v>
      </c>
      <c r="G54" s="2">
        <f t="shared" si="4"/>
        <v>24263255.373333331</v>
      </c>
      <c r="H54" s="2">
        <f t="shared" si="4"/>
        <v>26121307.065333333</v>
      </c>
      <c r="I54" s="2">
        <f t="shared" si="4"/>
        <v>28083276.030093331</v>
      </c>
      <c r="J54" s="2">
        <f t="shared" si="4"/>
        <v>30154688.57189614</v>
      </c>
      <c r="K54" s="2">
        <f t="shared" si="4"/>
        <v>32341357.223458026</v>
      </c>
      <c r="L54" s="2">
        <f t="shared" si="4"/>
        <v>34649395.354747012</v>
      </c>
      <c r="M54" s="2">
        <f t="shared" si="4"/>
        <v>-126274494.67883605</v>
      </c>
    </row>
    <row r="55" spans="1:92" ht="15.6" x14ac:dyDescent="0.3">
      <c r="B55" s="22" t="s">
        <v>91</v>
      </c>
      <c r="C55" s="2"/>
      <c r="D55" s="2">
        <f>+IF(D54&lt;0,0,D54*$J$25)</f>
        <v>2889202.0459999996</v>
      </c>
      <c r="E55" s="2">
        <f>+IF(E54&lt;0,0,E54*$J$25)</f>
        <v>3125722.0459999996</v>
      </c>
      <c r="F55" s="2">
        <f t="shared" ref="F55:M55" si="5">+IF(F54&lt;0,0,F54*$K$8)</f>
        <v>0</v>
      </c>
      <c r="G55" s="2">
        <f t="shared" si="5"/>
        <v>0</v>
      </c>
      <c r="H55" s="2">
        <f t="shared" si="5"/>
        <v>0</v>
      </c>
      <c r="I55" s="2">
        <f t="shared" si="5"/>
        <v>0</v>
      </c>
      <c r="J55" s="2">
        <f t="shared" si="5"/>
        <v>0</v>
      </c>
      <c r="K55" s="2">
        <f t="shared" si="5"/>
        <v>0</v>
      </c>
      <c r="L55" s="2">
        <f t="shared" si="5"/>
        <v>0</v>
      </c>
      <c r="M55" s="2">
        <f t="shared" si="5"/>
        <v>0</v>
      </c>
    </row>
    <row r="56" spans="1:92" ht="15.6" x14ac:dyDescent="0.3">
      <c r="B56" s="25" t="s">
        <v>90</v>
      </c>
      <c r="C56" s="2"/>
      <c r="D56" s="2">
        <f>+D54-D55</f>
        <v>16372144.927333333</v>
      </c>
      <c r="E56" s="2">
        <f t="shared" ref="E56:M56" si="6">+E54-E55</f>
        <v>17712424.927333333</v>
      </c>
      <c r="F56" s="2">
        <f t="shared" si="6"/>
        <v>22503866.973333333</v>
      </c>
      <c r="G56" s="2">
        <f t="shared" si="6"/>
        <v>24263255.373333331</v>
      </c>
      <c r="H56" s="2">
        <f t="shared" si="6"/>
        <v>26121307.065333333</v>
      </c>
      <c r="I56" s="2">
        <f t="shared" si="6"/>
        <v>28083276.030093331</v>
      </c>
      <c r="J56" s="2">
        <f t="shared" si="6"/>
        <v>30154688.57189614</v>
      </c>
      <c r="K56" s="2">
        <f t="shared" si="6"/>
        <v>32341357.223458026</v>
      </c>
      <c r="L56" s="2">
        <f t="shared" si="6"/>
        <v>34649395.354747012</v>
      </c>
      <c r="M56" s="2">
        <f t="shared" si="6"/>
        <v>-126274494.67883605</v>
      </c>
    </row>
    <row r="57" spans="1:92" ht="15.6" x14ac:dyDescent="0.3">
      <c r="B57" s="22" t="s">
        <v>92</v>
      </c>
      <c r="C57" s="2"/>
      <c r="D57" s="2">
        <f t="shared" ref="D57:M57" si="7">+D52</f>
        <v>5554653.0266666673</v>
      </c>
      <c r="E57" s="2">
        <f t="shared" si="7"/>
        <v>5554653.0266666673</v>
      </c>
      <c r="F57" s="2">
        <f t="shared" si="7"/>
        <v>5554653.0266666673</v>
      </c>
      <c r="G57" s="2">
        <f t="shared" si="7"/>
        <v>5554653.0266666673</v>
      </c>
      <c r="H57" s="2">
        <f t="shared" si="7"/>
        <v>5554653.0266666673</v>
      </c>
      <c r="I57" s="2">
        <f t="shared" si="7"/>
        <v>5554653.0266666673</v>
      </c>
      <c r="J57" s="2">
        <f t="shared" si="7"/>
        <v>5554653.0266666673</v>
      </c>
      <c r="K57" s="2">
        <f t="shared" si="7"/>
        <v>5554653.0266666673</v>
      </c>
      <c r="L57" s="2">
        <f t="shared" si="7"/>
        <v>5554653.0266666673</v>
      </c>
      <c r="M57" s="2">
        <f t="shared" si="7"/>
        <v>5554653.0266666673</v>
      </c>
    </row>
    <row r="58" spans="1:92" ht="15.6" x14ac:dyDescent="0.3">
      <c r="B58" s="22" t="s">
        <v>93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>
        <f>+M53</f>
        <v>163359727.19999999</v>
      </c>
    </row>
    <row r="59" spans="1:92" ht="15.6" x14ac:dyDescent="0.3">
      <c r="B59" s="22" t="s">
        <v>70</v>
      </c>
      <c r="C59" s="2">
        <f>G27</f>
        <v>166639590.80000001</v>
      </c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92" ht="15.6" x14ac:dyDescent="0.3">
      <c r="B60" s="22" t="s">
        <v>71</v>
      </c>
      <c r="C60" s="2"/>
      <c r="D60" s="2"/>
      <c r="E60" s="2"/>
      <c r="F60" s="2"/>
      <c r="G60" s="2"/>
      <c r="H60" s="2">
        <f>+C59*0.1</f>
        <v>16663959.080000002</v>
      </c>
      <c r="I60" s="2"/>
      <c r="J60" s="2"/>
      <c r="K60" s="2"/>
      <c r="L60" s="2"/>
      <c r="M60" s="2"/>
      <c r="N60" s="130"/>
    </row>
    <row r="61" spans="1:92" s="129" customFormat="1" ht="15.6" x14ac:dyDescent="0.3">
      <c r="A61" s="130"/>
      <c r="B61" s="127" t="s">
        <v>94</v>
      </c>
      <c r="C61" s="128">
        <f>-C59</f>
        <v>-166639590.80000001</v>
      </c>
      <c r="D61" s="128">
        <f t="shared" ref="D61:M61" si="8">+D56+D57+D58-D60</f>
        <v>21926797.954</v>
      </c>
      <c r="E61" s="128">
        <f t="shared" si="8"/>
        <v>23267077.954</v>
      </c>
      <c r="F61" s="128">
        <f t="shared" si="8"/>
        <v>28058520</v>
      </c>
      <c r="G61" s="128">
        <f t="shared" si="8"/>
        <v>29817908.399999999</v>
      </c>
      <c r="H61" s="128">
        <f t="shared" si="8"/>
        <v>15012001.011999998</v>
      </c>
      <c r="I61" s="128">
        <f t="shared" si="8"/>
        <v>33637929.056759998</v>
      </c>
      <c r="J61" s="128">
        <f t="shared" si="8"/>
        <v>35709341.598562807</v>
      </c>
      <c r="K61" s="128">
        <f t="shared" si="8"/>
        <v>37896010.250124693</v>
      </c>
      <c r="L61" s="128">
        <f t="shared" si="8"/>
        <v>40204048.381413683</v>
      </c>
      <c r="M61" s="128">
        <f t="shared" si="8"/>
        <v>42639885.547830611</v>
      </c>
      <c r="N61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30"/>
      <c r="AT61" s="130"/>
      <c r="AU61" s="130"/>
      <c r="AV61" s="130"/>
      <c r="AW61" s="130"/>
      <c r="AX61" s="130"/>
      <c r="AY61" s="130"/>
      <c r="AZ61" s="130"/>
      <c r="BA61" s="130"/>
      <c r="BB61" s="130"/>
      <c r="BC61" s="130"/>
      <c r="BD61" s="130"/>
      <c r="BE61" s="130"/>
      <c r="BF61" s="130"/>
      <c r="BG61" s="130"/>
      <c r="BH61" s="130"/>
      <c r="BI61" s="130"/>
      <c r="BJ61" s="130"/>
      <c r="BK61" s="130"/>
      <c r="BL61" s="130"/>
      <c r="BM61" s="130"/>
      <c r="BN61" s="130"/>
      <c r="BO61" s="130"/>
      <c r="BP61" s="130"/>
      <c r="BQ61" s="130"/>
      <c r="BR61" s="130"/>
      <c r="BS61" s="130"/>
      <c r="BT61" s="130"/>
      <c r="BU61" s="130"/>
      <c r="BV61" s="130"/>
      <c r="BW61" s="130"/>
      <c r="BX61" s="130"/>
      <c r="BY61" s="130"/>
      <c r="BZ61" s="130"/>
      <c r="CA61" s="130"/>
      <c r="CB61" s="130"/>
      <c r="CC61" s="130"/>
      <c r="CD61" s="130"/>
      <c r="CE61" s="130"/>
      <c r="CF61" s="130"/>
      <c r="CG61" s="130"/>
      <c r="CH61" s="130"/>
      <c r="CI61" s="130"/>
      <c r="CJ61" s="130"/>
      <c r="CK61" s="130"/>
      <c r="CL61" s="130"/>
      <c r="CM61" s="130"/>
      <c r="CN61" s="130"/>
    </row>
    <row r="62" spans="1:92" ht="15.6" x14ac:dyDescent="0.3">
      <c r="B62" s="22" t="s">
        <v>75</v>
      </c>
      <c r="C62" s="2">
        <f>NPV(C63,D61:M61)+C61</f>
        <v>11771941.391856492</v>
      </c>
    </row>
    <row r="63" spans="1:92" ht="15.6" x14ac:dyDescent="0.3">
      <c r="B63" s="23" t="s">
        <v>95</v>
      </c>
      <c r="C63" s="26">
        <v>0.1</v>
      </c>
    </row>
    <row r="64" spans="1:92" ht="15.6" x14ac:dyDescent="0.3">
      <c r="B64" s="23" t="s">
        <v>45</v>
      </c>
      <c r="C64" s="27">
        <f>+C65/C66</f>
        <v>1.0706431246940897</v>
      </c>
    </row>
    <row r="65" spans="2:5" ht="15.6" x14ac:dyDescent="0.3">
      <c r="B65" s="23" t="s">
        <v>46</v>
      </c>
      <c r="C65" s="2">
        <f>NPV(C63,D61:M61)</f>
        <v>178411532.1918565</v>
      </c>
    </row>
    <row r="66" spans="2:5" ht="15.6" x14ac:dyDescent="0.3">
      <c r="B66" s="23" t="s">
        <v>47</v>
      </c>
      <c r="C66" s="2">
        <f>-C61</f>
        <v>166639590.80000001</v>
      </c>
    </row>
    <row r="67" spans="2:5" x14ac:dyDescent="0.3">
      <c r="B67" s="32" t="s">
        <v>106</v>
      </c>
      <c r="C67" s="33">
        <f>MIRR(C61:M61,0,C63)</f>
        <v>0.10753423199209733</v>
      </c>
    </row>
    <row r="70" spans="2:5" x14ac:dyDescent="0.3">
      <c r="B70" s="205" t="s">
        <v>172</v>
      </c>
      <c r="C70" s="68" t="s">
        <v>173</v>
      </c>
      <c r="D70" s="59">
        <v>10</v>
      </c>
      <c r="E70" s="206">
        <f>D70+((D73-D71)/D72)</f>
        <v>10.588877318095562</v>
      </c>
    </row>
    <row r="71" spans="2:5" x14ac:dyDescent="0.3">
      <c r="B71" s="205"/>
      <c r="C71" s="68" t="s">
        <v>174</v>
      </c>
      <c r="D71" s="75">
        <f>SUM(C61:M61)</f>
        <v>141529929.35469177</v>
      </c>
      <c r="E71" s="206"/>
    </row>
    <row r="72" spans="2:5" x14ac:dyDescent="0.3">
      <c r="B72" s="205"/>
      <c r="C72" s="68" t="s">
        <v>175</v>
      </c>
      <c r="D72" s="75">
        <f>M61</f>
        <v>42639885.547830611</v>
      </c>
      <c r="E72" s="206"/>
    </row>
    <row r="73" spans="2:5" x14ac:dyDescent="0.3">
      <c r="B73" s="205"/>
      <c r="C73" s="68" t="s">
        <v>176</v>
      </c>
      <c r="D73" s="75">
        <f>C59</f>
        <v>166639590.80000001</v>
      </c>
      <c r="E73" s="206"/>
    </row>
    <row r="80" spans="2:5" ht="31.2" x14ac:dyDescent="0.3">
      <c r="B80" s="131" t="s">
        <v>103</v>
      </c>
      <c r="C80" s="137"/>
      <c r="D80" s="138"/>
    </row>
    <row r="81" spans="2:19" ht="15.6" x14ac:dyDescent="0.3">
      <c r="B81" s="2"/>
      <c r="C81" s="3">
        <v>0</v>
      </c>
      <c r="D81" s="3">
        <v>1</v>
      </c>
      <c r="E81" s="3">
        <f>+D81+1</f>
        <v>2</v>
      </c>
      <c r="F81" s="3">
        <f t="shared" ref="F81:M81" si="9">+E81+1</f>
        <v>3</v>
      </c>
      <c r="G81" s="3">
        <f t="shared" si="9"/>
        <v>4</v>
      </c>
      <c r="H81" s="3">
        <f t="shared" si="9"/>
        <v>5</v>
      </c>
      <c r="I81" s="3">
        <f t="shared" si="9"/>
        <v>6</v>
      </c>
      <c r="J81" s="3">
        <f t="shared" si="9"/>
        <v>7</v>
      </c>
      <c r="K81" s="3">
        <f t="shared" si="9"/>
        <v>8</v>
      </c>
      <c r="L81" s="3">
        <f t="shared" si="9"/>
        <v>9</v>
      </c>
      <c r="M81" s="3">
        <f t="shared" si="9"/>
        <v>10</v>
      </c>
    </row>
    <row r="82" spans="2:19" ht="15.6" x14ac:dyDescent="0.3">
      <c r="B82" s="4" t="s">
        <v>169</v>
      </c>
      <c r="C82" s="2"/>
      <c r="D82" s="3">
        <f>+SUM(D83:D84)</f>
        <v>136187200.00000003</v>
      </c>
      <c r="E82" s="3">
        <f t="shared" ref="E82:M82" si="10">+SUM(E83:E84)</f>
        <v>136187200.00000003</v>
      </c>
      <c r="F82" s="3">
        <f t="shared" si="10"/>
        <v>136187200.00000003</v>
      </c>
      <c r="G82" s="3">
        <f t="shared" si="10"/>
        <v>136187200.00000003</v>
      </c>
      <c r="H82" s="3">
        <f t="shared" si="10"/>
        <v>136187200.00000003</v>
      </c>
      <c r="I82" s="3">
        <f t="shared" si="10"/>
        <v>136187200.00000003</v>
      </c>
      <c r="J82" s="3">
        <f t="shared" si="10"/>
        <v>136187200.00000003</v>
      </c>
      <c r="K82" s="3">
        <f t="shared" si="10"/>
        <v>136187200.00000003</v>
      </c>
      <c r="L82" s="3">
        <f t="shared" si="10"/>
        <v>136187200.00000003</v>
      </c>
      <c r="M82" s="3">
        <f t="shared" si="10"/>
        <v>136187200.00000003</v>
      </c>
    </row>
    <row r="83" spans="2:19" ht="15.6" x14ac:dyDescent="0.3">
      <c r="B83" s="2" t="s">
        <v>37</v>
      </c>
      <c r="C83" s="2"/>
      <c r="D83" s="2">
        <f>S92</f>
        <v>41712000.000000007</v>
      </c>
      <c r="E83" s="2">
        <f>+D83</f>
        <v>41712000.000000007</v>
      </c>
      <c r="F83" s="2">
        <f t="shared" ref="F83:M84" si="11">+E83</f>
        <v>41712000.000000007</v>
      </c>
      <c r="G83" s="2">
        <f t="shared" si="11"/>
        <v>41712000.000000007</v>
      </c>
      <c r="H83" s="2">
        <f t="shared" si="11"/>
        <v>41712000.000000007</v>
      </c>
      <c r="I83" s="2">
        <f t="shared" si="11"/>
        <v>41712000.000000007</v>
      </c>
      <c r="J83" s="2">
        <f t="shared" si="11"/>
        <v>41712000.000000007</v>
      </c>
      <c r="K83" s="2">
        <f t="shared" si="11"/>
        <v>41712000.000000007</v>
      </c>
      <c r="L83" s="2">
        <f t="shared" si="11"/>
        <v>41712000.000000007</v>
      </c>
      <c r="M83" s="2">
        <f t="shared" si="11"/>
        <v>41712000.000000007</v>
      </c>
    </row>
    <row r="84" spans="2:19" ht="15.6" x14ac:dyDescent="0.3">
      <c r="B84" s="2" t="s">
        <v>38</v>
      </c>
      <c r="C84" s="2"/>
      <c r="D84" s="2">
        <f>S88</f>
        <v>94475200.000000015</v>
      </c>
      <c r="E84" s="2">
        <f>+D84</f>
        <v>94475200.000000015</v>
      </c>
      <c r="F84" s="2">
        <f t="shared" si="11"/>
        <v>94475200.000000015</v>
      </c>
      <c r="G84" s="2">
        <f t="shared" si="11"/>
        <v>94475200.000000015</v>
      </c>
      <c r="H84" s="2">
        <f t="shared" si="11"/>
        <v>94475200.000000015</v>
      </c>
      <c r="I84" s="2">
        <f t="shared" si="11"/>
        <v>94475200.000000015</v>
      </c>
      <c r="J84" s="2">
        <f t="shared" si="11"/>
        <v>94475200.000000015</v>
      </c>
      <c r="K84" s="2">
        <f t="shared" si="11"/>
        <v>94475200.000000015</v>
      </c>
      <c r="L84" s="2">
        <f t="shared" si="11"/>
        <v>94475200.000000015</v>
      </c>
      <c r="M84" s="2">
        <f t="shared" si="11"/>
        <v>94475200.000000015</v>
      </c>
      <c r="O84" s="191" t="s">
        <v>166</v>
      </c>
      <c r="P84" s="207"/>
      <c r="Q84" s="207"/>
      <c r="R84" s="207"/>
      <c r="S84" s="192"/>
    </row>
    <row r="85" spans="2:19" ht="15.6" x14ac:dyDescent="0.3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O85" s="1"/>
      <c r="P85" s="1" t="s">
        <v>23</v>
      </c>
      <c r="Q85" s="1" t="s">
        <v>24</v>
      </c>
      <c r="R85" s="1" t="s">
        <v>20</v>
      </c>
      <c r="S85" s="1" t="s">
        <v>21</v>
      </c>
    </row>
    <row r="86" spans="2:19" ht="15.6" x14ac:dyDescent="0.3">
      <c r="B86" s="4" t="s">
        <v>170</v>
      </c>
      <c r="C86" s="2"/>
      <c r="D86" s="2">
        <f t="shared" ref="D86:M86" si="12">+SUM(D87:D89)</f>
        <v>14004000</v>
      </c>
      <c r="E86" s="2">
        <f t="shared" si="12"/>
        <v>14004000</v>
      </c>
      <c r="F86" s="2">
        <f t="shared" si="12"/>
        <v>14004000</v>
      </c>
      <c r="G86" s="2">
        <f t="shared" si="12"/>
        <v>14004000</v>
      </c>
      <c r="H86" s="2">
        <f t="shared" si="12"/>
        <v>14004000</v>
      </c>
      <c r="I86" s="2">
        <f t="shared" si="12"/>
        <v>14004000</v>
      </c>
      <c r="J86" s="2">
        <f t="shared" si="12"/>
        <v>14004000</v>
      </c>
      <c r="K86" s="2">
        <f t="shared" si="12"/>
        <v>14004000</v>
      </c>
      <c r="L86" s="2">
        <f t="shared" si="12"/>
        <v>14004000</v>
      </c>
      <c r="M86" s="2">
        <f t="shared" si="12"/>
        <v>14004000</v>
      </c>
      <c r="O86" s="1" t="s">
        <v>22</v>
      </c>
      <c r="P86" s="1">
        <f>C12-C5</f>
        <v>1644</v>
      </c>
      <c r="Q86" s="1">
        <f>C10</f>
        <v>800</v>
      </c>
      <c r="R86" s="99">
        <f>P86*Q86</f>
        <v>1315200</v>
      </c>
      <c r="S86" s="100">
        <f>R86*12</f>
        <v>15782400</v>
      </c>
    </row>
    <row r="87" spans="2:19" ht="15.6" x14ac:dyDescent="0.3">
      <c r="B87" s="2" t="s">
        <v>39</v>
      </c>
      <c r="C87" s="2"/>
      <c r="D87" s="2">
        <f>E38</f>
        <v>3600000</v>
      </c>
      <c r="E87" s="2">
        <f t="shared" ref="E87:M89" si="13">+D87</f>
        <v>3600000</v>
      </c>
      <c r="F87" s="2">
        <f t="shared" si="13"/>
        <v>3600000</v>
      </c>
      <c r="G87" s="2">
        <f t="shared" si="13"/>
        <v>3600000</v>
      </c>
      <c r="H87" s="2">
        <f t="shared" si="13"/>
        <v>3600000</v>
      </c>
      <c r="I87" s="2">
        <f t="shared" si="13"/>
        <v>3600000</v>
      </c>
      <c r="J87" s="2">
        <f t="shared" si="13"/>
        <v>3600000</v>
      </c>
      <c r="K87" s="2">
        <f t="shared" si="13"/>
        <v>3600000</v>
      </c>
      <c r="L87" s="2">
        <f t="shared" si="13"/>
        <v>3600000</v>
      </c>
      <c r="M87" s="2">
        <f t="shared" si="13"/>
        <v>3600000</v>
      </c>
      <c r="O87" s="1" t="s">
        <v>25</v>
      </c>
      <c r="P87" s="1"/>
      <c r="Q87" s="1"/>
      <c r="R87" s="100">
        <f>P86*(G8-C10)/2</f>
        <v>6557733.3333333349</v>
      </c>
      <c r="S87" s="100">
        <f>R87*12</f>
        <v>78692800.000000015</v>
      </c>
    </row>
    <row r="88" spans="2:19" ht="15.6" x14ac:dyDescent="0.3">
      <c r="B88" s="2" t="s">
        <v>33</v>
      </c>
      <c r="C88" s="2"/>
      <c r="D88" s="2">
        <f>E39</f>
        <v>4800000</v>
      </c>
      <c r="E88" s="2">
        <f t="shared" si="13"/>
        <v>4800000</v>
      </c>
      <c r="F88" s="2">
        <f t="shared" si="13"/>
        <v>4800000</v>
      </c>
      <c r="G88" s="2">
        <f t="shared" si="13"/>
        <v>4800000</v>
      </c>
      <c r="H88" s="2">
        <f t="shared" si="13"/>
        <v>4800000</v>
      </c>
      <c r="I88" s="2">
        <f t="shared" si="13"/>
        <v>4800000</v>
      </c>
      <c r="J88" s="2">
        <f t="shared" si="13"/>
        <v>4800000</v>
      </c>
      <c r="K88" s="2">
        <f t="shared" si="13"/>
        <v>4800000</v>
      </c>
      <c r="L88" s="2">
        <f t="shared" si="13"/>
        <v>4800000</v>
      </c>
      <c r="M88" s="2">
        <f t="shared" si="13"/>
        <v>4800000</v>
      </c>
      <c r="O88" s="208" t="s">
        <v>29</v>
      </c>
      <c r="P88" s="209"/>
      <c r="Q88" s="210"/>
      <c r="R88" s="132">
        <f>SUM(R86:R87)</f>
        <v>7872933.3333333349</v>
      </c>
      <c r="S88" s="132">
        <f>SUM(S86:S87)</f>
        <v>94475200.000000015</v>
      </c>
    </row>
    <row r="89" spans="2:19" ht="15.6" x14ac:dyDescent="0.3">
      <c r="B89" s="2" t="s">
        <v>40</v>
      </c>
      <c r="C89" s="2"/>
      <c r="D89" s="2">
        <f>SUM(E40:E41)</f>
        <v>5604000</v>
      </c>
      <c r="E89" s="2">
        <f t="shared" si="13"/>
        <v>5604000</v>
      </c>
      <c r="F89" s="2">
        <f t="shared" si="13"/>
        <v>5604000</v>
      </c>
      <c r="G89" s="2">
        <f t="shared" si="13"/>
        <v>5604000</v>
      </c>
      <c r="H89" s="2">
        <f t="shared" si="13"/>
        <v>5604000</v>
      </c>
      <c r="I89" s="2">
        <f t="shared" si="13"/>
        <v>5604000</v>
      </c>
      <c r="J89" s="2">
        <f t="shared" si="13"/>
        <v>5604000</v>
      </c>
      <c r="K89" s="2">
        <f t="shared" si="13"/>
        <v>5604000</v>
      </c>
      <c r="L89" s="2">
        <f t="shared" si="13"/>
        <v>5604000</v>
      </c>
      <c r="M89" s="2">
        <f t="shared" si="13"/>
        <v>5604000</v>
      </c>
      <c r="O89" s="211"/>
      <c r="P89" s="212"/>
      <c r="Q89" s="212"/>
      <c r="R89" s="212"/>
      <c r="S89" s="213"/>
    </row>
    <row r="90" spans="2:19" ht="15.6" x14ac:dyDescent="0.3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O90" s="191" t="s">
        <v>167</v>
      </c>
      <c r="P90" s="207"/>
      <c r="Q90" s="207"/>
      <c r="R90" s="207"/>
      <c r="S90" s="192"/>
    </row>
    <row r="91" spans="2:19" ht="15.6" x14ac:dyDescent="0.3">
      <c r="B91" s="4" t="s">
        <v>171</v>
      </c>
      <c r="C91" s="2">
        <f>+SUM(C92:C97)</f>
        <v>157858790.80000001</v>
      </c>
      <c r="D91" s="2">
        <f t="shared" ref="D91:M91" si="14">+SUM(D92:D97)</f>
        <v>0</v>
      </c>
      <c r="E91" s="2">
        <f t="shared" si="14"/>
        <v>0</v>
      </c>
      <c r="F91" s="2">
        <f t="shared" si="14"/>
        <v>0</v>
      </c>
      <c r="G91" s="2">
        <f t="shared" si="14"/>
        <v>0</v>
      </c>
      <c r="H91" s="2">
        <f t="shared" si="14"/>
        <v>0</v>
      </c>
      <c r="I91" s="2">
        <f t="shared" si="14"/>
        <v>15104000</v>
      </c>
      <c r="J91" s="2">
        <f t="shared" si="14"/>
        <v>0</v>
      </c>
      <c r="K91" s="2">
        <f t="shared" si="14"/>
        <v>0</v>
      </c>
      <c r="L91" s="2">
        <f t="shared" si="14"/>
        <v>0</v>
      </c>
      <c r="M91" s="2">
        <f t="shared" si="14"/>
        <v>0</v>
      </c>
      <c r="O91" s="1"/>
      <c r="P91" s="1" t="s">
        <v>48</v>
      </c>
      <c r="Q91" s="1" t="s">
        <v>27</v>
      </c>
      <c r="R91" s="1" t="s">
        <v>20</v>
      </c>
      <c r="S91" s="1" t="s">
        <v>28</v>
      </c>
    </row>
    <row r="92" spans="2:19" ht="15.6" x14ac:dyDescent="0.3">
      <c r="B92" s="2" t="s">
        <v>0</v>
      </c>
      <c r="C92" s="134">
        <f>F23</f>
        <v>75520000</v>
      </c>
      <c r="D92" s="2"/>
      <c r="E92" s="2"/>
      <c r="F92" s="2"/>
      <c r="G92" s="2"/>
      <c r="H92" s="2"/>
      <c r="I92" s="2"/>
      <c r="J92" s="2"/>
      <c r="K92" s="2"/>
      <c r="L92" s="2"/>
      <c r="M92" s="2"/>
      <c r="O92" s="133" t="s">
        <v>26</v>
      </c>
      <c r="P92" s="100">
        <f>G8</f>
        <v>8777.7777777777792</v>
      </c>
      <c r="Q92" s="1">
        <f>C5</f>
        <v>396</v>
      </c>
      <c r="R92" s="132">
        <f>P92*Q92</f>
        <v>3476000.0000000005</v>
      </c>
      <c r="S92" s="132">
        <f>R92*12</f>
        <v>41712000.000000007</v>
      </c>
    </row>
    <row r="93" spans="2:19" ht="15.6" x14ac:dyDescent="0.3">
      <c r="B93" s="2" t="s">
        <v>1</v>
      </c>
      <c r="C93" s="134">
        <f>F24</f>
        <v>15104000</v>
      </c>
      <c r="D93" s="2"/>
      <c r="E93" s="2"/>
      <c r="F93" s="2"/>
      <c r="G93" s="2"/>
      <c r="H93" s="2"/>
      <c r="I93" s="2">
        <f>+C93</f>
        <v>15104000</v>
      </c>
      <c r="J93" s="2"/>
      <c r="K93" s="2"/>
      <c r="L93" s="2"/>
      <c r="M93" s="2"/>
      <c r="O93" s="1"/>
      <c r="P93" s="1"/>
      <c r="Q93" s="1"/>
      <c r="R93" s="1"/>
      <c r="S93" s="1"/>
    </row>
    <row r="94" spans="2:19" ht="15.6" x14ac:dyDescent="0.3">
      <c r="B94" s="2" t="s">
        <v>3</v>
      </c>
      <c r="C94" s="134">
        <f>F25</f>
        <v>15859200</v>
      </c>
      <c r="D94" s="2"/>
      <c r="E94" s="2"/>
      <c r="F94" s="2"/>
      <c r="G94" s="2"/>
      <c r="H94" s="2"/>
      <c r="I94" s="2"/>
      <c r="J94" s="2"/>
      <c r="K94" s="2"/>
      <c r="L94" s="2"/>
      <c r="M94" s="2"/>
      <c r="O94" s="191" t="s">
        <v>168</v>
      </c>
      <c r="P94" s="207"/>
      <c r="Q94" s="207"/>
      <c r="R94" s="207"/>
      <c r="S94" s="192"/>
    </row>
    <row r="95" spans="2:19" ht="15.6" x14ac:dyDescent="0.3">
      <c r="B95" s="2" t="s">
        <v>2</v>
      </c>
      <c r="C95" s="134">
        <f>F26</f>
        <v>22656000</v>
      </c>
      <c r="D95" s="2"/>
      <c r="E95" s="2"/>
      <c r="F95" s="2"/>
      <c r="G95" s="2"/>
      <c r="H95" s="2"/>
      <c r="I95" s="2"/>
      <c r="J95" s="2"/>
      <c r="K95" s="2"/>
      <c r="L95" s="2"/>
      <c r="M95" s="2"/>
      <c r="O95" s="1"/>
      <c r="P95" s="1"/>
    </row>
    <row r="96" spans="2:19" ht="15.6" x14ac:dyDescent="0.3">
      <c r="B96" s="2" t="s">
        <v>4</v>
      </c>
      <c r="C96" s="134">
        <f>F27</f>
        <v>18880000</v>
      </c>
      <c r="D96" s="2"/>
      <c r="E96" s="2"/>
      <c r="F96" s="2"/>
      <c r="G96" s="2"/>
      <c r="H96" s="2"/>
      <c r="I96" s="2"/>
      <c r="J96" s="2"/>
      <c r="K96" s="2"/>
      <c r="L96" s="2"/>
      <c r="M96" s="2"/>
      <c r="O96" s="1" t="s">
        <v>29</v>
      </c>
      <c r="P96" s="100">
        <f>S88</f>
        <v>94475200.000000015</v>
      </c>
    </row>
    <row r="97" spans="2:16" ht="15.6" x14ac:dyDescent="0.3">
      <c r="B97" s="3" t="s">
        <v>41</v>
      </c>
      <c r="C97" s="2">
        <f>F30</f>
        <v>9839590.8000000007</v>
      </c>
      <c r="D97" s="2"/>
      <c r="E97" s="2"/>
      <c r="F97" s="2"/>
      <c r="G97" s="2"/>
      <c r="H97" s="2"/>
      <c r="I97" s="2"/>
      <c r="J97" s="2"/>
      <c r="K97" s="2"/>
      <c r="L97" s="2"/>
      <c r="M97" s="2"/>
      <c r="O97" s="1" t="s">
        <v>26</v>
      </c>
      <c r="P97" s="100">
        <f>S92</f>
        <v>41712000.000000007</v>
      </c>
    </row>
    <row r="98" spans="2:16" ht="15.6" x14ac:dyDescent="0.3"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O98" s="133" t="s">
        <v>57</v>
      </c>
      <c r="P98" s="132">
        <f>SUM(P96:P97)</f>
        <v>136187200.00000003</v>
      </c>
    </row>
    <row r="99" spans="2:16" ht="15.6" x14ac:dyDescent="0.3">
      <c r="B99" s="135" t="s">
        <v>42</v>
      </c>
      <c r="C99" s="136">
        <f>C82-C86-C91</f>
        <v>-157858790.80000001</v>
      </c>
      <c r="D99" s="136">
        <f>D82-D86-D91</f>
        <v>122183200.00000003</v>
      </c>
      <c r="E99" s="136">
        <f t="shared" ref="E99:M99" si="15">E82-E86-E91</f>
        <v>122183200.00000003</v>
      </c>
      <c r="F99" s="136">
        <f t="shared" si="15"/>
        <v>122183200.00000003</v>
      </c>
      <c r="G99" s="136">
        <f t="shared" si="15"/>
        <v>122183200.00000003</v>
      </c>
      <c r="H99" s="136">
        <f t="shared" si="15"/>
        <v>122183200.00000003</v>
      </c>
      <c r="I99" s="136">
        <f t="shared" si="15"/>
        <v>107079200.00000003</v>
      </c>
      <c r="J99" s="136">
        <f t="shared" si="15"/>
        <v>122183200.00000003</v>
      </c>
      <c r="K99" s="136">
        <f t="shared" si="15"/>
        <v>122183200.00000003</v>
      </c>
      <c r="L99" s="136">
        <f t="shared" si="15"/>
        <v>122183200.00000003</v>
      </c>
      <c r="M99" s="136">
        <f t="shared" si="15"/>
        <v>122183200.00000003</v>
      </c>
    </row>
    <row r="100" spans="2:16" ht="15.6" x14ac:dyDescent="0.3">
      <c r="B100" s="24"/>
      <c r="C100" s="24"/>
      <c r="D100" s="138"/>
    </row>
    <row r="101" spans="2:16" ht="15.6" x14ac:dyDescent="0.3">
      <c r="B101" s="139" t="s">
        <v>43</v>
      </c>
      <c r="C101" s="2">
        <f>NPV(C105,D99:M99)+C99</f>
        <v>524851383.0706678</v>
      </c>
      <c r="D101" s="138"/>
    </row>
    <row r="102" spans="2:16" ht="15.6" x14ac:dyDescent="0.3">
      <c r="B102" s="139" t="s">
        <v>45</v>
      </c>
      <c r="C102" s="140">
        <f>+C103/C104</f>
        <v>4.3248156812225353</v>
      </c>
      <c r="D102" s="138"/>
    </row>
    <row r="103" spans="2:16" ht="15.6" x14ac:dyDescent="0.3">
      <c r="B103" s="139" t="s">
        <v>46</v>
      </c>
      <c r="C103" s="2">
        <f>NPV(C105,D99:M99)</f>
        <v>682710173.87066782</v>
      </c>
      <c r="D103" s="138"/>
    </row>
    <row r="104" spans="2:16" ht="15.6" x14ac:dyDescent="0.3">
      <c r="B104" s="139" t="s">
        <v>47</v>
      </c>
      <c r="C104" s="2">
        <f>-C99</f>
        <v>157858790.80000001</v>
      </c>
      <c r="D104" s="138"/>
    </row>
    <row r="105" spans="2:16" ht="15.6" x14ac:dyDescent="0.3">
      <c r="B105" s="23" t="s">
        <v>44</v>
      </c>
      <c r="C105" s="26">
        <v>0.12</v>
      </c>
      <c r="D105" s="138"/>
    </row>
    <row r="108" spans="2:16" x14ac:dyDescent="0.3">
      <c r="B108" s="205" t="s">
        <v>172</v>
      </c>
      <c r="C108" s="68" t="s">
        <v>173</v>
      </c>
      <c r="D108" s="59">
        <v>4</v>
      </c>
      <c r="E108" s="206">
        <f>D108+((D111-D109)/D110)</f>
        <v>2.583968840233354</v>
      </c>
    </row>
    <row r="109" spans="2:16" x14ac:dyDescent="0.3">
      <c r="B109" s="205"/>
      <c r="C109" s="68" t="s">
        <v>174</v>
      </c>
      <c r="D109" s="75">
        <f>SUM(C99:G99)</f>
        <v>330874009.20000011</v>
      </c>
      <c r="E109" s="206"/>
    </row>
    <row r="110" spans="2:16" x14ac:dyDescent="0.3">
      <c r="B110" s="205"/>
      <c r="C110" s="68" t="s">
        <v>175</v>
      </c>
      <c r="D110" s="75">
        <f>C99:H99</f>
        <v>122183200.00000003</v>
      </c>
      <c r="E110" s="206"/>
    </row>
    <row r="111" spans="2:16" x14ac:dyDescent="0.3">
      <c r="B111" s="205"/>
      <c r="C111" s="68" t="s">
        <v>176</v>
      </c>
      <c r="D111" s="75">
        <f>G29</f>
        <v>157858790.80000001</v>
      </c>
      <c r="E111" s="206"/>
    </row>
  </sheetData>
  <scenarios current="1" show="1">
    <scenario name="Tarifaa menor" locked="1" count="1" user="Maria Paula" comment="Creado por Maria Paula el 24/04/2017_x000a_Modificado por Maria Paula el 24/04/2017">
      <inputCells r="C10" val="750"/>
    </scenario>
    <scenario name="Normal" locked="1" count="1" user="Maria Paula" comment="Creado por Maria Paula el 24/04/2017_x000a_Modificado por Maria Paula el 24/04/2017">
      <inputCells r="C10" val="800"/>
    </scenario>
  </scenarios>
  <mergeCells count="14">
    <mergeCell ref="B2:C2"/>
    <mergeCell ref="B9:C9"/>
    <mergeCell ref="I13:J13"/>
    <mergeCell ref="B20:F21"/>
    <mergeCell ref="B31:E31"/>
    <mergeCell ref="B70:B73"/>
    <mergeCell ref="E70:E73"/>
    <mergeCell ref="B108:B111"/>
    <mergeCell ref="E108:E111"/>
    <mergeCell ref="O84:S84"/>
    <mergeCell ref="O90:S90"/>
    <mergeCell ref="O88:Q88"/>
    <mergeCell ref="O89:S89"/>
    <mergeCell ref="O94:S9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Acueducto</vt:lpstr>
      <vt:lpstr>GAS</vt:lpstr>
      <vt:lpstr>Energia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Fernando</dc:creator>
  <cp:lastModifiedBy>Maria Paula</cp:lastModifiedBy>
  <dcterms:created xsi:type="dcterms:W3CDTF">2012-05-29T01:34:33Z</dcterms:created>
  <dcterms:modified xsi:type="dcterms:W3CDTF">2017-05-29T19:40:06Z</dcterms:modified>
</cp:coreProperties>
</file>