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ilyn\Desktop\TESIS\Entrega julio\Anexos\"/>
    </mc:Choice>
  </mc:AlternateContent>
  <bookViews>
    <workbookView xWindow="0" yWindow="0" windowWidth="20490" windowHeight="7755"/>
  </bookViews>
  <sheets>
    <sheet name="Pozos" sheetId="5" r:id="rId1"/>
    <sheet name="Tuberia" sheetId="4" r:id="rId2"/>
    <sheet name="Condicionales" sheetId="3" r:id="rId3"/>
    <sheet name="Vol Exc." sheetId="6" r:id="rId4"/>
    <sheet name="Hoja1" sheetId="8" r:id="rId5"/>
    <sheet name="Hoja3" sheetId="10" r:id="rId6"/>
    <sheet name="Hoja2" sheetId="9" r:id="rId7"/>
    <sheet name="Presupuesto" sheetId="7" r:id="rId8"/>
  </sheets>
  <definedNames>
    <definedName name="_xlnm._FilterDatabase" localSheetId="7" hidden="1">Presupuesto!$A$1:$F$30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" i="5" l="1"/>
  <c r="I4" i="5"/>
  <c r="F13" i="8" l="1"/>
  <c r="F23" i="8"/>
  <c r="F22" i="8"/>
  <c r="F21" i="8"/>
  <c r="F20" i="8"/>
  <c r="F19" i="8"/>
  <c r="F3" i="8"/>
  <c r="F4" i="8"/>
  <c r="F5" i="8"/>
  <c r="F6" i="8"/>
  <c r="F7" i="8"/>
  <c r="F2" i="8"/>
  <c r="A26" i="9" l="1"/>
  <c r="A24" i="9"/>
  <c r="A25" i="9"/>
  <c r="A27" i="9"/>
  <c r="A28" i="9"/>
  <c r="A21" i="9"/>
  <c r="A29" i="9" s="1"/>
  <c r="A22" i="9"/>
  <c r="A30" i="9" s="1"/>
  <c r="A23" i="9"/>
  <c r="A7" i="9"/>
  <c r="A8" i="9"/>
  <c r="A9" i="9"/>
  <c r="A10" i="9"/>
  <c r="E22" i="7" l="1"/>
  <c r="D6" i="4" l="1"/>
  <c r="D4" i="7"/>
  <c r="E4" i="7" s="1"/>
  <c r="M33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5" i="5"/>
  <c r="S1" i="5"/>
  <c r="R1" i="5"/>
  <c r="Q1" i="5"/>
  <c r="P1" i="5"/>
  <c r="O1" i="5"/>
  <c r="S5" i="6"/>
  <c r="T5" i="6"/>
  <c r="S7" i="6"/>
  <c r="T7" i="6"/>
  <c r="S8" i="6"/>
  <c r="T8" i="6"/>
  <c r="S9" i="6"/>
  <c r="T9" i="6"/>
  <c r="S10" i="6"/>
  <c r="T10" i="6"/>
  <c r="S12" i="6"/>
  <c r="T12" i="6"/>
  <c r="S13" i="6"/>
  <c r="T13" i="6"/>
  <c r="S14" i="6"/>
  <c r="T14" i="6"/>
  <c r="S15" i="6"/>
  <c r="T15" i="6"/>
  <c r="S16" i="6"/>
  <c r="T16" i="6"/>
  <c r="S19" i="6"/>
  <c r="T19" i="6"/>
  <c r="S20" i="6"/>
  <c r="T20" i="6"/>
  <c r="S21" i="6"/>
  <c r="T21" i="6"/>
  <c r="S22" i="6"/>
  <c r="T22" i="6"/>
  <c r="S25" i="6"/>
  <c r="T25" i="6"/>
  <c r="S26" i="6"/>
  <c r="T26" i="6"/>
  <c r="S27" i="6"/>
  <c r="T27" i="6"/>
  <c r="I33" i="5" l="1"/>
  <c r="V28" i="6" l="1"/>
  <c r="D5" i="5" l="1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4" i="5"/>
  <c r="Q31" i="5" l="1"/>
  <c r="P31" i="5"/>
  <c r="N31" i="5"/>
  <c r="O31" i="5"/>
  <c r="R31" i="5"/>
  <c r="S31" i="5"/>
  <c r="J31" i="5"/>
  <c r="Q23" i="5"/>
  <c r="P23" i="5"/>
  <c r="N23" i="5"/>
  <c r="O23" i="5"/>
  <c r="R23" i="5"/>
  <c r="S23" i="5"/>
  <c r="J23" i="5"/>
  <c r="Q15" i="5"/>
  <c r="N15" i="5"/>
  <c r="R15" i="5"/>
  <c r="P15" i="5"/>
  <c r="S15" i="5"/>
  <c r="O15" i="5"/>
  <c r="J15" i="5"/>
  <c r="Q7" i="5"/>
  <c r="N7" i="5"/>
  <c r="R7" i="5"/>
  <c r="P7" i="5"/>
  <c r="S7" i="5"/>
  <c r="O7" i="5"/>
  <c r="J7" i="5"/>
  <c r="Q26" i="5"/>
  <c r="P26" i="5"/>
  <c r="O26" i="5"/>
  <c r="N26" i="5"/>
  <c r="R26" i="5"/>
  <c r="S26" i="5"/>
  <c r="J26" i="5"/>
  <c r="K26" i="5" s="1"/>
  <c r="L26" i="5" s="1"/>
  <c r="Q18" i="5"/>
  <c r="P18" i="5"/>
  <c r="O18" i="5"/>
  <c r="S18" i="5"/>
  <c r="N18" i="5"/>
  <c r="R18" i="5"/>
  <c r="J18" i="5"/>
  <c r="K18" i="5" s="1"/>
  <c r="L18" i="5" s="1"/>
  <c r="Q10" i="5"/>
  <c r="N10" i="5"/>
  <c r="R10" i="5"/>
  <c r="P10" i="5"/>
  <c r="O10" i="5"/>
  <c r="S10" i="5"/>
  <c r="J10" i="5"/>
  <c r="K10" i="5" s="1"/>
  <c r="L10" i="5" s="1"/>
  <c r="Q6" i="5"/>
  <c r="N6" i="5"/>
  <c r="R6" i="5"/>
  <c r="P6" i="5"/>
  <c r="O6" i="5"/>
  <c r="S6" i="5"/>
  <c r="J6" i="5"/>
  <c r="K6" i="5" s="1"/>
  <c r="L6" i="5" s="1"/>
  <c r="Q32" i="5"/>
  <c r="P32" i="5"/>
  <c r="S32" i="5"/>
  <c r="N32" i="5"/>
  <c r="O32" i="5"/>
  <c r="R32" i="5"/>
  <c r="J32" i="5"/>
  <c r="K32" i="5" s="1"/>
  <c r="L32" i="5" s="1"/>
  <c r="Q28" i="5"/>
  <c r="P28" i="5"/>
  <c r="S28" i="5"/>
  <c r="O28" i="5"/>
  <c r="N28" i="5"/>
  <c r="R28" i="5"/>
  <c r="J28" i="5"/>
  <c r="K28" i="5" s="1"/>
  <c r="L28" i="5" s="1"/>
  <c r="Q24" i="5"/>
  <c r="P24" i="5"/>
  <c r="S24" i="5"/>
  <c r="O24" i="5"/>
  <c r="R24" i="5"/>
  <c r="N24" i="5"/>
  <c r="J24" i="5"/>
  <c r="K24" i="5" s="1"/>
  <c r="L24" i="5" s="1"/>
  <c r="Q20" i="5"/>
  <c r="P20" i="5"/>
  <c r="S20" i="5"/>
  <c r="O20" i="5"/>
  <c r="N20" i="5"/>
  <c r="R20" i="5"/>
  <c r="J20" i="5"/>
  <c r="K20" i="5" s="1"/>
  <c r="L20" i="5" s="1"/>
  <c r="Q16" i="5"/>
  <c r="N16" i="5"/>
  <c r="P16" i="5"/>
  <c r="S16" i="5"/>
  <c r="R16" i="5"/>
  <c r="O16" i="5"/>
  <c r="J16" i="5"/>
  <c r="K16" i="5" s="1"/>
  <c r="L16" i="5" s="1"/>
  <c r="Q12" i="5"/>
  <c r="N12" i="5"/>
  <c r="R12" i="5"/>
  <c r="P12" i="5"/>
  <c r="O12" i="5"/>
  <c r="S12" i="5"/>
  <c r="J12" i="5"/>
  <c r="K12" i="5" s="1"/>
  <c r="L12" i="5" s="1"/>
  <c r="Q8" i="5"/>
  <c r="N8" i="5"/>
  <c r="R8" i="5"/>
  <c r="P8" i="5"/>
  <c r="O8" i="5"/>
  <c r="S8" i="5"/>
  <c r="J8" i="5"/>
  <c r="K8" i="5" s="1"/>
  <c r="L8" i="5" s="1"/>
  <c r="Q27" i="5"/>
  <c r="P27" i="5"/>
  <c r="N27" i="5"/>
  <c r="S27" i="5"/>
  <c r="O27" i="5"/>
  <c r="R27" i="5"/>
  <c r="J27" i="5"/>
  <c r="Q19" i="5"/>
  <c r="P19" i="5"/>
  <c r="N19" i="5"/>
  <c r="S19" i="5"/>
  <c r="O19" i="5"/>
  <c r="R19" i="5"/>
  <c r="J19" i="5"/>
  <c r="Q11" i="5"/>
  <c r="N11" i="5"/>
  <c r="R11" i="5"/>
  <c r="P11" i="5"/>
  <c r="S11" i="5"/>
  <c r="O11" i="5"/>
  <c r="J11" i="5"/>
  <c r="Q30" i="5"/>
  <c r="P30" i="5"/>
  <c r="O30" i="5"/>
  <c r="R30" i="5"/>
  <c r="S30" i="5"/>
  <c r="N30" i="5"/>
  <c r="J30" i="5"/>
  <c r="K30" i="5" s="1"/>
  <c r="L30" i="5" s="1"/>
  <c r="Q22" i="5"/>
  <c r="P22" i="5"/>
  <c r="O22" i="5"/>
  <c r="R22" i="5"/>
  <c r="S22" i="5"/>
  <c r="N22" i="5"/>
  <c r="J22" i="5"/>
  <c r="K22" i="5" s="1"/>
  <c r="L22" i="5" s="1"/>
  <c r="Q14" i="5"/>
  <c r="N14" i="5"/>
  <c r="R14" i="5"/>
  <c r="P14" i="5"/>
  <c r="O14" i="5"/>
  <c r="S14" i="5"/>
  <c r="J14" i="5"/>
  <c r="K14" i="5" s="1"/>
  <c r="L14" i="5" s="1"/>
  <c r="R4" i="5"/>
  <c r="N4" i="5"/>
  <c r="S4" i="5"/>
  <c r="O4" i="5"/>
  <c r="Q4" i="5"/>
  <c r="P4" i="5"/>
  <c r="J4" i="5"/>
  <c r="Q29" i="5"/>
  <c r="P29" i="5"/>
  <c r="R29" i="5"/>
  <c r="O29" i="5"/>
  <c r="S29" i="5"/>
  <c r="N29" i="5"/>
  <c r="J29" i="5"/>
  <c r="Q25" i="5"/>
  <c r="P25" i="5"/>
  <c r="R25" i="5"/>
  <c r="S25" i="5"/>
  <c r="N25" i="5"/>
  <c r="O25" i="5"/>
  <c r="J25" i="5"/>
  <c r="Q21" i="5"/>
  <c r="P21" i="5"/>
  <c r="R21" i="5"/>
  <c r="O21" i="5"/>
  <c r="S21" i="5"/>
  <c r="N21" i="5"/>
  <c r="J21" i="5"/>
  <c r="Q17" i="5"/>
  <c r="P17" i="5"/>
  <c r="R17" i="5"/>
  <c r="N17" i="5"/>
  <c r="S17" i="5"/>
  <c r="O17" i="5"/>
  <c r="J17" i="5"/>
  <c r="Q13" i="5"/>
  <c r="N13" i="5"/>
  <c r="R13" i="5"/>
  <c r="P13" i="5"/>
  <c r="O13" i="5"/>
  <c r="S13" i="5"/>
  <c r="J13" i="5"/>
  <c r="Q9" i="5"/>
  <c r="N9" i="5"/>
  <c r="R9" i="5"/>
  <c r="P9" i="5"/>
  <c r="O9" i="5"/>
  <c r="S9" i="5"/>
  <c r="J9" i="5"/>
  <c r="R5" i="5"/>
  <c r="N5" i="5"/>
  <c r="S5" i="5"/>
  <c r="O5" i="5"/>
  <c r="Q5" i="5"/>
  <c r="P5" i="5"/>
  <c r="J5" i="5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3" i="6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3" i="6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3" i="6"/>
  <c r="F3" i="6"/>
  <c r="F4" i="6"/>
  <c r="Q4" i="6" s="1"/>
  <c r="F5" i="6"/>
  <c r="Q5" i="6" s="1"/>
  <c r="F6" i="6"/>
  <c r="Q6" i="6" s="1"/>
  <c r="F7" i="6"/>
  <c r="Q7" i="6" s="1"/>
  <c r="P7" i="6" s="1"/>
  <c r="F8" i="6"/>
  <c r="Q8" i="6" s="1"/>
  <c r="F9" i="6"/>
  <c r="Q9" i="6" s="1"/>
  <c r="F10" i="6"/>
  <c r="Q10" i="6" s="1"/>
  <c r="F11" i="6"/>
  <c r="Q11" i="6" s="1"/>
  <c r="P11" i="6" s="1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E28" i="6"/>
  <c r="G32" i="5"/>
  <c r="H32" i="5" s="1"/>
  <c r="G31" i="5"/>
  <c r="H31" i="5" s="1"/>
  <c r="G30" i="5"/>
  <c r="H30" i="5" s="1"/>
  <c r="G29" i="5"/>
  <c r="H29" i="5" s="1"/>
  <c r="G28" i="5"/>
  <c r="H28" i="5" s="1"/>
  <c r="G27" i="5"/>
  <c r="H27" i="5" s="1"/>
  <c r="G26" i="5"/>
  <c r="H26" i="5" s="1"/>
  <c r="G25" i="5"/>
  <c r="H25" i="5" s="1"/>
  <c r="G24" i="5"/>
  <c r="H24" i="5" s="1"/>
  <c r="G23" i="5"/>
  <c r="H23" i="5" s="1"/>
  <c r="G22" i="5"/>
  <c r="H22" i="5" s="1"/>
  <c r="G21" i="5"/>
  <c r="H21" i="5" s="1"/>
  <c r="G20" i="5"/>
  <c r="H20" i="5" s="1"/>
  <c r="G19" i="5"/>
  <c r="H19" i="5" s="1"/>
  <c r="G18" i="5"/>
  <c r="H18" i="5" s="1"/>
  <c r="G17" i="5"/>
  <c r="H17" i="5" s="1"/>
  <c r="G16" i="5"/>
  <c r="H16" i="5" s="1"/>
  <c r="G15" i="5"/>
  <c r="H15" i="5" s="1"/>
  <c r="G14" i="5"/>
  <c r="H14" i="5" s="1"/>
  <c r="G13" i="5"/>
  <c r="H13" i="5" s="1"/>
  <c r="G12" i="5"/>
  <c r="H12" i="5" s="1"/>
  <c r="G11" i="5"/>
  <c r="H11" i="5" s="1"/>
  <c r="G10" i="5"/>
  <c r="H10" i="5" s="1"/>
  <c r="G9" i="5"/>
  <c r="H9" i="5" s="1"/>
  <c r="G8" i="5"/>
  <c r="H8" i="5" s="1"/>
  <c r="G7" i="5"/>
  <c r="H7" i="5" s="1"/>
  <c r="G6" i="5"/>
  <c r="H6" i="5" s="1"/>
  <c r="G5" i="5"/>
  <c r="H5" i="5" s="1"/>
  <c r="G4" i="5"/>
  <c r="H4" i="5" s="1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G35" i="4"/>
  <c r="A35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G34" i="4"/>
  <c r="A34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G33" i="4"/>
  <c r="A33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G32" i="4"/>
  <c r="A32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G31" i="4"/>
  <c r="A31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G30" i="4"/>
  <c r="A30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G29" i="4"/>
  <c r="A29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G28" i="4"/>
  <c r="A28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G27" i="4"/>
  <c r="A27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G26" i="4"/>
  <c r="A26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G25" i="4"/>
  <c r="A25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G24" i="4"/>
  <c r="A24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G23" i="4"/>
  <c r="A23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G22" i="4"/>
  <c r="A22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G21" i="4"/>
  <c r="A21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G20" i="4"/>
  <c r="A20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G19" i="4"/>
  <c r="A19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G18" i="4"/>
  <c r="A18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G17" i="4"/>
  <c r="A17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G16" i="4"/>
  <c r="A16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G15" i="4"/>
  <c r="A15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G14" i="4"/>
  <c r="A14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G13" i="4"/>
  <c r="A13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G12" i="4"/>
  <c r="A12" i="4"/>
  <c r="V11" i="4"/>
  <c r="U11" i="4"/>
  <c r="T11" i="4"/>
  <c r="S11" i="4"/>
  <c r="R11" i="4"/>
  <c r="Q11" i="4"/>
  <c r="P11" i="4"/>
  <c r="O11" i="4"/>
  <c r="N11" i="4"/>
  <c r="M11" i="4"/>
  <c r="L11" i="4"/>
  <c r="L6" i="4" s="1"/>
  <c r="D18" i="7" s="1"/>
  <c r="E18" i="7" s="1"/>
  <c r="K11" i="4"/>
  <c r="K6" i="4" s="1"/>
  <c r="D17" i="7" s="1"/>
  <c r="E17" i="7" s="1"/>
  <c r="J11" i="4"/>
  <c r="J6" i="4" s="1"/>
  <c r="D16" i="7" s="1"/>
  <c r="E16" i="7" s="1"/>
  <c r="I11" i="4"/>
  <c r="I6" i="4" s="1"/>
  <c r="G11" i="4"/>
  <c r="A11" i="4"/>
  <c r="O2" i="4"/>
  <c r="O1" i="4"/>
  <c r="W6" i="4" l="1"/>
  <c r="D15" i="7"/>
  <c r="E15" i="7" s="1"/>
  <c r="P8" i="6"/>
  <c r="P4" i="6"/>
  <c r="Q24" i="6"/>
  <c r="P24" i="6" s="1"/>
  <c r="Q20" i="6"/>
  <c r="P20" i="6" s="1"/>
  <c r="Q16" i="6"/>
  <c r="P16" i="6" s="1"/>
  <c r="Q12" i="6"/>
  <c r="P12" i="6" s="1"/>
  <c r="S18" i="6"/>
  <c r="T18" i="6"/>
  <c r="S6" i="6"/>
  <c r="T6" i="6"/>
  <c r="Q27" i="6"/>
  <c r="P27" i="6" s="1"/>
  <c r="Q23" i="6"/>
  <c r="P23" i="6"/>
  <c r="Q19" i="6"/>
  <c r="P19" i="6" s="1"/>
  <c r="Q15" i="6"/>
  <c r="P15" i="6" s="1"/>
  <c r="Q3" i="6"/>
  <c r="S17" i="6"/>
  <c r="T17" i="6"/>
  <c r="Q26" i="6"/>
  <c r="P26" i="6" s="1"/>
  <c r="Q22" i="6"/>
  <c r="P22" i="6" s="1"/>
  <c r="Q18" i="6"/>
  <c r="P18" i="6" s="1"/>
  <c r="Q14" i="6"/>
  <c r="P14" i="6" s="1"/>
  <c r="P10" i="6"/>
  <c r="P6" i="6"/>
  <c r="S3" i="6"/>
  <c r="T3" i="6"/>
  <c r="S24" i="6"/>
  <c r="T24" i="6"/>
  <c r="S4" i="6"/>
  <c r="T4" i="6"/>
  <c r="Q25" i="6"/>
  <c r="P25" i="6" s="1"/>
  <c r="Q21" i="6"/>
  <c r="P21" i="6"/>
  <c r="Q17" i="6"/>
  <c r="P17" i="6" s="1"/>
  <c r="Q13" i="6"/>
  <c r="P13" i="6" s="1"/>
  <c r="P9" i="6"/>
  <c r="P5" i="6"/>
  <c r="S23" i="6"/>
  <c r="T23" i="6"/>
  <c r="S11" i="6"/>
  <c r="T11" i="6"/>
  <c r="K25" i="5"/>
  <c r="L25" i="5" s="1"/>
  <c r="R33" i="5"/>
  <c r="D27" i="7" s="1"/>
  <c r="E27" i="7" s="1"/>
  <c r="K5" i="5"/>
  <c r="L5" i="5" s="1"/>
  <c r="K19" i="5"/>
  <c r="L19" i="5" s="1"/>
  <c r="K17" i="5"/>
  <c r="L17" i="5" s="1"/>
  <c r="J33" i="5"/>
  <c r="S33" i="5"/>
  <c r="D28" i="7" s="1"/>
  <c r="E28" i="7" s="1"/>
  <c r="K11" i="5"/>
  <c r="L11" i="5"/>
  <c r="K23" i="5"/>
  <c r="L23" i="5" s="1"/>
  <c r="K9" i="5"/>
  <c r="L9" i="5" s="1"/>
  <c r="Q33" i="5"/>
  <c r="D26" i="7" s="1"/>
  <c r="E26" i="7" s="1"/>
  <c r="K27" i="5"/>
  <c r="L27" i="5" s="1"/>
  <c r="K7" i="5"/>
  <c r="L7" i="5" s="1"/>
  <c r="K21" i="5"/>
  <c r="L21" i="5" s="1"/>
  <c r="O33" i="5"/>
  <c r="D24" i="7" s="1"/>
  <c r="E24" i="7" s="1"/>
  <c r="K31" i="5"/>
  <c r="L31" i="5" s="1"/>
  <c r="K13" i="5"/>
  <c r="L13" i="5"/>
  <c r="K29" i="5"/>
  <c r="L29" i="5" s="1"/>
  <c r="P33" i="5"/>
  <c r="D25" i="7" s="1"/>
  <c r="E25" i="7" s="1"/>
  <c r="N33" i="5"/>
  <c r="D23" i="7" s="1"/>
  <c r="E23" i="7" s="1"/>
  <c r="K15" i="5"/>
  <c r="L15" i="5" s="1"/>
  <c r="J25" i="6"/>
  <c r="J21" i="6"/>
  <c r="J17" i="6"/>
  <c r="J13" i="6"/>
  <c r="J9" i="6"/>
  <c r="O9" i="6" s="1"/>
  <c r="J5" i="6"/>
  <c r="O5" i="6" s="1"/>
  <c r="J26" i="6"/>
  <c r="J22" i="6"/>
  <c r="J18" i="6"/>
  <c r="J14" i="6"/>
  <c r="J10" i="6"/>
  <c r="O10" i="6" s="1"/>
  <c r="J6" i="6"/>
  <c r="O6" i="6" s="1"/>
  <c r="J27" i="6"/>
  <c r="J23" i="6"/>
  <c r="J19" i="6"/>
  <c r="J15" i="6"/>
  <c r="J11" i="6"/>
  <c r="O11" i="6" s="1"/>
  <c r="J7" i="6"/>
  <c r="O7" i="6" s="1"/>
  <c r="J3" i="6"/>
  <c r="O3" i="6" s="1"/>
  <c r="J24" i="6"/>
  <c r="J20" i="6"/>
  <c r="J16" i="6"/>
  <c r="J12" i="6"/>
  <c r="O12" i="6" s="1"/>
  <c r="J8" i="6"/>
  <c r="O8" i="6" s="1"/>
  <c r="J4" i="6"/>
  <c r="O4" i="6" s="1"/>
  <c r="H33" i="5"/>
  <c r="M6" i="4"/>
  <c r="U6" i="4"/>
  <c r="R6" i="4"/>
  <c r="V6" i="4"/>
  <c r="S6" i="4"/>
  <c r="T6" i="4"/>
  <c r="R11" i="6" l="1"/>
  <c r="U11" i="6"/>
  <c r="R4" i="6"/>
  <c r="U4" i="6" s="1"/>
  <c r="R12" i="6"/>
  <c r="U12" i="6" s="1"/>
  <c r="O24" i="6"/>
  <c r="R24" i="6"/>
  <c r="R15" i="6"/>
  <c r="O15" i="6"/>
  <c r="U15" i="6" s="1"/>
  <c r="O22" i="6"/>
  <c r="R22" i="6"/>
  <c r="R13" i="6"/>
  <c r="O13" i="6"/>
  <c r="U13" i="6" s="1"/>
  <c r="R9" i="6"/>
  <c r="U9" i="6" s="1"/>
  <c r="R10" i="6"/>
  <c r="U10" i="6" s="1"/>
  <c r="Q28" i="6"/>
  <c r="R8" i="6"/>
  <c r="U8" i="6" s="1"/>
  <c r="R19" i="6"/>
  <c r="O19" i="6"/>
  <c r="O26" i="6"/>
  <c r="R26" i="6"/>
  <c r="R17" i="6"/>
  <c r="O17" i="6"/>
  <c r="T28" i="6"/>
  <c r="D11" i="7" s="1"/>
  <c r="E11" i="7" s="1"/>
  <c r="O16" i="6"/>
  <c r="R16" i="6"/>
  <c r="R23" i="6"/>
  <c r="O23" i="6"/>
  <c r="U23" i="6" s="1"/>
  <c r="O14" i="6"/>
  <c r="R14" i="6"/>
  <c r="R21" i="6"/>
  <c r="O21" i="6"/>
  <c r="U21" i="6" s="1"/>
  <c r="S28" i="6"/>
  <c r="D12" i="7" s="1"/>
  <c r="E12" i="7" s="1"/>
  <c r="R7" i="6"/>
  <c r="U7" i="6" s="1"/>
  <c r="O20" i="6"/>
  <c r="R20" i="6"/>
  <c r="R27" i="6"/>
  <c r="O27" i="6"/>
  <c r="O18" i="6"/>
  <c r="R18" i="6"/>
  <c r="R25" i="6"/>
  <c r="O25" i="6"/>
  <c r="R5" i="6"/>
  <c r="U5" i="6" s="1"/>
  <c r="R6" i="6"/>
  <c r="U6" i="6" s="1"/>
  <c r="P3" i="6"/>
  <c r="L4" i="5"/>
  <c r="L33" i="5" s="1"/>
  <c r="K33" i="5"/>
  <c r="U16" i="6" l="1"/>
  <c r="U14" i="6"/>
  <c r="U17" i="6"/>
  <c r="U19" i="6"/>
  <c r="U26" i="6"/>
  <c r="U18" i="6"/>
  <c r="U20" i="6"/>
  <c r="U25" i="6"/>
  <c r="U27" i="6"/>
  <c r="U22" i="6"/>
  <c r="U24" i="6"/>
  <c r="O28" i="6"/>
  <c r="D7" i="7" s="1"/>
  <c r="E7" i="7" s="1"/>
  <c r="P28" i="6"/>
  <c r="D9" i="7" s="1"/>
  <c r="E9" i="7" s="1"/>
  <c r="R3" i="6"/>
  <c r="R28" i="6" l="1"/>
  <c r="D8" i="7" s="1"/>
  <c r="E8" i="7" s="1"/>
  <c r="U3" i="6"/>
  <c r="U28" i="6"/>
  <c r="D10" i="7" s="1"/>
  <c r="E10" i="7" s="1"/>
  <c r="E30" i="7" s="1"/>
</calcChain>
</file>

<file path=xl/sharedStrings.xml><?xml version="1.0" encoding="utf-8"?>
<sst xmlns="http://schemas.openxmlformats.org/spreadsheetml/2006/main" count="574" uniqueCount="237">
  <si>
    <t>CALCULO DE CANTIDADES DE OBRA ALCANTARILLADO</t>
  </si>
  <si>
    <t>MINIMO</t>
  </si>
  <si>
    <t>"</t>
  </si>
  <si>
    <t>CTO</t>
  </si>
  <si>
    <t>MAXIMO</t>
  </si>
  <si>
    <t>PVC</t>
  </si>
  <si>
    <t>ANCHO EXCAVAC</t>
  </si>
  <si>
    <t>Ø</t>
  </si>
  <si>
    <t xml:space="preserve">LONG </t>
  </si>
  <si>
    <t>DE</t>
  </si>
  <si>
    <t>A</t>
  </si>
  <si>
    <t>L</t>
  </si>
  <si>
    <t>Ø "</t>
  </si>
  <si>
    <t>Ø (mm)</t>
  </si>
  <si>
    <t>TIPO DE VIA</t>
  </si>
  <si>
    <t>CONCRETO</t>
  </si>
  <si>
    <t>RECEBO</t>
  </si>
  <si>
    <t>PTAR</t>
  </si>
  <si>
    <t>diametros</t>
  </si>
  <si>
    <t>interno</t>
  </si>
  <si>
    <t>externo</t>
  </si>
  <si>
    <t>INFORMACIÓN DE POZOS</t>
  </si>
  <si>
    <t>Profundidad del pozo (m)</t>
  </si>
  <si>
    <t>Material de Construcción</t>
  </si>
  <si>
    <t>Diámetro de Pozo (m)</t>
  </si>
  <si>
    <t>Perimetro del Pozo (m)</t>
  </si>
  <si>
    <t>Area Total (m2)</t>
  </si>
  <si>
    <t>P25</t>
  </si>
  <si>
    <t>P26</t>
  </si>
  <si>
    <t>P28</t>
  </si>
  <si>
    <t>P29</t>
  </si>
  <si>
    <t>P57</t>
  </si>
  <si>
    <t>P6</t>
  </si>
  <si>
    <t>P64</t>
  </si>
  <si>
    <t>P66</t>
  </si>
  <si>
    <t>P67</t>
  </si>
  <si>
    <t>P7</t>
  </si>
  <si>
    <t>P76</t>
  </si>
  <si>
    <t>P77</t>
  </si>
  <si>
    <t>P78</t>
  </si>
  <si>
    <t>P79</t>
  </si>
  <si>
    <t>P8</t>
  </si>
  <si>
    <t>P80</t>
  </si>
  <si>
    <t>P84</t>
  </si>
  <si>
    <t>P85</t>
  </si>
  <si>
    <t>P86</t>
  </si>
  <si>
    <t>P87</t>
  </si>
  <si>
    <t>PT8</t>
  </si>
  <si>
    <t>Id Tramo</t>
  </si>
  <si>
    <t>Diametro pulg</t>
  </si>
  <si>
    <t>Long</t>
  </si>
  <si>
    <t>Diametro</t>
  </si>
  <si>
    <t>Ancho exc</t>
  </si>
  <si>
    <t>P25-P26</t>
  </si>
  <si>
    <t>P26-P28</t>
  </si>
  <si>
    <t>P64-PT8</t>
  </si>
  <si>
    <t>PT8-P66</t>
  </si>
  <si>
    <t>P76-P77</t>
  </si>
  <si>
    <t>P77-P78</t>
  </si>
  <si>
    <t>P78-P80</t>
  </si>
  <si>
    <t>P80-P79</t>
  </si>
  <si>
    <t>P79-P84</t>
  </si>
  <si>
    <t>P84-P86</t>
  </si>
  <si>
    <t>P86-P87</t>
  </si>
  <si>
    <t>P87-P88</t>
  </si>
  <si>
    <t>TOTAL</t>
  </si>
  <si>
    <t/>
  </si>
  <si>
    <t>tipo de via</t>
  </si>
  <si>
    <t>P74</t>
  </si>
  <si>
    <t>P75</t>
  </si>
  <si>
    <t>P81</t>
  </si>
  <si>
    <t>P83</t>
  </si>
  <si>
    <t>P88</t>
  </si>
  <si>
    <t>V1</t>
  </si>
  <si>
    <t>V2</t>
  </si>
  <si>
    <t>Radio+ancho excavacion</t>
  </si>
  <si>
    <t>P6-P7</t>
  </si>
  <si>
    <t>P7-P8</t>
  </si>
  <si>
    <t>P28-P29</t>
  </si>
  <si>
    <t>P57-V1</t>
  </si>
  <si>
    <t>V1-V2</t>
  </si>
  <si>
    <t>V2-P76</t>
  </si>
  <si>
    <t>P85-P84</t>
  </si>
  <si>
    <t>P75-P74</t>
  </si>
  <si>
    <t>P74-P76</t>
  </si>
  <si>
    <t>P81-P80</t>
  </si>
  <si>
    <t>P83-P79</t>
  </si>
  <si>
    <t>P88-PTAR</t>
  </si>
  <si>
    <t>P67-PT8</t>
  </si>
  <si>
    <t>Concreto</t>
  </si>
  <si>
    <t>Recebo</t>
  </si>
  <si>
    <t>Tierra</t>
  </si>
  <si>
    <t>EXCAVACION MAQUINA ALCANT.Y ACUEDUCTO</t>
  </si>
  <si>
    <t>RELLENO ROCA MUERTA COMPACTADO-CILINDRO</t>
  </si>
  <si>
    <t>RELLENO MATERIAL SITIO COMPACTADO CILIND</t>
  </si>
  <si>
    <t>MORTERO DE PEGA PARA BLOQUE</t>
  </si>
  <si>
    <t>MORTERO RELLENO FINO BLOQUE CONCRETO</t>
  </si>
  <si>
    <t>RETIRO MAT. EXCAV. A MAQUINA (SIN TRANSP</t>
  </si>
  <si>
    <t>CAMARA INSPECCION TIPO B H=0.00-1.50 MTS</t>
  </si>
  <si>
    <t>CAMARA INSPECCION TIPO B H=1.50-2.00 MTS</t>
  </si>
  <si>
    <t>CAMARA INSPECCION TIPO B H=2.01-2.50 MTS</t>
  </si>
  <si>
    <t>CAMARA INSPECCION TIPO B H=2.51-3.00 MTS</t>
  </si>
  <si>
    <t>CAMARA INSPECCION TIPO B H=3.01-3.50 MTS</t>
  </si>
  <si>
    <t>CAMARA INSPECCION TIPO B H=3.51-4.00 MTS</t>
  </si>
  <si>
    <t>Cto S</t>
  </si>
  <si>
    <t>OBRAS PRELIMINARES URBANISTICAS</t>
  </si>
  <si>
    <t>ACTIVIDADES PRELIMINARES</t>
  </si>
  <si>
    <t>LOCALIZACION-REPLANTEO ACUEDUCTO-ALCANTA</t>
  </si>
  <si>
    <t>ML</t>
  </si>
  <si>
    <t>MOVIMIENTOS TIERRA</t>
  </si>
  <si>
    <t>M3</t>
  </si>
  <si>
    <t>ALCANTARILLADO</t>
  </si>
  <si>
    <t>TUB PVC NOVAFORT 8"</t>
  </si>
  <si>
    <t>TUB PVC NOVAFORT 10"</t>
  </si>
  <si>
    <t>TUB PVC NOVAFORT 12"</t>
  </si>
  <si>
    <t>TUB PVC ALIGERADA RIB LOC 14"</t>
  </si>
  <si>
    <t>CAMARAS - RECAMARAS - CABEZAL</t>
  </si>
  <si>
    <t>CAMARA INSPECCION PISO TAPA</t>
  </si>
  <si>
    <t>UND</t>
  </si>
  <si>
    <t>CANTIDAD</t>
  </si>
  <si>
    <t>VALOR TOTAL</t>
  </si>
  <si>
    <t>DESCRIPCIÓN</t>
  </si>
  <si>
    <t>UNIDADES</t>
  </si>
  <si>
    <t xml:space="preserve">COSTO UNITARIO </t>
  </si>
  <si>
    <t>Unidad</t>
  </si>
  <si>
    <t>Cant</t>
  </si>
  <si>
    <t>Desper</t>
  </si>
  <si>
    <t>Vr/Unitario</t>
  </si>
  <si>
    <t>Vr/Parcial</t>
  </si>
  <si>
    <t>0,00</t>
  </si>
  <si>
    <t>LBS</t>
  </si>
  <si>
    <t>ROL</t>
  </si>
  <si>
    <t>OBRA</t>
  </si>
  <si>
    <t>ALBANILERIA</t>
  </si>
  <si>
    <t>AYUDANTE-1</t>
  </si>
  <si>
    <t>OFI</t>
  </si>
  <si>
    <t>HC</t>
  </si>
  <si>
    <t>MENOR</t>
  </si>
  <si>
    <t>GLB</t>
  </si>
  <si>
    <t>0,200</t>
  </si>
  <si>
    <t>Materiales</t>
  </si>
  <si>
    <t>Equipo</t>
  </si>
  <si>
    <t>AIU</t>
  </si>
  <si>
    <t>SubTotal</t>
  </si>
  <si>
    <t>Otros</t>
  </si>
  <si>
    <t>MQ0301-HERRAMIENTA MENOR</t>
  </si>
  <si>
    <t xml:space="preserve">001596-LISTON 2 x2x300 OTOBO </t>
  </si>
  <si>
    <t xml:space="preserve">002294-PUNTILLA 2 CC </t>
  </si>
  <si>
    <t xml:space="preserve">003843-PIOLA GRUESA </t>
  </si>
  <si>
    <t xml:space="preserve">MOAG12-MANO OBRA ALBANILERIA 2 AYUDANTE-1 OFI </t>
  </si>
  <si>
    <t xml:space="preserve">MOTO01-MANO OBRA TOPOGRAFIA 1 CADENERO-1 TOP </t>
  </si>
  <si>
    <t>Mano de Obra</t>
  </si>
  <si>
    <t>TUB PVC NOVAFORT 16"</t>
  </si>
  <si>
    <t>TUB PVC NOVAFORT 18"</t>
  </si>
  <si>
    <t>TUB PVC NOVAFORT 20"</t>
  </si>
  <si>
    <t>TUB PVC NOVALOC ASTM 24" SANIT"</t>
  </si>
  <si>
    <t>TUB PVC NOVALOC ASTM 27" PVC"</t>
  </si>
  <si>
    <t>TUB PVC NOVALOC ASTM 30" SANIT"</t>
  </si>
  <si>
    <t>TUB PVC NOVALOC SAN ASTM 33"</t>
  </si>
  <si>
    <t xml:space="preserve">TUBO ALC NOVAFORT 36" </t>
  </si>
  <si>
    <t>TUB PVC NOVALOC 42"</t>
  </si>
  <si>
    <t>MQ0205-RETROEXCAVADORA JD-510</t>
  </si>
  <si>
    <t>HRS</t>
  </si>
  <si>
    <t>0,030</t>
  </si>
  <si>
    <t>AYUDANTE</t>
  </si>
  <si>
    <t>0,046</t>
  </si>
  <si>
    <t>CAT-12-F</t>
  </si>
  <si>
    <t>0,047</t>
  </si>
  <si>
    <t>CA-15</t>
  </si>
  <si>
    <t>AGUA</t>
  </si>
  <si>
    <t>DIA</t>
  </si>
  <si>
    <t>0,002</t>
  </si>
  <si>
    <t xml:space="preserve">MOAG03-MANO </t>
  </si>
  <si>
    <t xml:space="preserve">MQ0204-MOTONIVELADORA </t>
  </si>
  <si>
    <t xml:space="preserve">MQ0206-VIBROCOMPACTADOR </t>
  </si>
  <si>
    <t xml:space="preserve">MQ0222-CARROTANQUE </t>
  </si>
  <si>
    <t xml:space="preserve">MQ0301-HERRAMIENTA </t>
  </si>
  <si>
    <t xml:space="preserve">OBRA </t>
  </si>
  <si>
    <t xml:space="preserve">ALBANILERIA </t>
  </si>
  <si>
    <t>MOAG03-MANO OBRA ALBANILERIA 3AYUDANTE</t>
  </si>
  <si>
    <t>MQ0204-MOTONIVELADORA CAT-12-F</t>
  </si>
  <si>
    <t>MQ0206-VIBROCOMPACTADOR CA-15</t>
  </si>
  <si>
    <t>MQ0222-CARROTANQUE AGUA</t>
  </si>
  <si>
    <t>Q0301-HERRAMIENTA MENOR</t>
  </si>
  <si>
    <t xml:space="preserve">002414-ROCA MUERTA   </t>
  </si>
  <si>
    <t>MOAG03-MANO OBRA ALBANILERIA 3 AYUDANTE</t>
  </si>
  <si>
    <t xml:space="preserve">MQ0204-MOTONIVELADORA CAT-12-F   </t>
  </si>
  <si>
    <t xml:space="preserve">MQ0206-VIBROCOMPACTADOR CA-15   </t>
  </si>
  <si>
    <t xml:space="preserve">MQ0222-CARROTANQUE AGUA   </t>
  </si>
  <si>
    <t xml:space="preserve">MQ0227-VOLQUETA TRANSPORTE MAT.PETREOS 1-10KMS </t>
  </si>
  <si>
    <t xml:space="preserve">MQ0301-HERRAMIENTA MENOR   </t>
  </si>
  <si>
    <t>MOAG01-MANO OBRA ALBANILERIA 1 AYUDANTE</t>
  </si>
  <si>
    <t>MQ0210-RETROEXCAVADORA CARGADORA JD-510</t>
  </si>
  <si>
    <t>0,035</t>
  </si>
  <si>
    <t>02-07-06-TUB PVC NOVAFORT 8"</t>
  </si>
  <si>
    <t>NOVAFORT</t>
  </si>
  <si>
    <t>0,330</t>
  </si>
  <si>
    <t>000521-ADHESIVO</t>
  </si>
  <si>
    <t>GLN</t>
  </si>
  <si>
    <t>1,00</t>
  </si>
  <si>
    <t>000522-ACONDICION</t>
  </si>
  <si>
    <t>SUPERF</t>
  </si>
  <si>
    <t>MOAG02-MANO</t>
  </si>
  <si>
    <t>0,400</t>
  </si>
  <si>
    <t>MOIS01-MANO</t>
  </si>
  <si>
    <t>HIDROSANIT.</t>
  </si>
  <si>
    <t xml:space="preserve">000190-"TUBO SAN 8"" PVC-200M </t>
  </si>
  <si>
    <t xml:space="preserve">000240-HIDROSELLO NOVAFORT 200MM  </t>
  </si>
  <si>
    <t xml:space="preserve">000521-ADHESIVO NOVAFORT   </t>
  </si>
  <si>
    <t xml:space="preserve">000522-ACONDICION SUPERF NOVAFORT  </t>
  </si>
  <si>
    <t>MOAG02-MANO OBRA ALBANILERIA 2 AYUDANTE</t>
  </si>
  <si>
    <t>MOIS01-MANO OBRA HIDROSANIT. 1 AYUDANTE-1 OFI</t>
  </si>
  <si>
    <t xml:space="preserve">000190-"TUBO SAN 10"" PVC-250M </t>
  </si>
  <si>
    <t>000241-HIDROSELLO</t>
  </si>
  <si>
    <t>250MM</t>
  </si>
  <si>
    <t>transporte</t>
  </si>
  <si>
    <t>(0,45%);</t>
  </si>
  <si>
    <t>para</t>
  </si>
  <si>
    <t>0,52</t>
  </si>
  <si>
    <t>Prof. inicial</t>
  </si>
  <si>
    <t>Prof. final</t>
  </si>
  <si>
    <t>Cota Rasante De</t>
  </si>
  <si>
    <t>Cota Batea De</t>
  </si>
  <si>
    <t>Cota Rasante A</t>
  </si>
  <si>
    <t>Cota Batea A</t>
  </si>
  <si>
    <t>Excavación maquina alcant.y acueducto</t>
  </si>
  <si>
    <t>Relleno roca muerta compactado-cilindro</t>
  </si>
  <si>
    <t>Vol tubo</t>
  </si>
  <si>
    <t>Relleno material sitio compactado cilind</t>
  </si>
  <si>
    <t>Mortero de pega para bloque</t>
  </si>
  <si>
    <t>Mortero relleno fino bloque concreto</t>
  </si>
  <si>
    <t>Retiro mat. Excav. A maquina (sin transporte)</t>
  </si>
  <si>
    <t>ID Pozo</t>
  </si>
  <si>
    <t>Retiro mat. Excav. A maquina (sin transp</t>
  </si>
  <si>
    <t>Camara inspeccion tipo b h=0.00-1.50 mts</t>
  </si>
  <si>
    <t>Camara inspeccion tipo b h=1.50-2.00 mts</t>
  </si>
  <si>
    <t>Camara inspeccion tipo b h=2.01-2.50 mts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</si>
</sst>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8" formatCode="&quot;$&quot;#,##0.00;[Red]\-&quot;$&quot;#,##0.00"/>
    <numFmt numFmtId="164" formatCode="_-* #,##0.00\ &quot;€&quot;_-;\-* #,##0.00\ &quot;€&quot;_-;_-* &quot;-&quot;??\ &quot;€&quot;_-;_-@_-"/>
    <numFmt numFmtId="165" formatCode="_(* #,##0.00_);_(* \(#,##0.00\);_(* &quot;-&quot;??_);_(@_)"/>
    <numFmt numFmtId="166" formatCode="_(* #,##0_);_(* \(#,##0\);_(* &quot;-&quot;??_);_(@_)"/>
    <numFmt numFmtId="167" formatCode="0.000"/>
    <numFmt numFmtId="168" formatCode="&quot;$&quot;#,##0.00"/>
    <numFmt numFmtId="169" formatCode="[$$-240A]#,##0.0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9"/>
      <color rgb="FF000000"/>
      <name val="Trebuchet MS"/>
      <family val="2"/>
    </font>
    <font>
      <b/>
      <i/>
      <u/>
      <sz val="10"/>
      <name val="Arial"/>
      <family val="2"/>
    </font>
    <font>
      <b/>
      <sz val="10"/>
      <name val="Arial"/>
      <family val="2"/>
    </font>
    <font>
      <b/>
      <i/>
      <u val="singleAccounting"/>
      <sz val="10"/>
      <name val="Arial"/>
      <family val="2"/>
    </font>
    <font>
      <b/>
      <i/>
      <sz val="10"/>
      <name val="Arial"/>
      <family val="2"/>
    </font>
    <font>
      <sz val="10"/>
      <color theme="1"/>
      <name val="Arial Narrow"/>
      <family val="2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164" fontId="9" fillId="0" borderId="0" applyFont="0" applyFill="0" applyBorder="0" applyAlignment="0" applyProtection="0"/>
  </cellStyleXfs>
  <cellXfs count="92">
    <xf numFmtId="0" fontId="0" fillId="0" borderId="0" xfId="0"/>
    <xf numFmtId="0" fontId="0" fillId="0" borderId="0" xfId="0" applyAlignment="1">
      <alignment horizontal="center"/>
    </xf>
    <xf numFmtId="167" fontId="1" fillId="0" borderId="3" xfId="1" applyNumberFormat="1" applyFont="1" applyFill="1" applyBorder="1" applyAlignment="1">
      <alignment horizontal="center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1" fontId="1" fillId="0" borderId="0" xfId="0" applyNumberFormat="1" applyFont="1" applyFill="1" applyAlignment="1">
      <alignment horizontal="center"/>
    </xf>
    <xf numFmtId="0" fontId="1" fillId="0" borderId="0" xfId="0" applyFont="1" applyFill="1"/>
    <xf numFmtId="0" fontId="1" fillId="0" borderId="0" xfId="0" applyFont="1" applyFill="1" applyBorder="1"/>
    <xf numFmtId="1" fontId="1" fillId="0" borderId="0" xfId="0" applyNumberFormat="1" applyFont="1" applyFill="1"/>
    <xf numFmtId="0" fontId="5" fillId="0" borderId="3" xfId="0" applyFont="1" applyFill="1" applyBorder="1" applyAlignment="1">
      <alignment horizontal="center" vertical="center"/>
    </xf>
    <xf numFmtId="165" fontId="6" fillId="0" borderId="0" xfId="0" applyNumberFormat="1" applyFont="1" applyFill="1"/>
    <xf numFmtId="165" fontId="7" fillId="0" borderId="3" xfId="0" applyNumberFormat="1" applyFont="1" applyFill="1" applyBorder="1"/>
    <xf numFmtId="165" fontId="1" fillId="0" borderId="0" xfId="0" applyNumberFormat="1" applyFont="1" applyFill="1"/>
    <xf numFmtId="0" fontId="1" fillId="0" borderId="3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wrapText="1"/>
    </xf>
    <xf numFmtId="0" fontId="4" fillId="0" borderId="0" xfId="0" applyFont="1" applyFill="1"/>
    <xf numFmtId="0" fontId="5" fillId="0" borderId="0" xfId="0" applyFont="1" applyFill="1" applyBorder="1"/>
    <xf numFmtId="0" fontId="5" fillId="0" borderId="0" xfId="0" applyFont="1" applyFill="1"/>
    <xf numFmtId="0" fontId="1" fillId="0" borderId="0" xfId="0" applyFont="1" applyFill="1" applyBorder="1" applyAlignment="1">
      <alignment horizontal="center"/>
    </xf>
    <xf numFmtId="2" fontId="1" fillId="0" borderId="0" xfId="0" applyNumberFormat="1" applyFont="1" applyFill="1"/>
    <xf numFmtId="0" fontId="1" fillId="0" borderId="0" xfId="0" applyFont="1" applyFill="1" applyBorder="1" applyAlignment="1">
      <alignment horizontal="left"/>
    </xf>
    <xf numFmtId="2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0" fontId="2" fillId="0" borderId="3" xfId="0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/>
      <protection locked="0"/>
    </xf>
    <xf numFmtId="2" fontId="2" fillId="0" borderId="0" xfId="0" applyNumberFormat="1" applyFont="1" applyAlignment="1">
      <alignment horizontal="center" vertical="center" wrapText="1"/>
    </xf>
    <xf numFmtId="0" fontId="2" fillId="0" borderId="3" xfId="0" applyFont="1" applyFill="1" applyBorder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1" fillId="0" borderId="3" xfId="2" applyFont="1" applyBorder="1" applyAlignment="1">
      <alignment horizontal="center"/>
    </xf>
    <xf numFmtId="2" fontId="1" fillId="0" borderId="3" xfId="2" applyNumberFormat="1" applyFont="1" applyBorder="1" applyAlignment="1">
      <alignment horizontal="center"/>
    </xf>
    <xf numFmtId="0" fontId="8" fillId="0" borderId="0" xfId="0" applyFont="1"/>
    <xf numFmtId="0" fontId="10" fillId="0" borderId="0" xfId="0" applyFont="1"/>
    <xf numFmtId="168" fontId="10" fillId="0" borderId="0" xfId="0" applyNumberFormat="1" applyFont="1"/>
    <xf numFmtId="169" fontId="10" fillId="0" borderId="0" xfId="3" applyNumberFormat="1" applyFont="1"/>
    <xf numFmtId="2" fontId="10" fillId="0" borderId="0" xfId="0" applyNumberFormat="1" applyFont="1"/>
    <xf numFmtId="0" fontId="11" fillId="0" borderId="0" xfId="0" applyFont="1"/>
    <xf numFmtId="169" fontId="11" fillId="0" borderId="0" xfId="0" applyNumberFormat="1" applyFont="1"/>
    <xf numFmtId="2" fontId="11" fillId="0" borderId="0" xfId="0" applyNumberFormat="1" applyFont="1"/>
    <xf numFmtId="0" fontId="12" fillId="0" borderId="0" xfId="0" applyFont="1" applyAlignment="1">
      <alignment vertical="center"/>
    </xf>
    <xf numFmtId="2" fontId="12" fillId="0" borderId="0" xfId="0" applyNumberFormat="1" applyFont="1" applyAlignment="1">
      <alignment vertical="center"/>
    </xf>
    <xf numFmtId="0" fontId="12" fillId="0" borderId="0" xfId="0" applyFont="1" applyAlignment="1">
      <alignment vertical="center" wrapText="1"/>
    </xf>
    <xf numFmtId="8" fontId="0" fillId="0" borderId="0" xfId="0" applyNumberFormat="1"/>
    <xf numFmtId="3" fontId="0" fillId="0" borderId="0" xfId="0" applyNumberFormat="1"/>
    <xf numFmtId="0" fontId="0" fillId="0" borderId="0" xfId="0" applyNumberFormat="1"/>
    <xf numFmtId="1" fontId="0" fillId="0" borderId="0" xfId="0" applyNumberFormat="1"/>
    <xf numFmtId="168" fontId="8" fillId="0" borderId="0" xfId="0" applyNumberFormat="1" applyFont="1"/>
    <xf numFmtId="0" fontId="2" fillId="0" borderId="3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1" fillId="0" borderId="0" xfId="0" applyFont="1" applyFill="1" applyAlignment="1">
      <alignment horizontal="center" vertical="center" wrapText="1"/>
    </xf>
    <xf numFmtId="0" fontId="1" fillId="0" borderId="3" xfId="0" applyFont="1" applyFill="1" applyBorder="1" applyAlignment="1">
      <alignment horizontal="center"/>
    </xf>
    <xf numFmtId="166" fontId="5" fillId="0" borderId="3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1" fontId="5" fillId="0" borderId="6" xfId="0" applyNumberFormat="1" applyFont="1" applyFill="1" applyBorder="1" applyAlignment="1">
      <alignment horizontal="center" vertical="center"/>
    </xf>
    <xf numFmtId="1" fontId="5" fillId="0" borderId="10" xfId="0" applyNumberFormat="1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 wrapText="1"/>
    </xf>
    <xf numFmtId="0" fontId="13" fillId="0" borderId="17" xfId="0" applyFont="1" applyFill="1" applyBorder="1" applyAlignment="1">
      <alignment horizontal="center" vertical="center" wrapText="1"/>
    </xf>
    <xf numFmtId="2" fontId="13" fillId="0" borderId="17" xfId="0" applyNumberFormat="1" applyFont="1" applyFill="1" applyBorder="1" applyAlignment="1">
      <alignment horizontal="center"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/>
    </xf>
    <xf numFmtId="4" fontId="16" fillId="0" borderId="3" xfId="0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2" fontId="15" fillId="0" borderId="0" xfId="0" applyNumberFormat="1" applyFont="1" applyFill="1" applyAlignment="1">
      <alignment horizontal="center" vertical="center"/>
    </xf>
    <xf numFmtId="2" fontId="15" fillId="0" borderId="8" xfId="0" applyNumberFormat="1" applyFont="1" applyFill="1" applyBorder="1" applyAlignment="1">
      <alignment horizontal="center" vertical="center"/>
    </xf>
    <xf numFmtId="0" fontId="16" fillId="0" borderId="3" xfId="2" applyFont="1" applyFill="1" applyBorder="1"/>
    <xf numFmtId="2" fontId="16" fillId="0" borderId="3" xfId="2" applyNumberFormat="1" applyFont="1" applyFill="1" applyBorder="1"/>
    <xf numFmtId="0" fontId="16" fillId="0" borderId="20" xfId="0" applyFont="1" applyFill="1" applyBorder="1" applyAlignment="1">
      <alignment horizontal="center" vertical="center"/>
    </xf>
    <xf numFmtId="4" fontId="16" fillId="0" borderId="21" xfId="0" applyNumberFormat="1" applyFont="1" applyFill="1" applyBorder="1" applyAlignment="1">
      <alignment horizontal="center" vertical="center"/>
    </xf>
    <xf numFmtId="0" fontId="15" fillId="0" borderId="22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4" fontId="15" fillId="0" borderId="23" xfId="0" applyNumberFormat="1" applyFont="1" applyFill="1" applyBorder="1" applyAlignment="1">
      <alignment horizontal="center" vertical="center"/>
    </xf>
    <xf numFmtId="2" fontId="15" fillId="0" borderId="23" xfId="0" applyNumberFormat="1" applyFont="1" applyFill="1" applyBorder="1" applyAlignment="1">
      <alignment horizontal="center" vertical="center"/>
    </xf>
    <xf numFmtId="2" fontId="15" fillId="0" borderId="24" xfId="0" applyNumberFormat="1" applyFont="1" applyFill="1" applyBorder="1" applyAlignment="1">
      <alignment horizontal="center" vertical="center"/>
    </xf>
    <xf numFmtId="0" fontId="14" fillId="2" borderId="19" xfId="0" applyFont="1" applyFill="1" applyBorder="1" applyAlignment="1">
      <alignment horizontal="center" vertical="center" wrapText="1"/>
    </xf>
    <xf numFmtId="0" fontId="14" fillId="2" borderId="25" xfId="0" applyFont="1" applyFill="1" applyBorder="1" applyAlignment="1">
      <alignment horizontal="center" vertical="center" wrapText="1"/>
    </xf>
  </cellXfs>
  <cellStyles count="4">
    <cellStyle name="Moneda" xfId="3" builtinId="4"/>
    <cellStyle name="Normal" xfId="0" builtinId="0"/>
    <cellStyle name="Normal 10 10" xfId="2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3"/>
  <sheetViews>
    <sheetView tabSelected="1" topLeftCell="N1" workbookViewId="0">
      <selection activeCell="Q10" sqref="Q10"/>
    </sheetView>
  </sheetViews>
  <sheetFormatPr baseColWidth="10" defaultColWidth="7" defaultRowHeight="12.75" x14ac:dyDescent="0.25"/>
  <cols>
    <col min="1" max="1" width="7" style="26"/>
    <col min="2" max="3" width="7.140625" style="26" bestFit="1" customWidth="1"/>
    <col min="4" max="5" width="8.7109375" style="26" customWidth="1"/>
    <col min="6" max="7" width="8.7109375" style="27" customWidth="1"/>
    <col min="8" max="8" width="7.28515625" style="27" bestFit="1" customWidth="1"/>
    <col min="9" max="9" width="7.140625" style="27" bestFit="1" customWidth="1"/>
    <col min="10" max="10" width="17.42578125" style="27" customWidth="1"/>
    <col min="11" max="11" width="17.42578125" style="26" customWidth="1"/>
    <col min="12" max="12" width="18.5703125" style="26" customWidth="1"/>
    <col min="13" max="13" width="7.140625" style="26" bestFit="1" customWidth="1"/>
    <col min="14" max="19" width="14" style="26" customWidth="1"/>
    <col min="20" max="16384" width="7" style="28"/>
  </cols>
  <sheetData>
    <row r="1" spans="1:19" x14ac:dyDescent="0.2">
      <c r="I1" s="26"/>
      <c r="J1" s="26"/>
      <c r="M1" s="31" t="s">
        <v>9</v>
      </c>
      <c r="N1" s="31">
        <v>0</v>
      </c>
      <c r="O1" s="31">
        <f>+N2</f>
        <v>1.5</v>
      </c>
      <c r="P1" s="31">
        <f t="shared" ref="P1:S1" si="0">+O2</f>
        <v>2</v>
      </c>
      <c r="Q1" s="31">
        <f t="shared" si="0"/>
        <v>2.5</v>
      </c>
      <c r="R1" s="31">
        <f t="shared" si="0"/>
        <v>3</v>
      </c>
      <c r="S1" s="31">
        <f t="shared" si="0"/>
        <v>3.5</v>
      </c>
    </row>
    <row r="2" spans="1:19" ht="13.5" thickBot="1" x14ac:dyDescent="0.25">
      <c r="A2" s="51" t="s">
        <v>21</v>
      </c>
      <c r="B2" s="51"/>
      <c r="C2" s="51"/>
      <c r="D2" s="51"/>
      <c r="E2" s="51"/>
      <c r="F2" s="51"/>
      <c r="G2" s="51"/>
      <c r="H2" s="51"/>
      <c r="I2" s="26"/>
      <c r="J2" s="26"/>
      <c r="M2" s="31" t="s">
        <v>10</v>
      </c>
      <c r="N2" s="31">
        <v>1.5</v>
      </c>
      <c r="O2" s="31">
        <v>2</v>
      </c>
      <c r="P2" s="31">
        <v>2.5</v>
      </c>
      <c r="Q2" s="31">
        <v>3</v>
      </c>
      <c r="R2" s="31">
        <v>3.5</v>
      </c>
      <c r="S2" s="31">
        <v>4</v>
      </c>
    </row>
    <row r="3" spans="1:19" ht="63.75" customHeight="1" thickBot="1" x14ac:dyDescent="0.25">
      <c r="A3" s="26" t="s">
        <v>232</v>
      </c>
      <c r="D3" s="26" t="s">
        <v>22</v>
      </c>
      <c r="E3" s="26" t="s">
        <v>23</v>
      </c>
      <c r="F3" s="27" t="s">
        <v>24</v>
      </c>
      <c r="G3" s="27" t="s">
        <v>25</v>
      </c>
      <c r="H3" s="27" t="s">
        <v>26</v>
      </c>
      <c r="I3" s="27" t="s">
        <v>75</v>
      </c>
      <c r="J3" s="90" t="s">
        <v>225</v>
      </c>
      <c r="K3" s="91" t="s">
        <v>228</v>
      </c>
      <c r="L3" s="91" t="s">
        <v>233</v>
      </c>
      <c r="M3" s="31"/>
      <c r="N3" s="90" t="s">
        <v>234</v>
      </c>
      <c r="O3" s="91" t="s">
        <v>235</v>
      </c>
      <c r="P3" s="91" t="s">
        <v>236</v>
      </c>
      <c r="Q3" s="91"/>
      <c r="R3" s="32" t="s">
        <v>102</v>
      </c>
      <c r="S3" s="32" t="s">
        <v>103</v>
      </c>
    </row>
    <row r="4" spans="1:19" x14ac:dyDescent="0.2">
      <c r="A4" s="33" t="s">
        <v>27</v>
      </c>
      <c r="B4" s="33">
        <v>1139.1469999999999</v>
      </c>
      <c r="C4" s="33">
        <v>1137.027</v>
      </c>
      <c r="D4" s="33">
        <f>ROUND(B4-C4,2)</f>
        <v>2.12</v>
      </c>
      <c r="E4" s="26" t="s">
        <v>104</v>
      </c>
      <c r="F4" s="34">
        <v>1.2</v>
      </c>
      <c r="G4" s="27">
        <f t="shared" ref="G4:G32" si="1">(3.1416*F4)</f>
        <v>3.7699199999999999</v>
      </c>
      <c r="H4" s="27">
        <f t="shared" ref="H4:H32" si="2">+G4*D4</f>
        <v>7.9922304000000004</v>
      </c>
      <c r="I4" s="27">
        <f>+(F4/2)+0.15+0.3</f>
        <v>1.05</v>
      </c>
      <c r="J4" s="27">
        <f>PI()*(I4*I4)*(D4+0.2)</f>
        <v>8.0355656893519729</v>
      </c>
      <c r="K4" s="27">
        <f>J4-(PI()*(((F4/2)+0.15)^2)*(D4+0.2))</f>
        <v>3.9357872764172921</v>
      </c>
      <c r="L4" s="27">
        <f>+J4-K4</f>
        <v>4.0997784129346808</v>
      </c>
      <c r="M4" s="29"/>
      <c r="N4" s="31" t="str">
        <f>+IF(AND(D4&lt;1.51,D4&gt;0.01),1,"")</f>
        <v/>
      </c>
      <c r="O4" s="31" t="str">
        <f>+IF(AND(D4&lt;2,D4&gt;1.5),1,"")</f>
        <v/>
      </c>
      <c r="P4" s="31">
        <f>+IF(AND(D4&lt;2.5,D4&gt;2),1,"")</f>
        <v>1</v>
      </c>
      <c r="Q4" s="31" t="str">
        <f>+IF(AND(D4&lt;3,D4&gt;2.5),1,"")</f>
        <v/>
      </c>
      <c r="R4" s="31" t="str">
        <f>+IF(AND(D4&lt;3.5,D4&gt;3),1,"")</f>
        <v/>
      </c>
      <c r="S4" s="31" t="str">
        <f>+IF(AND(D4&lt;4,D4&gt;3.5),1,"")</f>
        <v/>
      </c>
    </row>
    <row r="5" spans="1:19" x14ac:dyDescent="0.2">
      <c r="A5" s="33" t="s">
        <v>28</v>
      </c>
      <c r="B5" s="33">
        <v>1138.71</v>
      </c>
      <c r="C5" s="33">
        <v>1136.44</v>
      </c>
      <c r="D5" s="33">
        <f t="shared" ref="D5:D32" si="3">ROUND(B5-C5,2)</f>
        <v>2.27</v>
      </c>
      <c r="E5" s="26" t="s">
        <v>104</v>
      </c>
      <c r="F5" s="34">
        <v>1.2</v>
      </c>
      <c r="G5" s="27">
        <f t="shared" si="1"/>
        <v>3.7699199999999999</v>
      </c>
      <c r="H5" s="27">
        <f t="shared" si="2"/>
        <v>8.5577184000000006</v>
      </c>
      <c r="I5" s="27">
        <f t="shared" ref="I5:I6" si="4">+(F5/2)+0.15+0.3</f>
        <v>1.05</v>
      </c>
      <c r="J5" s="27">
        <f t="shared" ref="J5:J6" si="5">PI()*(I5*I5)*(D5+0.2)</f>
        <v>8.5551065744393853</v>
      </c>
      <c r="K5" s="27">
        <f t="shared" ref="K5:K6" si="6">J5-(PI()*(((F5/2)+0.15)^2)*(D5+0.2))</f>
        <v>4.1902562813580664</v>
      </c>
      <c r="L5" s="27">
        <f t="shared" ref="L5:L6" si="7">+J5-K5</f>
        <v>4.3648502930813189</v>
      </c>
      <c r="M5" s="29"/>
      <c r="N5" s="31" t="str">
        <f t="shared" ref="N5:N6" si="8">+IF(AND(D5&lt;1.51,D5&gt;0.01),1,"")</f>
        <v/>
      </c>
      <c r="O5" s="31" t="str">
        <f t="shared" ref="O5:O6" si="9">+IF(AND(D5&lt;2,D5&gt;1.5),1,"")</f>
        <v/>
      </c>
      <c r="P5" s="31">
        <f t="shared" ref="P5:P6" si="10">+IF(AND(D5&lt;2.5,D5&gt;2),1,"")</f>
        <v>1</v>
      </c>
      <c r="Q5" s="31" t="str">
        <f t="shared" ref="Q5:Q6" si="11">+IF(AND(D5&lt;3,D5&gt;2.5),1,"")</f>
        <v/>
      </c>
      <c r="R5" s="31" t="str">
        <f t="shared" ref="R5:R6" si="12">+IF(AND(D5&lt;3.5,D5&gt;3),1,"")</f>
        <v/>
      </c>
      <c r="S5" s="31" t="str">
        <f t="shared" ref="S5:S6" si="13">+IF(AND(D5&lt;4,D5&gt;3.5),1,"")</f>
        <v/>
      </c>
    </row>
    <row r="6" spans="1:19" x14ac:dyDescent="0.2">
      <c r="A6" s="33" t="s">
        <v>29</v>
      </c>
      <c r="B6" s="33">
        <v>1132.434</v>
      </c>
      <c r="C6" s="33">
        <v>1130.8440000000001</v>
      </c>
      <c r="D6" s="33">
        <f t="shared" si="3"/>
        <v>1.59</v>
      </c>
      <c r="E6" s="26" t="s">
        <v>104</v>
      </c>
      <c r="F6" s="34">
        <v>1.2</v>
      </c>
      <c r="G6" s="27">
        <f t="shared" si="1"/>
        <v>3.7699199999999999</v>
      </c>
      <c r="H6" s="27">
        <f t="shared" si="2"/>
        <v>5.9941728000000003</v>
      </c>
      <c r="I6" s="27">
        <f t="shared" si="4"/>
        <v>1.05</v>
      </c>
      <c r="J6" s="27">
        <f t="shared" si="5"/>
        <v>6.1998545620431171</v>
      </c>
      <c r="K6" s="27">
        <f t="shared" si="6"/>
        <v>3.036663458959894</v>
      </c>
      <c r="L6" s="27">
        <f t="shared" si="7"/>
        <v>3.1631911030832232</v>
      </c>
      <c r="M6" s="29"/>
      <c r="N6" s="31" t="str">
        <f t="shared" si="8"/>
        <v/>
      </c>
      <c r="O6" s="31">
        <f t="shared" si="9"/>
        <v>1</v>
      </c>
      <c r="P6" s="31" t="str">
        <f t="shared" si="10"/>
        <v/>
      </c>
      <c r="Q6" s="31" t="str">
        <f t="shared" si="11"/>
        <v/>
      </c>
      <c r="R6" s="31" t="str">
        <f t="shared" si="12"/>
        <v/>
      </c>
      <c r="S6" s="31" t="str">
        <f t="shared" si="13"/>
        <v/>
      </c>
    </row>
    <row r="7" spans="1:19" x14ac:dyDescent="0.2">
      <c r="A7" s="33" t="s">
        <v>30</v>
      </c>
      <c r="B7" s="33">
        <v>1131.97</v>
      </c>
      <c r="C7" s="33">
        <v>1130.28</v>
      </c>
      <c r="D7" s="33">
        <f t="shared" si="3"/>
        <v>1.69</v>
      </c>
      <c r="E7" s="26" t="s">
        <v>104</v>
      </c>
      <c r="F7" s="34">
        <v>1.2</v>
      </c>
      <c r="G7" s="27">
        <f t="shared" si="1"/>
        <v>3.7699199999999999</v>
      </c>
      <c r="H7" s="27">
        <f t="shared" si="2"/>
        <v>6.3711647999999999</v>
      </c>
      <c r="I7" s="27">
        <f t="shared" ref="I7:I32" si="14">+(F7/2)+0.15+0.3</f>
        <v>1.05</v>
      </c>
      <c r="J7" s="27">
        <f t="shared" ref="J7:J32" si="15">PI()*(I7*I7)*(D7+0.2)</f>
        <v>6.5462151521013912</v>
      </c>
      <c r="K7" s="27">
        <f t="shared" ref="K7:K32" si="16">J7-(PI()*(((F7/2)+0.15)^2)*(D7+0.2))</f>
        <v>3.2063094622537425</v>
      </c>
      <c r="L7" s="27">
        <f t="shared" ref="L7:L32" si="17">+J7-K7</f>
        <v>3.3399056898476487</v>
      </c>
      <c r="M7" s="29"/>
      <c r="N7" s="31" t="str">
        <f t="shared" ref="N7:N32" si="18">+IF(AND(D7&lt;1.51,D7&gt;0.01),1,"")</f>
        <v/>
      </c>
      <c r="O7" s="31">
        <f t="shared" ref="O7:O32" si="19">+IF(AND(D7&lt;2,D7&gt;1.5),1,"")</f>
        <v>1</v>
      </c>
      <c r="P7" s="31" t="str">
        <f t="shared" ref="P7:P32" si="20">+IF(AND(D7&lt;2.5,D7&gt;2),1,"")</f>
        <v/>
      </c>
      <c r="Q7" s="31" t="str">
        <f t="shared" ref="Q7:Q32" si="21">+IF(AND(D7&lt;3,D7&gt;2.5),1,"")</f>
        <v/>
      </c>
      <c r="R7" s="31" t="str">
        <f t="shared" ref="R7:R32" si="22">+IF(AND(D7&lt;3.5,D7&gt;3),1,"")</f>
        <v/>
      </c>
      <c r="S7" s="31" t="str">
        <f t="shared" ref="S7:S32" si="23">+IF(AND(D7&lt;4,D7&gt;3.5),1,"")</f>
        <v/>
      </c>
    </row>
    <row r="8" spans="1:19" x14ac:dyDescent="0.2">
      <c r="A8" s="33" t="s">
        <v>31</v>
      </c>
      <c r="B8" s="33">
        <v>1122.23</v>
      </c>
      <c r="C8" s="33">
        <v>1121.1000000000001</v>
      </c>
      <c r="D8" s="33">
        <f t="shared" si="3"/>
        <v>1.1299999999999999</v>
      </c>
      <c r="E8" s="26" t="s">
        <v>104</v>
      </c>
      <c r="F8" s="34">
        <v>1.2</v>
      </c>
      <c r="G8" s="27">
        <f t="shared" si="1"/>
        <v>3.7699199999999999</v>
      </c>
      <c r="H8" s="27">
        <f t="shared" si="2"/>
        <v>4.2600095999999992</v>
      </c>
      <c r="I8" s="27">
        <f t="shared" si="14"/>
        <v>1.05</v>
      </c>
      <c r="J8" s="27">
        <f t="shared" si="15"/>
        <v>4.6065958477750524</v>
      </c>
      <c r="K8" s="27">
        <f t="shared" si="16"/>
        <v>2.2562918438081887</v>
      </c>
      <c r="L8" s="27">
        <f t="shared" si="17"/>
        <v>2.3503040039668637</v>
      </c>
      <c r="M8" s="29"/>
      <c r="N8" s="31">
        <f t="shared" si="18"/>
        <v>1</v>
      </c>
      <c r="O8" s="31" t="str">
        <f t="shared" si="19"/>
        <v/>
      </c>
      <c r="P8" s="31" t="str">
        <f t="shared" si="20"/>
        <v/>
      </c>
      <c r="Q8" s="31" t="str">
        <f t="shared" si="21"/>
        <v/>
      </c>
      <c r="R8" s="31" t="str">
        <f t="shared" si="22"/>
        <v/>
      </c>
      <c r="S8" s="31" t="str">
        <f t="shared" si="23"/>
        <v/>
      </c>
    </row>
    <row r="9" spans="1:19" x14ac:dyDescent="0.2">
      <c r="A9" s="33" t="s">
        <v>32</v>
      </c>
      <c r="B9" s="33">
        <v>1154.271</v>
      </c>
      <c r="C9" s="33">
        <v>1153.4109999999998</v>
      </c>
      <c r="D9" s="33">
        <f t="shared" si="3"/>
        <v>0.86</v>
      </c>
      <c r="E9" s="26" t="s">
        <v>104</v>
      </c>
      <c r="F9" s="34">
        <v>1.2</v>
      </c>
      <c r="G9" s="27">
        <f t="shared" si="1"/>
        <v>3.7699199999999999</v>
      </c>
      <c r="H9" s="27">
        <f t="shared" si="2"/>
        <v>3.2421311999999998</v>
      </c>
      <c r="I9" s="27">
        <f t="shared" si="14"/>
        <v>1.05</v>
      </c>
      <c r="J9" s="27">
        <f t="shared" si="15"/>
        <v>3.671422254617712</v>
      </c>
      <c r="K9" s="27">
        <f t="shared" si="16"/>
        <v>1.7982476349147978</v>
      </c>
      <c r="L9" s="27">
        <f t="shared" si="17"/>
        <v>1.8731746197029142</v>
      </c>
      <c r="M9" s="29"/>
      <c r="N9" s="31">
        <f t="shared" si="18"/>
        <v>1</v>
      </c>
      <c r="O9" s="31" t="str">
        <f t="shared" si="19"/>
        <v/>
      </c>
      <c r="P9" s="31" t="str">
        <f t="shared" si="20"/>
        <v/>
      </c>
      <c r="Q9" s="31" t="str">
        <f t="shared" si="21"/>
        <v/>
      </c>
      <c r="R9" s="31" t="str">
        <f t="shared" si="22"/>
        <v/>
      </c>
      <c r="S9" s="31" t="str">
        <f t="shared" si="23"/>
        <v/>
      </c>
    </row>
    <row r="10" spans="1:19" x14ac:dyDescent="0.2">
      <c r="A10" s="33" t="s">
        <v>33</v>
      </c>
      <c r="B10" s="33">
        <v>1135.752</v>
      </c>
      <c r="C10" s="33">
        <v>1134.462</v>
      </c>
      <c r="D10" s="33">
        <f t="shared" si="3"/>
        <v>1.29</v>
      </c>
      <c r="E10" s="26" t="s">
        <v>104</v>
      </c>
      <c r="F10" s="34">
        <v>1.2</v>
      </c>
      <c r="G10" s="27">
        <f t="shared" si="1"/>
        <v>3.7699199999999999</v>
      </c>
      <c r="H10" s="27">
        <f t="shared" si="2"/>
        <v>4.8631967999999999</v>
      </c>
      <c r="I10" s="27">
        <f t="shared" si="14"/>
        <v>1.05</v>
      </c>
      <c r="J10" s="27">
        <f t="shared" si="15"/>
        <v>5.1607727918682924</v>
      </c>
      <c r="K10" s="27">
        <f t="shared" si="16"/>
        <v>2.5277254490783472</v>
      </c>
      <c r="L10" s="27">
        <f t="shared" si="17"/>
        <v>2.6330473427899452</v>
      </c>
      <c r="M10" s="29"/>
      <c r="N10" s="31">
        <f t="shared" si="18"/>
        <v>1</v>
      </c>
      <c r="O10" s="31" t="str">
        <f t="shared" si="19"/>
        <v/>
      </c>
      <c r="P10" s="31" t="str">
        <f t="shared" si="20"/>
        <v/>
      </c>
      <c r="Q10" s="31" t="str">
        <f t="shared" si="21"/>
        <v/>
      </c>
      <c r="R10" s="31" t="str">
        <f t="shared" si="22"/>
        <v/>
      </c>
      <c r="S10" s="31" t="str">
        <f t="shared" si="23"/>
        <v/>
      </c>
    </row>
    <row r="11" spans="1:19" x14ac:dyDescent="0.2">
      <c r="A11" s="33" t="s">
        <v>34</v>
      </c>
      <c r="B11" s="33">
        <v>1128.5550000000001</v>
      </c>
      <c r="C11" s="33">
        <v>1127.5550000000001</v>
      </c>
      <c r="D11" s="33">
        <f t="shared" si="3"/>
        <v>1</v>
      </c>
      <c r="E11" s="26" t="s">
        <v>104</v>
      </c>
      <c r="F11" s="34">
        <v>1.2</v>
      </c>
      <c r="G11" s="27">
        <f t="shared" si="1"/>
        <v>3.7699199999999999</v>
      </c>
      <c r="H11" s="27">
        <f t="shared" si="2"/>
        <v>3.7699199999999999</v>
      </c>
      <c r="I11" s="27">
        <f t="shared" si="14"/>
        <v>1.05</v>
      </c>
      <c r="J11" s="27">
        <f t="shared" si="15"/>
        <v>4.1563270806992962</v>
      </c>
      <c r="K11" s="27">
        <f t="shared" si="16"/>
        <v>2.0357520395261859</v>
      </c>
      <c r="L11" s="27">
        <f t="shared" si="17"/>
        <v>2.1205750411731104</v>
      </c>
      <c r="M11" s="29"/>
      <c r="N11" s="31">
        <f t="shared" si="18"/>
        <v>1</v>
      </c>
      <c r="O11" s="31" t="str">
        <f t="shared" si="19"/>
        <v/>
      </c>
      <c r="P11" s="31" t="str">
        <f t="shared" si="20"/>
        <v/>
      </c>
      <c r="Q11" s="31" t="str">
        <f t="shared" si="21"/>
        <v/>
      </c>
      <c r="R11" s="31" t="str">
        <f t="shared" si="22"/>
        <v/>
      </c>
      <c r="S11" s="31" t="str">
        <f t="shared" si="23"/>
        <v/>
      </c>
    </row>
    <row r="12" spans="1:19" x14ac:dyDescent="0.2">
      <c r="A12" s="33" t="s">
        <v>35</v>
      </c>
      <c r="B12" s="33">
        <v>1132.873</v>
      </c>
      <c r="C12" s="33">
        <v>1131.873</v>
      </c>
      <c r="D12" s="33">
        <f t="shared" si="3"/>
        <v>1</v>
      </c>
      <c r="E12" s="26" t="s">
        <v>104</v>
      </c>
      <c r="F12" s="34">
        <v>1.2</v>
      </c>
      <c r="G12" s="27">
        <f t="shared" si="1"/>
        <v>3.7699199999999999</v>
      </c>
      <c r="H12" s="27">
        <f t="shared" si="2"/>
        <v>3.7699199999999999</v>
      </c>
      <c r="I12" s="27">
        <f t="shared" si="14"/>
        <v>1.05</v>
      </c>
      <c r="J12" s="27">
        <f t="shared" si="15"/>
        <v>4.1563270806992962</v>
      </c>
      <c r="K12" s="27">
        <f t="shared" si="16"/>
        <v>2.0357520395261859</v>
      </c>
      <c r="L12" s="27">
        <f t="shared" si="17"/>
        <v>2.1205750411731104</v>
      </c>
      <c r="M12" s="29"/>
      <c r="N12" s="31">
        <f t="shared" si="18"/>
        <v>1</v>
      </c>
      <c r="O12" s="31" t="str">
        <f t="shared" si="19"/>
        <v/>
      </c>
      <c r="P12" s="31" t="str">
        <f t="shared" si="20"/>
        <v/>
      </c>
      <c r="Q12" s="31" t="str">
        <f t="shared" si="21"/>
        <v/>
      </c>
      <c r="R12" s="31" t="str">
        <f t="shared" si="22"/>
        <v/>
      </c>
      <c r="S12" s="31" t="str">
        <f t="shared" si="23"/>
        <v/>
      </c>
    </row>
    <row r="13" spans="1:19" x14ac:dyDescent="0.2">
      <c r="A13" s="33" t="s">
        <v>36</v>
      </c>
      <c r="B13" s="33">
        <v>1154.8589999999999</v>
      </c>
      <c r="C13" s="33">
        <v>1153.8195787416935</v>
      </c>
      <c r="D13" s="33">
        <f t="shared" si="3"/>
        <v>1.04</v>
      </c>
      <c r="E13" s="26" t="s">
        <v>104</v>
      </c>
      <c r="F13" s="34">
        <v>1.2</v>
      </c>
      <c r="G13" s="27">
        <f t="shared" si="1"/>
        <v>3.7699199999999999</v>
      </c>
      <c r="H13" s="27">
        <f t="shared" si="2"/>
        <v>3.9207168000000001</v>
      </c>
      <c r="I13" s="27">
        <f t="shared" si="14"/>
        <v>1.05</v>
      </c>
      <c r="J13" s="27">
        <f t="shared" si="15"/>
        <v>4.294871316722606</v>
      </c>
      <c r="K13" s="27">
        <f t="shared" si="16"/>
        <v>2.1036104408437253</v>
      </c>
      <c r="L13" s="27">
        <f t="shared" si="17"/>
        <v>2.1912608758788807</v>
      </c>
      <c r="M13" s="29"/>
      <c r="N13" s="31">
        <f t="shared" si="18"/>
        <v>1</v>
      </c>
      <c r="O13" s="31" t="str">
        <f t="shared" si="19"/>
        <v/>
      </c>
      <c r="P13" s="31" t="str">
        <f t="shared" si="20"/>
        <v/>
      </c>
      <c r="Q13" s="31" t="str">
        <f t="shared" si="21"/>
        <v/>
      </c>
      <c r="R13" s="31" t="str">
        <f t="shared" si="22"/>
        <v/>
      </c>
      <c r="S13" s="31" t="str">
        <f t="shared" si="23"/>
        <v/>
      </c>
    </row>
    <row r="14" spans="1:19" x14ac:dyDescent="0.2">
      <c r="A14" s="33" t="s">
        <v>68</v>
      </c>
      <c r="B14" s="33">
        <v>1121.6400000000001</v>
      </c>
      <c r="C14" s="33">
        <v>1120.4000000000001</v>
      </c>
      <c r="D14" s="33">
        <f t="shared" si="3"/>
        <v>1.24</v>
      </c>
      <c r="E14" s="26" t="s">
        <v>104</v>
      </c>
      <c r="F14" s="34">
        <v>1.2</v>
      </c>
      <c r="G14" s="27">
        <f t="shared" si="1"/>
        <v>3.7699199999999999</v>
      </c>
      <c r="H14" s="27">
        <f t="shared" si="2"/>
        <v>4.6747008000000001</v>
      </c>
      <c r="I14" s="27">
        <f t="shared" si="14"/>
        <v>1.05</v>
      </c>
      <c r="J14" s="27">
        <f t="shared" si="15"/>
        <v>4.987592496839155</v>
      </c>
      <c r="K14" s="27">
        <f t="shared" si="16"/>
        <v>2.4429024474314227</v>
      </c>
      <c r="L14" s="27">
        <f t="shared" si="17"/>
        <v>2.5446900494077322</v>
      </c>
      <c r="M14" s="29"/>
      <c r="N14" s="31">
        <f t="shared" si="18"/>
        <v>1</v>
      </c>
      <c r="O14" s="31" t="str">
        <f t="shared" si="19"/>
        <v/>
      </c>
      <c r="P14" s="31" t="str">
        <f t="shared" si="20"/>
        <v/>
      </c>
      <c r="Q14" s="31" t="str">
        <f t="shared" si="21"/>
        <v/>
      </c>
      <c r="R14" s="31" t="str">
        <f t="shared" si="22"/>
        <v/>
      </c>
      <c r="S14" s="31" t="str">
        <f t="shared" si="23"/>
        <v/>
      </c>
    </row>
    <row r="15" spans="1:19" x14ac:dyDescent="0.2">
      <c r="A15" s="33" t="s">
        <v>69</v>
      </c>
      <c r="B15" s="33">
        <v>1125.261</v>
      </c>
      <c r="C15" s="33">
        <v>1123.8809999999999</v>
      </c>
      <c r="D15" s="33">
        <f t="shared" si="3"/>
        <v>1.38</v>
      </c>
      <c r="E15" s="26" t="s">
        <v>104</v>
      </c>
      <c r="F15" s="34">
        <v>1.2</v>
      </c>
      <c r="G15" s="27">
        <f t="shared" si="1"/>
        <v>3.7699199999999999</v>
      </c>
      <c r="H15" s="27">
        <f t="shared" si="2"/>
        <v>5.2024895999999998</v>
      </c>
      <c r="I15" s="27">
        <f t="shared" si="14"/>
        <v>1.05</v>
      </c>
      <c r="J15" s="27">
        <f t="shared" si="15"/>
        <v>5.4724973229207396</v>
      </c>
      <c r="K15" s="27">
        <f t="shared" si="16"/>
        <v>2.6804068520428115</v>
      </c>
      <c r="L15" s="27">
        <f t="shared" si="17"/>
        <v>2.7920904708779282</v>
      </c>
      <c r="M15" s="29"/>
      <c r="N15" s="31">
        <f t="shared" si="18"/>
        <v>1</v>
      </c>
      <c r="O15" s="31" t="str">
        <f t="shared" si="19"/>
        <v/>
      </c>
      <c r="P15" s="31" t="str">
        <f t="shared" si="20"/>
        <v/>
      </c>
      <c r="Q15" s="31" t="str">
        <f t="shared" si="21"/>
        <v/>
      </c>
      <c r="R15" s="31" t="str">
        <f t="shared" si="22"/>
        <v/>
      </c>
      <c r="S15" s="31" t="str">
        <f t="shared" si="23"/>
        <v/>
      </c>
    </row>
    <row r="16" spans="1:19" x14ac:dyDescent="0.2">
      <c r="A16" s="33" t="s">
        <v>37</v>
      </c>
      <c r="B16" s="33">
        <v>1119.52</v>
      </c>
      <c r="C16" s="33">
        <v>1118.2</v>
      </c>
      <c r="D16" s="33">
        <f t="shared" si="3"/>
        <v>1.32</v>
      </c>
      <c r="E16" s="26" t="s">
        <v>104</v>
      </c>
      <c r="F16" s="34">
        <v>1.2</v>
      </c>
      <c r="G16" s="27">
        <f t="shared" si="1"/>
        <v>3.7699199999999999</v>
      </c>
      <c r="H16" s="27">
        <f t="shared" si="2"/>
        <v>4.9762944000000005</v>
      </c>
      <c r="I16" s="27">
        <f t="shared" si="14"/>
        <v>1.05</v>
      </c>
      <c r="J16" s="27">
        <f t="shared" si="15"/>
        <v>5.2646809688857754</v>
      </c>
      <c r="K16" s="27">
        <f t="shared" si="16"/>
        <v>2.5786192500665024</v>
      </c>
      <c r="L16" s="27">
        <f t="shared" si="17"/>
        <v>2.686061718819273</v>
      </c>
      <c r="M16" s="29"/>
      <c r="N16" s="31">
        <f t="shared" si="18"/>
        <v>1</v>
      </c>
      <c r="O16" s="31" t="str">
        <f t="shared" si="19"/>
        <v/>
      </c>
      <c r="P16" s="31" t="str">
        <f t="shared" si="20"/>
        <v/>
      </c>
      <c r="Q16" s="31" t="str">
        <f t="shared" si="21"/>
        <v/>
      </c>
      <c r="R16" s="31" t="str">
        <f t="shared" si="22"/>
        <v/>
      </c>
      <c r="S16" s="31" t="str">
        <f t="shared" si="23"/>
        <v/>
      </c>
    </row>
    <row r="17" spans="1:19" x14ac:dyDescent="0.2">
      <c r="A17" s="33" t="s">
        <v>38</v>
      </c>
      <c r="B17" s="33">
        <v>1118.52</v>
      </c>
      <c r="C17" s="33">
        <v>1117.47</v>
      </c>
      <c r="D17" s="33">
        <f t="shared" si="3"/>
        <v>1.05</v>
      </c>
      <c r="E17" s="26" t="s">
        <v>104</v>
      </c>
      <c r="F17" s="34">
        <v>1.2</v>
      </c>
      <c r="G17" s="27">
        <f t="shared" si="1"/>
        <v>3.7699199999999999</v>
      </c>
      <c r="H17" s="27">
        <f t="shared" si="2"/>
        <v>3.9584160000000002</v>
      </c>
      <c r="I17" s="27">
        <f t="shared" si="14"/>
        <v>1.05</v>
      </c>
      <c r="J17" s="27">
        <f t="shared" si="15"/>
        <v>4.3295073757284337</v>
      </c>
      <c r="K17" s="27">
        <f t="shared" si="16"/>
        <v>2.1205750411731104</v>
      </c>
      <c r="L17" s="27">
        <f t="shared" si="17"/>
        <v>2.2089323345553233</v>
      </c>
      <c r="M17" s="29"/>
      <c r="N17" s="31">
        <f t="shared" si="18"/>
        <v>1</v>
      </c>
      <c r="O17" s="31" t="str">
        <f t="shared" si="19"/>
        <v/>
      </c>
      <c r="P17" s="31" t="str">
        <f t="shared" si="20"/>
        <v/>
      </c>
      <c r="Q17" s="31" t="str">
        <f t="shared" si="21"/>
        <v/>
      </c>
      <c r="R17" s="31" t="str">
        <f t="shared" si="22"/>
        <v/>
      </c>
      <c r="S17" s="31" t="str">
        <f t="shared" si="23"/>
        <v/>
      </c>
    </row>
    <row r="18" spans="1:19" x14ac:dyDescent="0.2">
      <c r="A18" s="33" t="s">
        <v>39</v>
      </c>
      <c r="B18" s="33">
        <v>1118.4670000000001</v>
      </c>
      <c r="C18" s="33">
        <v>1117.6070000000002</v>
      </c>
      <c r="D18" s="33">
        <f t="shared" si="3"/>
        <v>0.86</v>
      </c>
      <c r="E18" s="26" t="s">
        <v>104</v>
      </c>
      <c r="F18" s="34">
        <v>1.2</v>
      </c>
      <c r="G18" s="27">
        <f t="shared" si="1"/>
        <v>3.7699199999999999</v>
      </c>
      <c r="H18" s="27">
        <f t="shared" si="2"/>
        <v>3.2421311999999998</v>
      </c>
      <c r="I18" s="27">
        <f t="shared" si="14"/>
        <v>1.05</v>
      </c>
      <c r="J18" s="27">
        <f t="shared" si="15"/>
        <v>3.671422254617712</v>
      </c>
      <c r="K18" s="27">
        <f t="shared" si="16"/>
        <v>1.7982476349147978</v>
      </c>
      <c r="L18" s="27">
        <f t="shared" si="17"/>
        <v>1.8731746197029142</v>
      </c>
      <c r="M18" s="29"/>
      <c r="N18" s="31">
        <f t="shared" si="18"/>
        <v>1</v>
      </c>
      <c r="O18" s="31" t="str">
        <f t="shared" si="19"/>
        <v/>
      </c>
      <c r="P18" s="31" t="str">
        <f t="shared" si="20"/>
        <v/>
      </c>
      <c r="Q18" s="31" t="str">
        <f t="shared" si="21"/>
        <v/>
      </c>
      <c r="R18" s="31" t="str">
        <f t="shared" si="22"/>
        <v/>
      </c>
      <c r="S18" s="31" t="str">
        <f t="shared" si="23"/>
        <v/>
      </c>
    </row>
    <row r="19" spans="1:19" x14ac:dyDescent="0.2">
      <c r="A19" s="33" t="s">
        <v>40</v>
      </c>
      <c r="B19" s="33">
        <v>1118.319</v>
      </c>
      <c r="C19" s="33">
        <v>1116.829</v>
      </c>
      <c r="D19" s="33">
        <f t="shared" si="3"/>
        <v>1.49</v>
      </c>
      <c r="E19" s="26" t="s">
        <v>104</v>
      </c>
      <c r="F19" s="34">
        <v>1.2</v>
      </c>
      <c r="G19" s="27">
        <f t="shared" si="1"/>
        <v>3.7699199999999999</v>
      </c>
      <c r="H19" s="27">
        <f t="shared" si="2"/>
        <v>5.6171807999999999</v>
      </c>
      <c r="I19" s="27">
        <f t="shared" si="14"/>
        <v>1.05</v>
      </c>
      <c r="J19" s="27">
        <f t="shared" si="15"/>
        <v>5.8534939719848422</v>
      </c>
      <c r="K19" s="27">
        <f t="shared" si="16"/>
        <v>2.867017455666045</v>
      </c>
      <c r="L19" s="27">
        <f t="shared" si="17"/>
        <v>2.9864765163187972</v>
      </c>
      <c r="M19" s="29"/>
      <c r="N19" s="31">
        <f t="shared" si="18"/>
        <v>1</v>
      </c>
      <c r="O19" s="31" t="str">
        <f t="shared" si="19"/>
        <v/>
      </c>
      <c r="P19" s="31" t="str">
        <f t="shared" si="20"/>
        <v/>
      </c>
      <c r="Q19" s="31" t="str">
        <f t="shared" si="21"/>
        <v/>
      </c>
      <c r="R19" s="31" t="str">
        <f t="shared" si="22"/>
        <v/>
      </c>
      <c r="S19" s="31" t="str">
        <f t="shared" si="23"/>
        <v/>
      </c>
    </row>
    <row r="20" spans="1:19" x14ac:dyDescent="0.2">
      <c r="A20" s="33" t="s">
        <v>41</v>
      </c>
      <c r="B20" s="33">
        <v>1152.829</v>
      </c>
      <c r="C20" s="33">
        <v>1151.029</v>
      </c>
      <c r="D20" s="33">
        <f t="shared" si="3"/>
        <v>1.8</v>
      </c>
      <c r="E20" s="26" t="s">
        <v>104</v>
      </c>
      <c r="F20" s="34">
        <v>1.2</v>
      </c>
      <c r="G20" s="27">
        <f t="shared" si="1"/>
        <v>3.7699199999999999</v>
      </c>
      <c r="H20" s="27">
        <f t="shared" si="2"/>
        <v>6.7858559999999999</v>
      </c>
      <c r="I20" s="27">
        <f t="shared" si="14"/>
        <v>1.05</v>
      </c>
      <c r="J20" s="27">
        <f t="shared" si="15"/>
        <v>6.9272118011654937</v>
      </c>
      <c r="K20" s="27">
        <f t="shared" si="16"/>
        <v>3.3929200658769765</v>
      </c>
      <c r="L20" s="27">
        <f t="shared" si="17"/>
        <v>3.5342917352885173</v>
      </c>
      <c r="M20" s="29"/>
      <c r="N20" s="31" t="str">
        <f t="shared" si="18"/>
        <v/>
      </c>
      <c r="O20" s="31">
        <f t="shared" si="19"/>
        <v>1</v>
      </c>
      <c r="P20" s="31" t="str">
        <f t="shared" si="20"/>
        <v/>
      </c>
      <c r="Q20" s="31" t="str">
        <f t="shared" si="21"/>
        <v/>
      </c>
      <c r="R20" s="31" t="str">
        <f t="shared" si="22"/>
        <v/>
      </c>
      <c r="S20" s="31" t="str">
        <f t="shared" si="23"/>
        <v/>
      </c>
    </row>
    <row r="21" spans="1:19" x14ac:dyDescent="0.2">
      <c r="A21" s="33" t="s">
        <v>42</v>
      </c>
      <c r="B21" s="33">
        <v>1118.8989999999999</v>
      </c>
      <c r="C21" s="33">
        <v>1117.2489999999998</v>
      </c>
      <c r="D21" s="33">
        <f t="shared" si="3"/>
        <v>1.65</v>
      </c>
      <c r="E21" s="26" t="s">
        <v>104</v>
      </c>
      <c r="F21" s="34">
        <v>1.2</v>
      </c>
      <c r="G21" s="27">
        <f t="shared" si="1"/>
        <v>3.7699199999999999</v>
      </c>
      <c r="H21" s="27">
        <f t="shared" si="2"/>
        <v>6.2203679999999997</v>
      </c>
      <c r="I21" s="27">
        <f t="shared" si="14"/>
        <v>1.05</v>
      </c>
      <c r="J21" s="27">
        <f t="shared" si="15"/>
        <v>6.4076709160780814</v>
      </c>
      <c r="K21" s="27">
        <f t="shared" si="16"/>
        <v>3.1384510609362031</v>
      </c>
      <c r="L21" s="27">
        <f t="shared" si="17"/>
        <v>3.2692198551418783</v>
      </c>
      <c r="M21" s="29"/>
      <c r="N21" s="31" t="str">
        <f t="shared" si="18"/>
        <v/>
      </c>
      <c r="O21" s="31">
        <f t="shared" si="19"/>
        <v>1</v>
      </c>
      <c r="P21" s="31" t="str">
        <f t="shared" si="20"/>
        <v/>
      </c>
      <c r="Q21" s="31" t="str">
        <f t="shared" si="21"/>
        <v/>
      </c>
      <c r="R21" s="31" t="str">
        <f t="shared" si="22"/>
        <v/>
      </c>
      <c r="S21" s="31" t="str">
        <f t="shared" si="23"/>
        <v/>
      </c>
    </row>
    <row r="22" spans="1:19" x14ac:dyDescent="0.2">
      <c r="A22" s="33" t="s">
        <v>70</v>
      </c>
      <c r="B22" s="33">
        <v>1119.4570000000001</v>
      </c>
      <c r="C22" s="33">
        <v>1118.347</v>
      </c>
      <c r="D22" s="33">
        <f t="shared" si="3"/>
        <v>1.1100000000000001</v>
      </c>
      <c r="E22" s="26" t="s">
        <v>104</v>
      </c>
      <c r="F22" s="34">
        <v>1.2</v>
      </c>
      <c r="G22" s="27">
        <f t="shared" si="1"/>
        <v>3.7699199999999999</v>
      </c>
      <c r="H22" s="27">
        <f t="shared" si="2"/>
        <v>4.1846112</v>
      </c>
      <c r="I22" s="27">
        <f t="shared" si="14"/>
        <v>1.05</v>
      </c>
      <c r="J22" s="27">
        <f t="shared" si="15"/>
        <v>4.5373237297633988</v>
      </c>
      <c r="K22" s="27">
        <f t="shared" si="16"/>
        <v>2.2223626431494199</v>
      </c>
      <c r="L22" s="27">
        <f t="shared" si="17"/>
        <v>2.3149610866139789</v>
      </c>
      <c r="M22" s="29"/>
      <c r="N22" s="31">
        <f t="shared" si="18"/>
        <v>1</v>
      </c>
      <c r="O22" s="31" t="str">
        <f t="shared" si="19"/>
        <v/>
      </c>
      <c r="P22" s="31" t="str">
        <f t="shared" si="20"/>
        <v/>
      </c>
      <c r="Q22" s="31" t="str">
        <f t="shared" si="21"/>
        <v/>
      </c>
      <c r="R22" s="31" t="str">
        <f t="shared" si="22"/>
        <v/>
      </c>
      <c r="S22" s="31" t="str">
        <f t="shared" si="23"/>
        <v/>
      </c>
    </row>
    <row r="23" spans="1:19" x14ac:dyDescent="0.2">
      <c r="A23" s="33" t="s">
        <v>71</v>
      </c>
      <c r="B23" s="33">
        <v>1118.3989999999999</v>
      </c>
      <c r="C23" s="33">
        <v>1117.1389999999999</v>
      </c>
      <c r="D23" s="33">
        <f t="shared" si="3"/>
        <v>1.26</v>
      </c>
      <c r="E23" s="26" t="s">
        <v>104</v>
      </c>
      <c r="F23" s="34">
        <v>1.2</v>
      </c>
      <c r="G23" s="27">
        <f t="shared" si="1"/>
        <v>3.7699199999999999</v>
      </c>
      <c r="H23" s="27">
        <f t="shared" si="2"/>
        <v>4.7500992000000002</v>
      </c>
      <c r="I23" s="27">
        <f t="shared" si="14"/>
        <v>1.05</v>
      </c>
      <c r="J23" s="27">
        <f t="shared" si="15"/>
        <v>5.0568646148508103</v>
      </c>
      <c r="K23" s="27">
        <f t="shared" si="16"/>
        <v>2.4768316480901929</v>
      </c>
      <c r="L23" s="27">
        <f t="shared" si="17"/>
        <v>2.5800329667606174</v>
      </c>
      <c r="M23" s="29"/>
      <c r="N23" s="31">
        <f t="shared" si="18"/>
        <v>1</v>
      </c>
      <c r="O23" s="31" t="str">
        <f t="shared" si="19"/>
        <v/>
      </c>
      <c r="P23" s="31" t="str">
        <f t="shared" si="20"/>
        <v/>
      </c>
      <c r="Q23" s="31" t="str">
        <f t="shared" si="21"/>
        <v/>
      </c>
      <c r="R23" s="31" t="str">
        <f t="shared" si="22"/>
        <v/>
      </c>
      <c r="S23" s="31" t="str">
        <f t="shared" si="23"/>
        <v/>
      </c>
    </row>
    <row r="24" spans="1:19" x14ac:dyDescent="0.2">
      <c r="A24" s="33" t="s">
        <v>43</v>
      </c>
      <c r="B24" s="33">
        <v>1118.2819999999999</v>
      </c>
      <c r="C24" s="33">
        <v>1116.6130000000001</v>
      </c>
      <c r="D24" s="33">
        <f t="shared" si="3"/>
        <v>1.67</v>
      </c>
      <c r="E24" s="26" t="s">
        <v>104</v>
      </c>
      <c r="F24" s="34">
        <v>1.2</v>
      </c>
      <c r="G24" s="27">
        <f t="shared" si="1"/>
        <v>3.7699199999999999</v>
      </c>
      <c r="H24" s="27">
        <f t="shared" si="2"/>
        <v>6.2957663999999998</v>
      </c>
      <c r="I24" s="27">
        <f t="shared" si="14"/>
        <v>1.05</v>
      </c>
      <c r="J24" s="27">
        <f t="shared" si="15"/>
        <v>6.4769430340897358</v>
      </c>
      <c r="K24" s="27">
        <f t="shared" si="16"/>
        <v>3.1723802615949723</v>
      </c>
      <c r="L24" s="27">
        <f t="shared" si="17"/>
        <v>3.3045627724947635</v>
      </c>
      <c r="M24" s="29"/>
      <c r="N24" s="31" t="str">
        <f t="shared" si="18"/>
        <v/>
      </c>
      <c r="O24" s="31">
        <f t="shared" si="19"/>
        <v>1</v>
      </c>
      <c r="P24" s="31" t="str">
        <f t="shared" si="20"/>
        <v/>
      </c>
      <c r="Q24" s="31" t="str">
        <f t="shared" si="21"/>
        <v/>
      </c>
      <c r="R24" s="31" t="str">
        <f t="shared" si="22"/>
        <v/>
      </c>
      <c r="S24" s="31" t="str">
        <f t="shared" si="23"/>
        <v/>
      </c>
    </row>
    <row r="25" spans="1:19" x14ac:dyDescent="0.2">
      <c r="A25" s="33" t="s">
        <v>44</v>
      </c>
      <c r="B25" s="33">
        <v>1118.231</v>
      </c>
      <c r="C25" s="33">
        <v>1117.1410000000001</v>
      </c>
      <c r="D25" s="33">
        <f t="shared" si="3"/>
        <v>1.0900000000000001</v>
      </c>
      <c r="E25" s="26" t="s">
        <v>104</v>
      </c>
      <c r="F25" s="34">
        <v>1.2</v>
      </c>
      <c r="G25" s="27">
        <f t="shared" si="1"/>
        <v>3.7699199999999999</v>
      </c>
      <c r="H25" s="27">
        <f t="shared" si="2"/>
        <v>4.1092127999999999</v>
      </c>
      <c r="I25" s="27">
        <f t="shared" si="14"/>
        <v>1.05</v>
      </c>
      <c r="J25" s="27">
        <f t="shared" si="15"/>
        <v>4.4680516117517435</v>
      </c>
      <c r="K25" s="27">
        <f t="shared" si="16"/>
        <v>2.1884334424906497</v>
      </c>
      <c r="L25" s="27">
        <f t="shared" si="17"/>
        <v>2.2796181692610937</v>
      </c>
      <c r="M25" s="29"/>
      <c r="N25" s="31">
        <f t="shared" si="18"/>
        <v>1</v>
      </c>
      <c r="O25" s="31" t="str">
        <f t="shared" si="19"/>
        <v/>
      </c>
      <c r="P25" s="31" t="str">
        <f t="shared" si="20"/>
        <v/>
      </c>
      <c r="Q25" s="31" t="str">
        <f t="shared" si="21"/>
        <v/>
      </c>
      <c r="R25" s="31" t="str">
        <f t="shared" si="22"/>
        <v/>
      </c>
      <c r="S25" s="31" t="str">
        <f t="shared" si="23"/>
        <v/>
      </c>
    </row>
    <row r="26" spans="1:19" x14ac:dyDescent="0.2">
      <c r="A26" s="33" t="s">
        <v>45</v>
      </c>
      <c r="B26" s="33">
        <v>1117.624</v>
      </c>
      <c r="C26" s="33">
        <v>1116.2340000000002</v>
      </c>
      <c r="D26" s="33">
        <f t="shared" si="3"/>
        <v>1.39</v>
      </c>
      <c r="E26" s="26" t="s">
        <v>104</v>
      </c>
      <c r="F26" s="34">
        <v>1.2</v>
      </c>
      <c r="G26" s="27">
        <f t="shared" si="1"/>
        <v>3.7699199999999999</v>
      </c>
      <c r="H26" s="27">
        <f t="shared" si="2"/>
        <v>5.2401887999999994</v>
      </c>
      <c r="I26" s="27">
        <f t="shared" si="14"/>
        <v>1.05</v>
      </c>
      <c r="J26" s="27">
        <f t="shared" si="15"/>
        <v>5.5071333819265673</v>
      </c>
      <c r="K26" s="27">
        <f t="shared" si="16"/>
        <v>2.6973714523721966</v>
      </c>
      <c r="L26" s="27">
        <f t="shared" si="17"/>
        <v>2.8097619295543708</v>
      </c>
      <c r="M26" s="29"/>
      <c r="N26" s="31">
        <f t="shared" si="18"/>
        <v>1</v>
      </c>
      <c r="O26" s="31" t="str">
        <f t="shared" si="19"/>
        <v/>
      </c>
      <c r="P26" s="31" t="str">
        <f t="shared" si="20"/>
        <v/>
      </c>
      <c r="Q26" s="31" t="str">
        <f t="shared" si="21"/>
        <v/>
      </c>
      <c r="R26" s="31" t="str">
        <f t="shared" si="22"/>
        <v/>
      </c>
      <c r="S26" s="31" t="str">
        <f t="shared" si="23"/>
        <v/>
      </c>
    </row>
    <row r="27" spans="1:19" x14ac:dyDescent="0.2">
      <c r="A27" s="33" t="s">
        <v>46</v>
      </c>
      <c r="B27" s="33">
        <v>1117.663</v>
      </c>
      <c r="C27" s="33">
        <v>1116.143</v>
      </c>
      <c r="D27" s="33">
        <f t="shared" si="3"/>
        <v>1.52</v>
      </c>
      <c r="E27" s="26" t="s">
        <v>104</v>
      </c>
      <c r="F27" s="34">
        <v>1.2</v>
      </c>
      <c r="G27" s="27">
        <f t="shared" si="1"/>
        <v>3.7699199999999999</v>
      </c>
      <c r="H27" s="27">
        <f t="shared" si="2"/>
        <v>5.7302783999999996</v>
      </c>
      <c r="I27" s="27">
        <f t="shared" si="14"/>
        <v>1.05</v>
      </c>
      <c r="J27" s="27">
        <f t="shared" si="15"/>
        <v>5.9574021490023243</v>
      </c>
      <c r="K27" s="27">
        <f t="shared" si="16"/>
        <v>2.9179112566541994</v>
      </c>
      <c r="L27" s="27">
        <f t="shared" si="17"/>
        <v>3.039490892348125</v>
      </c>
      <c r="M27" s="29"/>
      <c r="N27" s="31" t="str">
        <f t="shared" si="18"/>
        <v/>
      </c>
      <c r="O27" s="31">
        <f t="shared" si="19"/>
        <v>1</v>
      </c>
      <c r="P27" s="31" t="str">
        <f t="shared" si="20"/>
        <v/>
      </c>
      <c r="Q27" s="31" t="str">
        <f t="shared" si="21"/>
        <v/>
      </c>
      <c r="R27" s="31" t="str">
        <f t="shared" si="22"/>
        <v/>
      </c>
      <c r="S27" s="31" t="str">
        <f t="shared" si="23"/>
        <v/>
      </c>
    </row>
    <row r="28" spans="1:19" x14ac:dyDescent="0.2">
      <c r="A28" s="33" t="s">
        <v>72</v>
      </c>
      <c r="B28" s="33">
        <v>1117.527</v>
      </c>
      <c r="C28" s="33">
        <v>1115.9270000000001</v>
      </c>
      <c r="D28" s="33">
        <f t="shared" si="3"/>
        <v>1.6</v>
      </c>
      <c r="E28" s="26" t="s">
        <v>104</v>
      </c>
      <c r="F28" s="34">
        <v>1.2</v>
      </c>
      <c r="G28" s="27">
        <f t="shared" si="1"/>
        <v>3.7699199999999999</v>
      </c>
      <c r="H28" s="27">
        <f t="shared" si="2"/>
        <v>6.0318719999999999</v>
      </c>
      <c r="I28" s="27">
        <f t="shared" si="14"/>
        <v>1.05</v>
      </c>
      <c r="J28" s="27">
        <f t="shared" si="15"/>
        <v>6.2344906210489448</v>
      </c>
      <c r="K28" s="27">
        <f t="shared" si="16"/>
        <v>3.0536280592892791</v>
      </c>
      <c r="L28" s="27">
        <f t="shared" si="17"/>
        <v>3.1808625617596658</v>
      </c>
      <c r="M28" s="29"/>
      <c r="N28" s="31" t="str">
        <f t="shared" si="18"/>
        <v/>
      </c>
      <c r="O28" s="31">
        <f t="shared" si="19"/>
        <v>1</v>
      </c>
      <c r="P28" s="31" t="str">
        <f t="shared" si="20"/>
        <v/>
      </c>
      <c r="Q28" s="31" t="str">
        <f t="shared" si="21"/>
        <v/>
      </c>
      <c r="R28" s="31" t="str">
        <f t="shared" si="22"/>
        <v/>
      </c>
      <c r="S28" s="31" t="str">
        <f t="shared" si="23"/>
        <v/>
      </c>
    </row>
    <row r="29" spans="1:19" x14ac:dyDescent="0.2">
      <c r="A29" s="33" t="s">
        <v>47</v>
      </c>
      <c r="B29" s="33">
        <v>1132.5930000000001</v>
      </c>
      <c r="C29" s="33">
        <v>1131.3230000000001</v>
      </c>
      <c r="D29" s="33">
        <f t="shared" si="3"/>
        <v>1.27</v>
      </c>
      <c r="E29" s="26" t="s">
        <v>104</v>
      </c>
      <c r="F29" s="34">
        <v>1.2</v>
      </c>
      <c r="G29" s="27">
        <f t="shared" si="1"/>
        <v>3.7699199999999999</v>
      </c>
      <c r="H29" s="27">
        <f t="shared" si="2"/>
        <v>4.7877983999999998</v>
      </c>
      <c r="I29" s="27">
        <f t="shared" si="14"/>
        <v>1.05</v>
      </c>
      <c r="J29" s="27">
        <f t="shared" si="15"/>
        <v>5.091500673856638</v>
      </c>
      <c r="K29" s="27">
        <f t="shared" si="16"/>
        <v>2.4937962484195779</v>
      </c>
      <c r="L29" s="27">
        <f t="shared" si="17"/>
        <v>2.59770442543706</v>
      </c>
      <c r="M29" s="29"/>
      <c r="N29" s="31">
        <f t="shared" si="18"/>
        <v>1</v>
      </c>
      <c r="O29" s="31" t="str">
        <f t="shared" si="19"/>
        <v/>
      </c>
      <c r="P29" s="31" t="str">
        <f t="shared" si="20"/>
        <v/>
      </c>
      <c r="Q29" s="31" t="str">
        <f t="shared" si="21"/>
        <v/>
      </c>
      <c r="R29" s="31" t="str">
        <f t="shared" si="22"/>
        <v/>
      </c>
      <c r="S29" s="31" t="str">
        <f t="shared" si="23"/>
        <v/>
      </c>
    </row>
    <row r="30" spans="1:19" x14ac:dyDescent="0.2">
      <c r="A30" s="33" t="s">
        <v>17</v>
      </c>
      <c r="B30" s="33">
        <v>1116.18</v>
      </c>
      <c r="C30" s="33">
        <v>1115.44</v>
      </c>
      <c r="D30" s="33">
        <f t="shared" si="3"/>
        <v>0.74</v>
      </c>
      <c r="E30" s="26" t="s">
        <v>104</v>
      </c>
      <c r="F30" s="34">
        <v>1.2</v>
      </c>
      <c r="G30" s="27">
        <f t="shared" si="1"/>
        <v>3.7699199999999999</v>
      </c>
      <c r="H30" s="27">
        <f t="shared" si="2"/>
        <v>2.7897408000000001</v>
      </c>
      <c r="I30" s="27">
        <f t="shared" si="14"/>
        <v>1.05</v>
      </c>
      <c r="J30" s="27">
        <f t="shared" si="15"/>
        <v>3.2557895465477817</v>
      </c>
      <c r="K30" s="27">
        <f t="shared" si="16"/>
        <v>1.5946724309621787</v>
      </c>
      <c r="L30" s="27">
        <f t="shared" si="17"/>
        <v>1.661117115585603</v>
      </c>
      <c r="M30" s="29"/>
      <c r="N30" s="31">
        <f t="shared" si="18"/>
        <v>1</v>
      </c>
      <c r="O30" s="31" t="str">
        <f t="shared" si="19"/>
        <v/>
      </c>
      <c r="P30" s="31" t="str">
        <f t="shared" si="20"/>
        <v/>
      </c>
      <c r="Q30" s="31" t="str">
        <f t="shared" si="21"/>
        <v/>
      </c>
      <c r="R30" s="31" t="str">
        <f t="shared" si="22"/>
        <v/>
      </c>
      <c r="S30" s="31" t="str">
        <f t="shared" si="23"/>
        <v/>
      </c>
    </row>
    <row r="31" spans="1:19" x14ac:dyDescent="0.2">
      <c r="A31" s="33" t="s">
        <v>73</v>
      </c>
      <c r="B31" s="33">
        <v>1121.3599999999999</v>
      </c>
      <c r="C31" s="33">
        <v>1120.23</v>
      </c>
      <c r="D31" s="33">
        <f t="shared" si="3"/>
        <v>1.1299999999999999</v>
      </c>
      <c r="E31" s="26" t="s">
        <v>104</v>
      </c>
      <c r="F31" s="34">
        <v>1.2</v>
      </c>
      <c r="G31" s="27">
        <f t="shared" si="1"/>
        <v>3.7699199999999999</v>
      </c>
      <c r="H31" s="27">
        <f t="shared" si="2"/>
        <v>4.2600095999999992</v>
      </c>
      <c r="I31" s="27">
        <f t="shared" si="14"/>
        <v>1.05</v>
      </c>
      <c r="J31" s="27">
        <f t="shared" si="15"/>
        <v>4.6065958477750524</v>
      </c>
      <c r="K31" s="27">
        <f t="shared" si="16"/>
        <v>2.2562918438081887</v>
      </c>
      <c r="L31" s="27">
        <f t="shared" si="17"/>
        <v>2.3503040039668637</v>
      </c>
      <c r="M31" s="29"/>
      <c r="N31" s="31">
        <f t="shared" si="18"/>
        <v>1</v>
      </c>
      <c r="O31" s="31" t="str">
        <f t="shared" si="19"/>
        <v/>
      </c>
      <c r="P31" s="31" t="str">
        <f t="shared" si="20"/>
        <v/>
      </c>
      <c r="Q31" s="31" t="str">
        <f t="shared" si="21"/>
        <v/>
      </c>
      <c r="R31" s="31" t="str">
        <f t="shared" si="22"/>
        <v/>
      </c>
      <c r="S31" s="31" t="str">
        <f t="shared" si="23"/>
        <v/>
      </c>
    </row>
    <row r="32" spans="1:19" x14ac:dyDescent="0.2">
      <c r="A32" s="33" t="s">
        <v>74</v>
      </c>
      <c r="B32" s="33">
        <v>1121.02</v>
      </c>
      <c r="C32" s="33">
        <v>1119.73</v>
      </c>
      <c r="D32" s="33">
        <f t="shared" si="3"/>
        <v>1.29</v>
      </c>
      <c r="E32" s="26" t="s">
        <v>104</v>
      </c>
      <c r="F32" s="34">
        <v>1.2</v>
      </c>
      <c r="G32" s="27">
        <f t="shared" si="1"/>
        <v>3.7699199999999999</v>
      </c>
      <c r="H32" s="27">
        <f t="shared" si="2"/>
        <v>4.8631967999999999</v>
      </c>
      <c r="I32" s="27">
        <f t="shared" si="14"/>
        <v>1.05</v>
      </c>
      <c r="J32" s="27">
        <f t="shared" si="15"/>
        <v>5.1607727918682924</v>
      </c>
      <c r="K32" s="27">
        <f t="shared" si="16"/>
        <v>2.5277254490783472</v>
      </c>
      <c r="L32" s="27">
        <f t="shared" si="17"/>
        <v>2.6330473427899452</v>
      </c>
      <c r="M32" s="29"/>
      <c r="N32" s="31">
        <f t="shared" si="18"/>
        <v>1</v>
      </c>
      <c r="O32" s="31" t="str">
        <f t="shared" si="19"/>
        <v/>
      </c>
      <c r="P32" s="31" t="str">
        <f t="shared" si="20"/>
        <v/>
      </c>
      <c r="Q32" s="31" t="str">
        <f t="shared" si="21"/>
        <v/>
      </c>
      <c r="R32" s="31" t="str">
        <f t="shared" si="22"/>
        <v/>
      </c>
      <c r="S32" s="31" t="str">
        <f t="shared" si="23"/>
        <v/>
      </c>
    </row>
    <row r="33" spans="8:21" x14ac:dyDescent="0.25">
      <c r="H33" s="27">
        <f>SUM(H4:H32)</f>
        <v>146.46139200000002</v>
      </c>
      <c r="I33" s="27">
        <f t="shared" ref="I33:S33" si="24">SUM(I4:I32)</f>
        <v>30.450000000000014</v>
      </c>
      <c r="J33" s="27">
        <f t="shared" si="24"/>
        <v>154.65000346101965</v>
      </c>
      <c r="K33" s="27">
        <f t="shared" si="24"/>
        <v>75.746940470703493</v>
      </c>
      <c r="L33" s="27">
        <f t="shared" si="24"/>
        <v>78.903062990316158</v>
      </c>
      <c r="M33" s="27">
        <f t="shared" si="24"/>
        <v>0</v>
      </c>
      <c r="N33" s="27">
        <f t="shared" si="24"/>
        <v>20</v>
      </c>
      <c r="O33" s="27">
        <f t="shared" si="24"/>
        <v>7</v>
      </c>
      <c r="P33" s="27">
        <f t="shared" si="24"/>
        <v>2</v>
      </c>
      <c r="Q33" s="27">
        <f t="shared" si="24"/>
        <v>0</v>
      </c>
      <c r="R33" s="27">
        <f t="shared" si="24"/>
        <v>0</v>
      </c>
      <c r="S33" s="27">
        <f t="shared" si="24"/>
        <v>0</v>
      </c>
      <c r="T33" s="30"/>
      <c r="U33" s="30"/>
    </row>
  </sheetData>
  <mergeCells count="1">
    <mergeCell ref="A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5"/>
  <sheetViews>
    <sheetView topLeftCell="K1" workbookViewId="0">
      <selection activeCell="N4" sqref="N4:Q6"/>
    </sheetView>
  </sheetViews>
  <sheetFormatPr baseColWidth="10" defaultColWidth="11.42578125" defaultRowHeight="12.75" x14ac:dyDescent="0.2"/>
  <cols>
    <col min="1" max="1" width="3.7109375" style="9" customWidth="1"/>
    <col min="2" max="2" width="5.5703125" style="8" bestFit="1" customWidth="1"/>
    <col min="3" max="3" width="5.28515625" style="8" bestFit="1" customWidth="1"/>
    <col min="4" max="4" width="5.42578125" style="8" bestFit="1" customWidth="1"/>
    <col min="5" max="5" width="3" style="10" bestFit="1" customWidth="1"/>
    <col min="6" max="6" width="3.85546875" style="6" bestFit="1" customWidth="1"/>
    <col min="7" max="7" width="7.7109375" style="8" customWidth="1"/>
    <col min="8" max="8" width="13.28515625" style="8" customWidth="1"/>
    <col min="9" max="22" width="9.7109375" style="8" customWidth="1"/>
    <col min="23" max="23" width="11.42578125" style="8" customWidth="1"/>
    <col min="24" max="24" width="11.42578125" style="8"/>
    <col min="25" max="32" width="11.42578125" style="9"/>
    <col min="33" max="33" width="13.7109375" style="9" customWidth="1"/>
    <col min="34" max="16384" width="11.42578125" style="8"/>
  </cols>
  <sheetData>
    <row r="1" spans="1:33" ht="13.5" thickBot="1" x14ac:dyDescent="0.25">
      <c r="A1" s="52" t="s">
        <v>0</v>
      </c>
      <c r="B1" s="53"/>
      <c r="C1" s="53"/>
      <c r="D1" s="53"/>
      <c r="E1" s="53"/>
      <c r="F1" s="53"/>
      <c r="G1" s="53"/>
      <c r="H1" s="53"/>
      <c r="N1" s="8" t="s">
        <v>1</v>
      </c>
      <c r="O1" s="8">
        <f>MIN(F11:F219)</f>
        <v>8</v>
      </c>
      <c r="P1" s="8" t="s">
        <v>2</v>
      </c>
      <c r="Q1" s="8" t="s">
        <v>3</v>
      </c>
      <c r="R1" s="8">
        <v>1.2999999999999999E-2</v>
      </c>
    </row>
    <row r="2" spans="1:33" x14ac:dyDescent="0.2">
      <c r="N2" s="8" t="s">
        <v>4</v>
      </c>
      <c r="O2" s="8">
        <f>MAX(F11:F219)</f>
        <v>14</v>
      </c>
      <c r="P2" s="8" t="s">
        <v>2</v>
      </c>
      <c r="Q2" s="8" t="s">
        <v>5</v>
      </c>
      <c r="R2" s="8">
        <v>0.01</v>
      </c>
    </row>
    <row r="3" spans="1:33" x14ac:dyDescent="0.2">
      <c r="D3" s="54" t="s">
        <v>6</v>
      </c>
      <c r="E3" s="54"/>
      <c r="I3" s="8">
        <v>1.0999999999999999E-2</v>
      </c>
      <c r="J3" s="8">
        <v>1.0999999999999999E-2</v>
      </c>
      <c r="K3" s="8">
        <v>1.0999999999999999E-2</v>
      </c>
      <c r="L3" s="8">
        <v>1.0999999999999999E-2</v>
      </c>
      <c r="M3" s="8">
        <v>1.0999999999999999E-2</v>
      </c>
      <c r="N3" s="8">
        <v>1.0999999999999999E-2</v>
      </c>
      <c r="O3" s="8">
        <v>1.0999999999999999E-2</v>
      </c>
      <c r="P3" s="8">
        <v>1.0999999999999999E-2</v>
      </c>
      <c r="Q3" s="8">
        <v>1.0999999999999999E-2</v>
      </c>
      <c r="R3" s="8">
        <v>1.0999999999999999E-2</v>
      </c>
      <c r="S3" s="8">
        <v>1.0999999999999999E-2</v>
      </c>
      <c r="T3" s="8">
        <v>1.0999999999999999E-2</v>
      </c>
      <c r="U3" s="8">
        <v>1.0999999999999999E-2</v>
      </c>
      <c r="V3" s="8">
        <v>1.0999999999999999E-2</v>
      </c>
    </row>
    <row r="4" spans="1:33" x14ac:dyDescent="0.2">
      <c r="D4" s="54"/>
      <c r="E4" s="54"/>
      <c r="I4" s="11" t="s">
        <v>7</v>
      </c>
      <c r="J4" s="11" t="s">
        <v>7</v>
      </c>
      <c r="K4" s="11" t="s">
        <v>7</v>
      </c>
      <c r="L4" s="11" t="s">
        <v>7</v>
      </c>
      <c r="M4" s="11" t="s">
        <v>7</v>
      </c>
      <c r="N4" s="11"/>
      <c r="O4" s="11"/>
      <c r="P4" s="11"/>
      <c r="Q4" s="11"/>
      <c r="R4" s="11" t="s">
        <v>7</v>
      </c>
      <c r="S4" s="11" t="s">
        <v>7</v>
      </c>
      <c r="T4" s="11" t="s">
        <v>7</v>
      </c>
      <c r="U4" s="11" t="s">
        <v>7</v>
      </c>
      <c r="V4" s="11" t="s">
        <v>7</v>
      </c>
    </row>
    <row r="5" spans="1:33" x14ac:dyDescent="0.2">
      <c r="D5" s="55" t="s">
        <v>8</v>
      </c>
      <c r="E5" s="55"/>
      <c r="I5" s="11">
        <v>8</v>
      </c>
      <c r="J5" s="11">
        <v>10</v>
      </c>
      <c r="K5" s="11">
        <v>12</v>
      </c>
      <c r="L5" s="11">
        <v>14</v>
      </c>
      <c r="M5" s="11">
        <v>16</v>
      </c>
      <c r="N5" s="11"/>
      <c r="O5" s="11"/>
      <c r="P5" s="11"/>
      <c r="Q5" s="11"/>
      <c r="R5" s="11">
        <v>16</v>
      </c>
      <c r="S5" s="11">
        <v>18</v>
      </c>
      <c r="T5" s="11">
        <v>20</v>
      </c>
      <c r="U5" s="11">
        <v>24</v>
      </c>
      <c r="V5" s="11">
        <v>27</v>
      </c>
    </row>
    <row r="6" spans="1:33" ht="15" x14ac:dyDescent="0.35">
      <c r="D6" s="56">
        <f>SUM(E11:E219)</f>
        <v>1051.9441673214058</v>
      </c>
      <c r="E6" s="56"/>
      <c r="H6" s="12"/>
      <c r="I6" s="13">
        <f t="shared" ref="I6:L6" si="0">SUM(I11:I219)</f>
        <v>245.08304408543697</v>
      </c>
      <c r="J6" s="13">
        <f t="shared" si="0"/>
        <v>270.48929376709702</v>
      </c>
      <c r="K6" s="13">
        <f t="shared" si="0"/>
        <v>56.802454031494094</v>
      </c>
      <c r="L6" s="13">
        <f t="shared" si="0"/>
        <v>479.56937543737774</v>
      </c>
      <c r="M6" s="13">
        <f t="shared" ref="M6:V6" si="1">SUM(M11:M219)</f>
        <v>0</v>
      </c>
      <c r="N6" s="13"/>
      <c r="O6" s="13"/>
      <c r="P6" s="13"/>
      <c r="Q6" s="13"/>
      <c r="R6" s="13">
        <f t="shared" si="1"/>
        <v>0</v>
      </c>
      <c r="S6" s="13">
        <f t="shared" si="1"/>
        <v>0</v>
      </c>
      <c r="T6" s="13">
        <f t="shared" si="1"/>
        <v>0</v>
      </c>
      <c r="U6" s="13">
        <f t="shared" si="1"/>
        <v>0</v>
      </c>
      <c r="V6" s="13">
        <f t="shared" si="1"/>
        <v>0</v>
      </c>
      <c r="W6" s="14">
        <f>SUM(I6:V6)</f>
        <v>1051.944167321406</v>
      </c>
    </row>
    <row r="8" spans="1:33" ht="13.5" thickBot="1" x14ac:dyDescent="0.25">
      <c r="G8" s="6">
        <v>25</v>
      </c>
      <c r="H8" s="15"/>
      <c r="Y8" s="16"/>
      <c r="Z8" s="16"/>
      <c r="AA8" s="16"/>
      <c r="AB8" s="16"/>
      <c r="AC8" s="16"/>
      <c r="AD8" s="17"/>
      <c r="AE8" s="17"/>
      <c r="AF8" s="16"/>
      <c r="AG8" s="17"/>
    </row>
    <row r="9" spans="1:33" ht="15" customHeight="1" x14ac:dyDescent="0.2">
      <c r="C9" s="62" t="s">
        <v>9</v>
      </c>
      <c r="D9" s="64" t="s">
        <v>10</v>
      </c>
      <c r="E9" s="66" t="s">
        <v>11</v>
      </c>
      <c r="F9" s="59" t="s">
        <v>12</v>
      </c>
      <c r="G9" s="61" t="s">
        <v>13</v>
      </c>
      <c r="H9" s="57" t="s">
        <v>14</v>
      </c>
      <c r="I9" s="18"/>
      <c r="J9" s="18"/>
      <c r="Y9" s="16"/>
      <c r="Z9" s="16"/>
      <c r="AA9" s="16"/>
      <c r="AB9" s="16"/>
      <c r="AC9" s="16"/>
      <c r="AD9" s="17"/>
      <c r="AE9" s="17"/>
      <c r="AF9" s="16"/>
      <c r="AG9" s="17"/>
    </row>
    <row r="10" spans="1:33" s="20" customFormat="1" ht="13.5" thickBot="1" x14ac:dyDescent="0.25">
      <c r="A10" s="19"/>
      <c r="C10" s="63"/>
      <c r="D10" s="65"/>
      <c r="E10" s="67"/>
      <c r="F10" s="60"/>
      <c r="G10" s="61"/>
      <c r="H10" s="58"/>
      <c r="Y10" s="16"/>
      <c r="Z10" s="16"/>
      <c r="AA10" s="16"/>
      <c r="AB10" s="16"/>
      <c r="AC10" s="16"/>
      <c r="AD10" s="17"/>
      <c r="AE10" s="17"/>
      <c r="AF10" s="9"/>
      <c r="AG10" s="17"/>
    </row>
    <row r="11" spans="1:33" x14ac:dyDescent="0.2">
      <c r="A11" s="9" t="str">
        <f>IF(B11=0.013,"Concreto","PVC")</f>
        <v>PVC</v>
      </c>
      <c r="B11" s="2">
        <v>1.0999999999999999E-2</v>
      </c>
      <c r="C11" s="6" t="s">
        <v>32</v>
      </c>
      <c r="D11" s="6" t="s">
        <v>36</v>
      </c>
      <c r="E11" s="7">
        <v>15.942125830641286</v>
      </c>
      <c r="F11" s="21">
        <v>8</v>
      </c>
      <c r="G11" s="6">
        <f>F11*$G$8</f>
        <v>200</v>
      </c>
      <c r="H11" s="8" t="s">
        <v>15</v>
      </c>
      <c r="I11" s="8">
        <f t="shared" ref="I11:I35" si="2">IF(AND($I$5=F11,$I$3=B11),E11,"")</f>
        <v>15.942125830641286</v>
      </c>
      <c r="J11" s="8" t="str">
        <f t="shared" ref="J11:J35" si="3">IF(AND($J$5=F11,$J$3=B11),E11,"")</f>
        <v/>
      </c>
      <c r="K11" s="8" t="str">
        <f t="shared" ref="K11:K35" si="4">IF(AND($K$5=F11,$K$3=B11),E11,"")</f>
        <v/>
      </c>
      <c r="L11" s="8" t="str">
        <f t="shared" ref="L11:L35" si="5">IF(AND($L$5=F11,$L$3=B11),E11,"")</f>
        <v/>
      </c>
      <c r="M11" s="8" t="str">
        <f t="shared" ref="M11:M35" si="6">IF(AND($M$5=F11,$M$3=B11),E11,"")</f>
        <v/>
      </c>
      <c r="N11" s="8" t="str">
        <f t="shared" ref="N11:N35" si="7">IF(AND($N$5=F11,$N$3=B11),E11,"")</f>
        <v/>
      </c>
      <c r="O11" s="8" t="str">
        <f t="shared" ref="O11:O35" si="8">IF(AND($O$5=F11,$O$3=B11),E11,"")</f>
        <v/>
      </c>
      <c r="P11" s="8" t="str">
        <f t="shared" ref="P11:P35" si="9">IF(AND($P$5=F11,$P$3=B11),E11,"")</f>
        <v/>
      </c>
      <c r="Q11" s="8" t="str">
        <f t="shared" ref="Q11:Q35" si="10">IF(AND($Q$5=F11,$Q$3=B11),E11,"")</f>
        <v/>
      </c>
      <c r="R11" s="8" t="str">
        <f t="shared" ref="R11:R35" si="11">IF(AND($R$5=F11,$R$3=B11),E11,"")</f>
        <v/>
      </c>
      <c r="S11" s="8" t="str">
        <f t="shared" ref="S11:S35" si="12">IF($S$5=F11,E11,"")</f>
        <v/>
      </c>
      <c r="T11" s="8" t="str">
        <f t="shared" ref="T11:T35" si="13">IF($T$5=F11,E11,"")</f>
        <v/>
      </c>
      <c r="U11" s="8" t="str">
        <f t="shared" ref="U11:U35" si="14">IF($U$5=F11,E11,"")</f>
        <v/>
      </c>
      <c r="V11" s="8" t="str">
        <f t="shared" ref="V11:V35" si="15">IF($V$5=F11,E11,"")</f>
        <v/>
      </c>
      <c r="X11" s="22"/>
      <c r="Y11" s="22"/>
      <c r="Z11" s="22"/>
      <c r="AA11" s="23"/>
      <c r="AB11" s="21"/>
      <c r="AC11" s="21"/>
      <c r="AD11" s="24"/>
      <c r="AE11" s="21"/>
      <c r="AF11" s="21"/>
      <c r="AG11" s="25"/>
    </row>
    <row r="12" spans="1:33" x14ac:dyDescent="0.2">
      <c r="A12" s="9" t="str">
        <f t="shared" ref="A12:A35" si="16">IF(B12=0.013,"Concreto","PVC")</f>
        <v>PVC</v>
      </c>
      <c r="B12" s="2">
        <v>1.0999999999999999E-2</v>
      </c>
      <c r="C12" s="6" t="s">
        <v>36</v>
      </c>
      <c r="D12" s="6" t="s">
        <v>41</v>
      </c>
      <c r="E12" s="7">
        <v>15.708762172749246</v>
      </c>
      <c r="F12" s="21">
        <v>8</v>
      </c>
      <c r="G12" s="6">
        <f t="shared" ref="G12:G35" si="17">F12*$G$8</f>
        <v>200</v>
      </c>
      <c r="H12" s="8" t="s">
        <v>15</v>
      </c>
      <c r="I12" s="8">
        <f t="shared" si="2"/>
        <v>15.708762172749246</v>
      </c>
      <c r="J12" s="8" t="str">
        <f t="shared" si="3"/>
        <v/>
      </c>
      <c r="K12" s="8" t="str">
        <f t="shared" si="4"/>
        <v/>
      </c>
      <c r="L12" s="8" t="str">
        <f t="shared" si="5"/>
        <v/>
      </c>
      <c r="M12" s="8" t="str">
        <f t="shared" si="6"/>
        <v/>
      </c>
      <c r="N12" s="8" t="str">
        <f t="shared" si="7"/>
        <v/>
      </c>
      <c r="O12" s="8" t="str">
        <f t="shared" si="8"/>
        <v/>
      </c>
      <c r="P12" s="8" t="str">
        <f t="shared" si="9"/>
        <v/>
      </c>
      <c r="Q12" s="8" t="str">
        <f t="shared" si="10"/>
        <v/>
      </c>
      <c r="R12" s="8" t="str">
        <f t="shared" si="11"/>
        <v/>
      </c>
      <c r="S12" s="8" t="str">
        <f t="shared" si="12"/>
        <v/>
      </c>
      <c r="T12" s="8" t="str">
        <f t="shared" si="13"/>
        <v/>
      </c>
      <c r="U12" s="8" t="str">
        <f t="shared" si="14"/>
        <v/>
      </c>
      <c r="V12" s="8" t="str">
        <f t="shared" si="15"/>
        <v/>
      </c>
      <c r="X12" s="22"/>
      <c r="Y12" s="22"/>
      <c r="Z12" s="22"/>
      <c r="AA12" s="23"/>
      <c r="AB12" s="21"/>
      <c r="AC12" s="21"/>
      <c r="AD12" s="24"/>
      <c r="AE12" s="21"/>
      <c r="AF12" s="21"/>
      <c r="AG12" s="25"/>
    </row>
    <row r="13" spans="1:33" x14ac:dyDescent="0.2">
      <c r="A13" s="9" t="str">
        <f t="shared" si="16"/>
        <v>PVC</v>
      </c>
      <c r="B13" s="2">
        <v>1.0999999999999999E-2</v>
      </c>
      <c r="C13" s="6" t="s">
        <v>27</v>
      </c>
      <c r="D13" s="6" t="s">
        <v>28</v>
      </c>
      <c r="E13" s="7">
        <v>27.785189742019035</v>
      </c>
      <c r="F13" s="21">
        <v>10</v>
      </c>
      <c r="G13" s="6">
        <f t="shared" si="17"/>
        <v>250</v>
      </c>
      <c r="H13" s="8" t="s">
        <v>15</v>
      </c>
      <c r="I13" s="8" t="str">
        <f t="shared" si="2"/>
        <v/>
      </c>
      <c r="J13" s="8">
        <f t="shared" si="3"/>
        <v>27.785189742019035</v>
      </c>
      <c r="K13" s="8" t="str">
        <f t="shared" si="4"/>
        <v/>
      </c>
      <c r="L13" s="8" t="str">
        <f t="shared" si="5"/>
        <v/>
      </c>
      <c r="M13" s="8" t="str">
        <f t="shared" si="6"/>
        <v/>
      </c>
      <c r="N13" s="8" t="str">
        <f t="shared" si="7"/>
        <v/>
      </c>
      <c r="O13" s="8" t="str">
        <f t="shared" si="8"/>
        <v/>
      </c>
      <c r="P13" s="8" t="str">
        <f t="shared" si="9"/>
        <v/>
      </c>
      <c r="Q13" s="8" t="str">
        <f t="shared" si="10"/>
        <v/>
      </c>
      <c r="R13" s="8" t="str">
        <f t="shared" si="11"/>
        <v/>
      </c>
      <c r="S13" s="8" t="str">
        <f t="shared" si="12"/>
        <v/>
      </c>
      <c r="T13" s="8" t="str">
        <f t="shared" si="13"/>
        <v/>
      </c>
      <c r="U13" s="8" t="str">
        <f t="shared" si="14"/>
        <v/>
      </c>
      <c r="V13" s="8" t="str">
        <f t="shared" si="15"/>
        <v/>
      </c>
      <c r="X13" s="22"/>
      <c r="Y13" s="22"/>
      <c r="Z13" s="22"/>
      <c r="AA13" s="23"/>
      <c r="AB13" s="21"/>
      <c r="AC13" s="21"/>
      <c r="AD13" s="24"/>
      <c r="AE13" s="21"/>
      <c r="AF13" s="21"/>
      <c r="AG13" s="25"/>
    </row>
    <row r="14" spans="1:33" x14ac:dyDescent="0.2">
      <c r="A14" s="9" t="str">
        <f t="shared" si="16"/>
        <v>PVC</v>
      </c>
      <c r="B14" s="2">
        <v>1.0999999999999999E-2</v>
      </c>
      <c r="C14" s="6" t="s">
        <v>28</v>
      </c>
      <c r="D14" s="6" t="s">
        <v>29</v>
      </c>
      <c r="E14" s="7">
        <v>72.737901234500839</v>
      </c>
      <c r="F14" s="21">
        <v>10</v>
      </c>
      <c r="G14" s="6">
        <f t="shared" si="17"/>
        <v>250</v>
      </c>
      <c r="H14" s="8" t="s">
        <v>15</v>
      </c>
      <c r="I14" s="8" t="str">
        <f t="shared" si="2"/>
        <v/>
      </c>
      <c r="J14" s="8">
        <f t="shared" si="3"/>
        <v>72.737901234500839</v>
      </c>
      <c r="K14" s="8" t="str">
        <f t="shared" si="4"/>
        <v/>
      </c>
      <c r="L14" s="8" t="str">
        <f t="shared" si="5"/>
        <v/>
      </c>
      <c r="M14" s="8" t="str">
        <f t="shared" si="6"/>
        <v/>
      </c>
      <c r="N14" s="8" t="str">
        <f t="shared" si="7"/>
        <v/>
      </c>
      <c r="O14" s="8" t="str">
        <f t="shared" si="8"/>
        <v/>
      </c>
      <c r="P14" s="8" t="str">
        <f t="shared" si="9"/>
        <v/>
      </c>
      <c r="Q14" s="8" t="str">
        <f t="shared" si="10"/>
        <v/>
      </c>
      <c r="R14" s="8" t="str">
        <f t="shared" si="11"/>
        <v/>
      </c>
      <c r="S14" s="8" t="str">
        <f t="shared" si="12"/>
        <v/>
      </c>
      <c r="T14" s="8" t="str">
        <f t="shared" si="13"/>
        <v/>
      </c>
      <c r="U14" s="8" t="str">
        <f t="shared" si="14"/>
        <v/>
      </c>
      <c r="V14" s="8" t="str">
        <f t="shared" si="15"/>
        <v/>
      </c>
      <c r="X14" s="22"/>
      <c r="Y14" s="22"/>
      <c r="Z14" s="22"/>
      <c r="AA14" s="23"/>
      <c r="AB14" s="21"/>
      <c r="AC14" s="21"/>
      <c r="AD14" s="24"/>
      <c r="AE14" s="21"/>
      <c r="AF14" s="21"/>
      <c r="AG14" s="25"/>
    </row>
    <row r="15" spans="1:33" x14ac:dyDescent="0.2">
      <c r="A15" s="9" t="str">
        <f t="shared" si="16"/>
        <v>PVC</v>
      </c>
      <c r="B15" s="2">
        <v>1.0999999999999999E-2</v>
      </c>
      <c r="C15" s="6" t="s">
        <v>29</v>
      </c>
      <c r="D15" s="6" t="s">
        <v>30</v>
      </c>
      <c r="E15" s="7">
        <v>61.892303689554161</v>
      </c>
      <c r="F15" s="21">
        <v>10</v>
      </c>
      <c r="G15" s="6">
        <f t="shared" si="17"/>
        <v>250</v>
      </c>
      <c r="H15" s="8" t="s">
        <v>16</v>
      </c>
      <c r="I15" s="8" t="str">
        <f t="shared" si="2"/>
        <v/>
      </c>
      <c r="J15" s="8">
        <f t="shared" si="3"/>
        <v>61.892303689554161</v>
      </c>
      <c r="K15" s="8" t="str">
        <f t="shared" si="4"/>
        <v/>
      </c>
      <c r="L15" s="8" t="str">
        <f t="shared" si="5"/>
        <v/>
      </c>
      <c r="M15" s="8" t="str">
        <f t="shared" si="6"/>
        <v/>
      </c>
      <c r="N15" s="8" t="str">
        <f t="shared" si="7"/>
        <v/>
      </c>
      <c r="O15" s="8" t="str">
        <f t="shared" si="8"/>
        <v/>
      </c>
      <c r="P15" s="8" t="str">
        <f t="shared" si="9"/>
        <v/>
      </c>
      <c r="Q15" s="8" t="str">
        <f t="shared" si="10"/>
        <v/>
      </c>
      <c r="R15" s="8" t="str">
        <f t="shared" si="11"/>
        <v/>
      </c>
      <c r="S15" s="8" t="str">
        <f t="shared" si="12"/>
        <v/>
      </c>
      <c r="T15" s="8" t="str">
        <f t="shared" si="13"/>
        <v/>
      </c>
      <c r="U15" s="8" t="str">
        <f t="shared" si="14"/>
        <v/>
      </c>
      <c r="V15" s="8" t="str">
        <f t="shared" si="15"/>
        <v/>
      </c>
      <c r="X15" s="22"/>
      <c r="Y15" s="22"/>
      <c r="Z15" s="22"/>
      <c r="AA15" s="23"/>
      <c r="AB15" s="21"/>
      <c r="AC15" s="21"/>
      <c r="AD15" s="24"/>
      <c r="AE15" s="21"/>
      <c r="AF15" s="21"/>
      <c r="AG15" s="25"/>
    </row>
    <row r="16" spans="1:33" x14ac:dyDescent="0.2">
      <c r="A16" s="9" t="str">
        <f t="shared" si="16"/>
        <v>PVC</v>
      </c>
      <c r="B16" s="2">
        <v>1.0999999999999999E-2</v>
      </c>
      <c r="C16" s="6" t="s">
        <v>31</v>
      </c>
      <c r="D16" s="6" t="s">
        <v>73</v>
      </c>
      <c r="E16" s="7">
        <v>52.104599999999998</v>
      </c>
      <c r="F16" s="21">
        <v>14</v>
      </c>
      <c r="G16" s="6">
        <f t="shared" si="17"/>
        <v>350</v>
      </c>
      <c r="H16" s="8" t="s">
        <v>16</v>
      </c>
      <c r="I16" s="8" t="str">
        <f t="shared" si="2"/>
        <v/>
      </c>
      <c r="J16" s="8" t="str">
        <f t="shared" si="3"/>
        <v/>
      </c>
      <c r="K16" s="8" t="str">
        <f t="shared" si="4"/>
        <v/>
      </c>
      <c r="L16" s="8">
        <f t="shared" si="5"/>
        <v>52.104599999999998</v>
      </c>
      <c r="M16" s="8" t="str">
        <f t="shared" si="6"/>
        <v/>
      </c>
      <c r="N16" s="8" t="str">
        <f t="shared" si="7"/>
        <v/>
      </c>
      <c r="O16" s="8" t="str">
        <f t="shared" si="8"/>
        <v/>
      </c>
      <c r="P16" s="8" t="str">
        <f t="shared" si="9"/>
        <v/>
      </c>
      <c r="Q16" s="8" t="str">
        <f t="shared" si="10"/>
        <v/>
      </c>
      <c r="R16" s="8" t="str">
        <f t="shared" si="11"/>
        <v/>
      </c>
      <c r="S16" s="8" t="str">
        <f t="shared" si="12"/>
        <v/>
      </c>
      <c r="T16" s="8" t="str">
        <f t="shared" si="13"/>
        <v/>
      </c>
      <c r="U16" s="8" t="str">
        <f t="shared" si="14"/>
        <v/>
      </c>
      <c r="V16" s="8" t="str">
        <f t="shared" si="15"/>
        <v/>
      </c>
      <c r="X16" s="22"/>
      <c r="Y16" s="22"/>
      <c r="Z16" s="22"/>
      <c r="AA16" s="23"/>
      <c r="AB16" s="21"/>
      <c r="AC16" s="21"/>
      <c r="AD16" s="24"/>
      <c r="AE16" s="21"/>
      <c r="AF16" s="21"/>
      <c r="AG16" s="25"/>
    </row>
    <row r="17" spans="1:33" x14ac:dyDescent="0.2">
      <c r="A17" s="9" t="str">
        <f t="shared" si="16"/>
        <v>PVC</v>
      </c>
      <c r="B17" s="2">
        <v>1.0999999999999999E-2</v>
      </c>
      <c r="C17" s="6" t="s">
        <v>73</v>
      </c>
      <c r="D17" s="6" t="s">
        <v>74</v>
      </c>
      <c r="E17" s="7">
        <v>84.227599999999995</v>
      </c>
      <c r="F17" s="21">
        <v>14</v>
      </c>
      <c r="G17" s="6">
        <f t="shared" si="17"/>
        <v>350</v>
      </c>
      <c r="H17" s="8" t="s">
        <v>16</v>
      </c>
      <c r="I17" s="8" t="str">
        <f t="shared" si="2"/>
        <v/>
      </c>
      <c r="J17" s="8" t="str">
        <f t="shared" si="3"/>
        <v/>
      </c>
      <c r="K17" s="8" t="str">
        <f t="shared" si="4"/>
        <v/>
      </c>
      <c r="L17" s="8">
        <f t="shared" si="5"/>
        <v>84.227599999999995</v>
      </c>
      <c r="M17" s="8" t="str">
        <f t="shared" si="6"/>
        <v/>
      </c>
      <c r="N17" s="8" t="str">
        <f t="shared" si="7"/>
        <v/>
      </c>
      <c r="O17" s="8" t="str">
        <f t="shared" si="8"/>
        <v/>
      </c>
      <c r="P17" s="8" t="str">
        <f t="shared" si="9"/>
        <v/>
      </c>
      <c r="Q17" s="8" t="str">
        <f t="shared" si="10"/>
        <v/>
      </c>
      <c r="R17" s="8" t="str">
        <f t="shared" si="11"/>
        <v/>
      </c>
      <c r="S17" s="8" t="str">
        <f t="shared" si="12"/>
        <v/>
      </c>
      <c r="T17" s="8" t="str">
        <f t="shared" si="13"/>
        <v/>
      </c>
      <c r="U17" s="8" t="str">
        <f t="shared" si="14"/>
        <v/>
      </c>
      <c r="V17" s="8" t="str">
        <f t="shared" si="15"/>
        <v/>
      </c>
      <c r="X17" s="22"/>
      <c r="Y17" s="22"/>
      <c r="Z17" s="22"/>
      <c r="AA17" s="23"/>
      <c r="AB17" s="21"/>
      <c r="AC17" s="21"/>
      <c r="AD17" s="24"/>
      <c r="AE17" s="21"/>
      <c r="AF17" s="21"/>
      <c r="AG17" s="25"/>
    </row>
    <row r="18" spans="1:33" x14ac:dyDescent="0.2">
      <c r="A18" s="9" t="str">
        <f t="shared" si="16"/>
        <v>PVC</v>
      </c>
      <c r="B18" s="2">
        <v>1.0999999999999999E-2</v>
      </c>
      <c r="C18" s="6" t="s">
        <v>74</v>
      </c>
      <c r="D18" s="6" t="s">
        <v>37</v>
      </c>
      <c r="E18" s="7">
        <v>84.227599999999995</v>
      </c>
      <c r="F18" s="21">
        <v>14</v>
      </c>
      <c r="G18" s="6">
        <f t="shared" si="17"/>
        <v>350</v>
      </c>
      <c r="H18" s="8" t="s">
        <v>16</v>
      </c>
      <c r="I18" s="8" t="str">
        <f t="shared" si="2"/>
        <v/>
      </c>
      <c r="J18" s="8" t="str">
        <f t="shared" si="3"/>
        <v/>
      </c>
      <c r="K18" s="8" t="str">
        <f t="shared" si="4"/>
        <v/>
      </c>
      <c r="L18" s="8">
        <f t="shared" si="5"/>
        <v>84.227599999999995</v>
      </c>
      <c r="M18" s="8" t="str">
        <f t="shared" si="6"/>
        <v/>
      </c>
      <c r="N18" s="8" t="str">
        <f t="shared" si="7"/>
        <v/>
      </c>
      <c r="O18" s="8" t="str">
        <f t="shared" si="8"/>
        <v/>
      </c>
      <c r="P18" s="8" t="str">
        <f t="shared" si="9"/>
        <v/>
      </c>
      <c r="Q18" s="8" t="str">
        <f t="shared" si="10"/>
        <v/>
      </c>
      <c r="R18" s="8" t="str">
        <f t="shared" si="11"/>
        <v/>
      </c>
      <c r="S18" s="8" t="str">
        <f t="shared" si="12"/>
        <v/>
      </c>
      <c r="T18" s="8" t="str">
        <f t="shared" si="13"/>
        <v/>
      </c>
      <c r="U18" s="8" t="str">
        <f t="shared" si="14"/>
        <v/>
      </c>
      <c r="V18" s="8" t="str">
        <f t="shared" si="15"/>
        <v/>
      </c>
      <c r="X18" s="22"/>
      <c r="Y18" s="22"/>
      <c r="Z18" s="22"/>
      <c r="AA18" s="23"/>
      <c r="AB18" s="21"/>
      <c r="AC18" s="21"/>
      <c r="AD18" s="24"/>
      <c r="AE18" s="21"/>
      <c r="AF18" s="21"/>
      <c r="AG18" s="25"/>
    </row>
    <row r="19" spans="1:33" x14ac:dyDescent="0.2">
      <c r="A19" s="9" t="str">
        <f t="shared" si="16"/>
        <v>PVC</v>
      </c>
      <c r="B19" s="2">
        <v>1.0999999999999999E-2</v>
      </c>
      <c r="C19" s="6" t="s">
        <v>44</v>
      </c>
      <c r="D19" s="6" t="s">
        <v>43</v>
      </c>
      <c r="E19" s="7">
        <v>56.802454031494094</v>
      </c>
      <c r="F19" s="21">
        <v>12</v>
      </c>
      <c r="G19" s="6">
        <f t="shared" si="17"/>
        <v>300</v>
      </c>
      <c r="H19" s="8" t="s">
        <v>16</v>
      </c>
      <c r="I19" s="8" t="str">
        <f t="shared" si="2"/>
        <v/>
      </c>
      <c r="J19" s="8" t="str">
        <f t="shared" si="3"/>
        <v/>
      </c>
      <c r="K19" s="8">
        <f t="shared" si="4"/>
        <v>56.802454031494094</v>
      </c>
      <c r="L19" s="8" t="str">
        <f t="shared" si="5"/>
        <v/>
      </c>
      <c r="M19" s="8" t="str">
        <f t="shared" si="6"/>
        <v/>
      </c>
      <c r="N19" s="8" t="str">
        <f t="shared" si="7"/>
        <v/>
      </c>
      <c r="O19" s="8" t="str">
        <f t="shared" si="8"/>
        <v/>
      </c>
      <c r="P19" s="8" t="str">
        <f t="shared" si="9"/>
        <v/>
      </c>
      <c r="Q19" s="8" t="str">
        <f t="shared" si="10"/>
        <v/>
      </c>
      <c r="R19" s="8" t="str">
        <f t="shared" si="11"/>
        <v/>
      </c>
      <c r="S19" s="8" t="str">
        <f t="shared" si="12"/>
        <v/>
      </c>
      <c r="T19" s="8" t="str">
        <f t="shared" si="13"/>
        <v/>
      </c>
      <c r="U19" s="8" t="str">
        <f t="shared" si="14"/>
        <v/>
      </c>
      <c r="V19" s="8" t="str">
        <f t="shared" si="15"/>
        <v/>
      </c>
      <c r="X19" s="22"/>
      <c r="Y19" s="22"/>
      <c r="Z19" s="22"/>
      <c r="AA19" s="23"/>
      <c r="AB19" s="21"/>
      <c r="AC19" s="21"/>
      <c r="AD19" s="24"/>
      <c r="AE19" s="21"/>
      <c r="AF19" s="21"/>
      <c r="AG19" s="25"/>
    </row>
    <row r="20" spans="1:33" x14ac:dyDescent="0.2">
      <c r="A20" s="9" t="str">
        <f t="shared" si="16"/>
        <v>PVC</v>
      </c>
      <c r="B20" s="2">
        <v>1.0999999999999999E-2</v>
      </c>
      <c r="C20" s="6" t="s">
        <v>69</v>
      </c>
      <c r="D20" s="6" t="s">
        <v>68</v>
      </c>
      <c r="E20" s="7">
        <v>54.753253976361982</v>
      </c>
      <c r="F20" s="21">
        <v>8</v>
      </c>
      <c r="G20" s="6">
        <f t="shared" si="17"/>
        <v>200</v>
      </c>
      <c r="H20" s="8" t="s">
        <v>16</v>
      </c>
      <c r="I20" s="8">
        <f t="shared" si="2"/>
        <v>54.753253976361982</v>
      </c>
      <c r="J20" s="8" t="str">
        <f t="shared" si="3"/>
        <v/>
      </c>
      <c r="K20" s="8" t="str">
        <f t="shared" si="4"/>
        <v/>
      </c>
      <c r="L20" s="8" t="str">
        <f t="shared" si="5"/>
        <v/>
      </c>
      <c r="M20" s="8" t="str">
        <f t="shared" si="6"/>
        <v/>
      </c>
      <c r="N20" s="8" t="str">
        <f t="shared" si="7"/>
        <v/>
      </c>
      <c r="O20" s="8" t="str">
        <f t="shared" si="8"/>
        <v/>
      </c>
      <c r="P20" s="8" t="str">
        <f t="shared" si="9"/>
        <v/>
      </c>
      <c r="Q20" s="8" t="str">
        <f t="shared" si="10"/>
        <v/>
      </c>
      <c r="R20" s="8" t="str">
        <f t="shared" si="11"/>
        <v/>
      </c>
      <c r="S20" s="8" t="str">
        <f t="shared" si="12"/>
        <v/>
      </c>
      <c r="T20" s="8" t="str">
        <f t="shared" si="13"/>
        <v/>
      </c>
      <c r="U20" s="8" t="str">
        <f t="shared" si="14"/>
        <v/>
      </c>
      <c r="V20" s="8" t="str">
        <f t="shared" si="15"/>
        <v/>
      </c>
      <c r="X20" s="22"/>
      <c r="Y20" s="22"/>
      <c r="Z20" s="22"/>
      <c r="AA20" s="23"/>
      <c r="AB20" s="21"/>
      <c r="AC20" s="21"/>
      <c r="AD20" s="24"/>
      <c r="AE20" s="21"/>
      <c r="AF20" s="21"/>
      <c r="AG20" s="25"/>
    </row>
    <row r="21" spans="1:33" x14ac:dyDescent="0.2">
      <c r="A21" s="9" t="str">
        <f t="shared" si="16"/>
        <v>PVC</v>
      </c>
      <c r="B21" s="2">
        <v>1.0999999999999999E-2</v>
      </c>
      <c r="C21" s="6" t="s">
        <v>68</v>
      </c>
      <c r="D21" s="6" t="s">
        <v>37</v>
      </c>
      <c r="E21" s="7">
        <v>92.303891575599351</v>
      </c>
      <c r="F21" s="21">
        <v>8</v>
      </c>
      <c r="G21" s="6">
        <f t="shared" si="17"/>
        <v>200</v>
      </c>
      <c r="H21" s="8" t="s">
        <v>16</v>
      </c>
      <c r="I21" s="8">
        <f t="shared" si="2"/>
        <v>92.303891575599351</v>
      </c>
      <c r="J21" s="8" t="str">
        <f t="shared" si="3"/>
        <v/>
      </c>
      <c r="K21" s="8" t="str">
        <f t="shared" si="4"/>
        <v/>
      </c>
      <c r="L21" s="8" t="str">
        <f t="shared" si="5"/>
        <v/>
      </c>
      <c r="M21" s="8" t="str">
        <f t="shared" si="6"/>
        <v/>
      </c>
      <c r="N21" s="8" t="str">
        <f t="shared" si="7"/>
        <v/>
      </c>
      <c r="O21" s="8" t="str">
        <f t="shared" si="8"/>
        <v/>
      </c>
      <c r="P21" s="8" t="str">
        <f t="shared" si="9"/>
        <v/>
      </c>
      <c r="Q21" s="8" t="str">
        <f t="shared" si="10"/>
        <v/>
      </c>
      <c r="R21" s="8" t="str">
        <f t="shared" si="11"/>
        <v/>
      </c>
      <c r="S21" s="8" t="str">
        <f t="shared" si="12"/>
        <v/>
      </c>
      <c r="T21" s="8" t="str">
        <f t="shared" si="13"/>
        <v/>
      </c>
      <c r="U21" s="8" t="str">
        <f t="shared" si="14"/>
        <v/>
      </c>
      <c r="V21" s="8" t="str">
        <f t="shared" si="15"/>
        <v/>
      </c>
      <c r="X21" s="22"/>
      <c r="Y21" s="22"/>
      <c r="Z21" s="22"/>
      <c r="AA21" s="23"/>
      <c r="AB21" s="21"/>
      <c r="AC21" s="21"/>
      <c r="AD21" s="24"/>
      <c r="AE21" s="21"/>
      <c r="AF21" s="21"/>
      <c r="AG21" s="25"/>
    </row>
    <row r="22" spans="1:33" x14ac:dyDescent="0.2">
      <c r="A22" s="9" t="str">
        <f t="shared" si="16"/>
        <v>PVC</v>
      </c>
      <c r="B22" s="2">
        <v>1.0999999999999999E-2</v>
      </c>
      <c r="C22" s="6" t="s">
        <v>37</v>
      </c>
      <c r="D22" s="6" t="s">
        <v>38</v>
      </c>
      <c r="E22" s="7">
        <v>37.607085768509108</v>
      </c>
      <c r="F22" s="21">
        <v>14</v>
      </c>
      <c r="G22" s="6">
        <f t="shared" si="17"/>
        <v>350</v>
      </c>
      <c r="H22" s="8" t="s">
        <v>16</v>
      </c>
      <c r="I22" s="8" t="str">
        <f t="shared" si="2"/>
        <v/>
      </c>
      <c r="J22" s="8" t="str">
        <f t="shared" si="3"/>
        <v/>
      </c>
      <c r="K22" s="8" t="str">
        <f t="shared" si="4"/>
        <v/>
      </c>
      <c r="L22" s="8">
        <f t="shared" si="5"/>
        <v>37.607085768509108</v>
      </c>
      <c r="M22" s="8" t="str">
        <f t="shared" si="6"/>
        <v/>
      </c>
      <c r="N22" s="8" t="str">
        <f t="shared" si="7"/>
        <v/>
      </c>
      <c r="O22" s="8" t="str">
        <f t="shared" si="8"/>
        <v/>
      </c>
      <c r="P22" s="8" t="str">
        <f t="shared" si="9"/>
        <v/>
      </c>
      <c r="Q22" s="8" t="str">
        <f t="shared" si="10"/>
        <v/>
      </c>
      <c r="R22" s="8" t="str">
        <f t="shared" si="11"/>
        <v/>
      </c>
      <c r="S22" s="8" t="str">
        <f t="shared" si="12"/>
        <v/>
      </c>
      <c r="T22" s="8" t="str">
        <f t="shared" si="13"/>
        <v/>
      </c>
      <c r="U22" s="8" t="str">
        <f t="shared" si="14"/>
        <v/>
      </c>
      <c r="V22" s="8" t="str">
        <f t="shared" si="15"/>
        <v/>
      </c>
      <c r="X22" s="22"/>
      <c r="Y22" s="22"/>
      <c r="Z22" s="22"/>
      <c r="AA22" s="23"/>
      <c r="AB22" s="21"/>
      <c r="AC22" s="21"/>
      <c r="AD22" s="24"/>
      <c r="AE22" s="21"/>
      <c r="AF22" s="21"/>
      <c r="AG22" s="25"/>
    </row>
    <row r="23" spans="1:33" x14ac:dyDescent="0.2">
      <c r="A23" s="9" t="str">
        <f t="shared" si="16"/>
        <v>PVC</v>
      </c>
      <c r="B23" s="2">
        <v>1.0999999999999999E-2</v>
      </c>
      <c r="C23" s="6" t="s">
        <v>38</v>
      </c>
      <c r="D23" s="6" t="s">
        <v>39</v>
      </c>
      <c r="E23" s="7">
        <v>24.150264367083022</v>
      </c>
      <c r="F23" s="6">
        <v>14</v>
      </c>
      <c r="G23" s="6">
        <f t="shared" si="17"/>
        <v>350</v>
      </c>
      <c r="H23" s="8" t="s">
        <v>15</v>
      </c>
      <c r="I23" s="8" t="str">
        <f t="shared" si="2"/>
        <v/>
      </c>
      <c r="J23" s="8" t="str">
        <f t="shared" si="3"/>
        <v/>
      </c>
      <c r="K23" s="8" t="str">
        <f t="shared" si="4"/>
        <v/>
      </c>
      <c r="L23" s="8">
        <f t="shared" si="5"/>
        <v>24.150264367083022</v>
      </c>
      <c r="M23" s="8" t="str">
        <f t="shared" si="6"/>
        <v/>
      </c>
      <c r="N23" s="8" t="str">
        <f t="shared" si="7"/>
        <v/>
      </c>
      <c r="O23" s="8" t="str">
        <f t="shared" si="8"/>
        <v/>
      </c>
      <c r="P23" s="8" t="str">
        <f t="shared" si="9"/>
        <v/>
      </c>
      <c r="Q23" s="8" t="str">
        <f t="shared" si="10"/>
        <v/>
      </c>
      <c r="R23" s="8" t="str">
        <f t="shared" si="11"/>
        <v/>
      </c>
      <c r="S23" s="8" t="str">
        <f t="shared" si="12"/>
        <v/>
      </c>
      <c r="T23" s="8" t="str">
        <f t="shared" si="13"/>
        <v/>
      </c>
      <c r="U23" s="8" t="str">
        <f t="shared" si="14"/>
        <v/>
      </c>
      <c r="V23" s="8" t="str">
        <f t="shared" si="15"/>
        <v/>
      </c>
      <c r="X23" s="22"/>
      <c r="Y23" s="22"/>
      <c r="Z23" s="22"/>
      <c r="AA23" s="23"/>
      <c r="AB23" s="21"/>
      <c r="AC23" s="21"/>
      <c r="AD23" s="24"/>
      <c r="AE23" s="21"/>
      <c r="AF23" s="21"/>
      <c r="AG23" s="25"/>
    </row>
    <row r="24" spans="1:33" x14ac:dyDescent="0.2">
      <c r="A24" s="9" t="str">
        <f t="shared" si="16"/>
        <v>PVC</v>
      </c>
      <c r="B24" s="2">
        <v>1.0999999999999999E-2</v>
      </c>
      <c r="C24" s="6" t="s">
        <v>39</v>
      </c>
      <c r="D24" s="6" t="s">
        <v>42</v>
      </c>
      <c r="E24" s="7">
        <v>15.630373124145184</v>
      </c>
      <c r="F24" s="6">
        <v>14</v>
      </c>
      <c r="G24" s="6">
        <f t="shared" si="17"/>
        <v>350</v>
      </c>
      <c r="H24" s="8" t="s">
        <v>15</v>
      </c>
      <c r="I24" s="8" t="str">
        <f t="shared" si="2"/>
        <v/>
      </c>
      <c r="J24" s="8" t="str">
        <f t="shared" si="3"/>
        <v/>
      </c>
      <c r="K24" s="8" t="str">
        <f t="shared" si="4"/>
        <v/>
      </c>
      <c r="L24" s="8">
        <f t="shared" si="5"/>
        <v>15.630373124145184</v>
      </c>
      <c r="M24" s="8" t="str">
        <f t="shared" si="6"/>
        <v/>
      </c>
      <c r="N24" s="8" t="str">
        <f t="shared" si="7"/>
        <v/>
      </c>
      <c r="O24" s="8" t="str">
        <f t="shared" si="8"/>
        <v/>
      </c>
      <c r="P24" s="8" t="str">
        <f t="shared" si="9"/>
        <v/>
      </c>
      <c r="Q24" s="8" t="str">
        <f t="shared" si="10"/>
        <v/>
      </c>
      <c r="R24" s="8" t="str">
        <f t="shared" si="11"/>
        <v/>
      </c>
      <c r="S24" s="8" t="str">
        <f t="shared" si="12"/>
        <v/>
      </c>
      <c r="T24" s="8" t="str">
        <f t="shared" si="13"/>
        <v/>
      </c>
      <c r="U24" s="8" t="str">
        <f t="shared" si="14"/>
        <v/>
      </c>
      <c r="V24" s="8" t="str">
        <f t="shared" si="15"/>
        <v/>
      </c>
      <c r="X24" s="22"/>
      <c r="Y24" s="22"/>
      <c r="Z24" s="22"/>
      <c r="AA24" s="23"/>
      <c r="AB24" s="21"/>
      <c r="AC24" s="21"/>
      <c r="AD24" s="24"/>
      <c r="AE24" s="21"/>
      <c r="AF24" s="21"/>
      <c r="AG24" s="25"/>
    </row>
    <row r="25" spans="1:33" x14ac:dyDescent="0.2">
      <c r="A25" s="9" t="str">
        <f t="shared" si="16"/>
        <v>PVC</v>
      </c>
      <c r="B25" s="2">
        <v>1.0999999999999999E-2</v>
      </c>
      <c r="C25" s="6" t="s">
        <v>70</v>
      </c>
      <c r="D25" s="6" t="s">
        <v>42</v>
      </c>
      <c r="E25" s="7">
        <v>49.722124894256083</v>
      </c>
      <c r="F25" s="6">
        <v>8</v>
      </c>
      <c r="G25" s="6">
        <f t="shared" si="17"/>
        <v>200</v>
      </c>
      <c r="H25" s="8" t="s">
        <v>15</v>
      </c>
      <c r="I25" s="8">
        <f t="shared" si="2"/>
        <v>49.722124894256083</v>
      </c>
      <c r="J25" s="8" t="str">
        <f t="shared" si="3"/>
        <v/>
      </c>
      <c r="K25" s="8" t="str">
        <f t="shared" si="4"/>
        <v/>
      </c>
      <c r="L25" s="8" t="str">
        <f t="shared" si="5"/>
        <v/>
      </c>
      <c r="M25" s="8" t="str">
        <f t="shared" si="6"/>
        <v/>
      </c>
      <c r="N25" s="8" t="str">
        <f t="shared" si="7"/>
        <v/>
      </c>
      <c r="O25" s="8" t="str">
        <f t="shared" si="8"/>
        <v/>
      </c>
      <c r="P25" s="8" t="str">
        <f t="shared" si="9"/>
        <v/>
      </c>
      <c r="Q25" s="8" t="str">
        <f t="shared" si="10"/>
        <v/>
      </c>
      <c r="R25" s="8" t="str">
        <f t="shared" si="11"/>
        <v/>
      </c>
      <c r="S25" s="8" t="str">
        <f t="shared" si="12"/>
        <v/>
      </c>
      <c r="T25" s="8" t="str">
        <f t="shared" si="13"/>
        <v/>
      </c>
      <c r="U25" s="8" t="str">
        <f t="shared" si="14"/>
        <v/>
      </c>
      <c r="V25" s="8" t="str">
        <f t="shared" si="15"/>
        <v/>
      </c>
      <c r="X25" s="22"/>
      <c r="Y25" s="22"/>
      <c r="Z25" s="22"/>
      <c r="AA25" s="23"/>
      <c r="AB25" s="21"/>
      <c r="AC25" s="21"/>
      <c r="AD25" s="24"/>
      <c r="AE25" s="21"/>
      <c r="AF25" s="21"/>
      <c r="AG25" s="25"/>
    </row>
    <row r="26" spans="1:33" x14ac:dyDescent="0.2">
      <c r="A26" s="9" t="str">
        <f t="shared" si="16"/>
        <v>PVC</v>
      </c>
      <c r="B26" s="2">
        <v>1.0999999999999999E-2</v>
      </c>
      <c r="C26" s="6" t="s">
        <v>42</v>
      </c>
      <c r="D26" s="6" t="s">
        <v>40</v>
      </c>
      <c r="E26" s="7">
        <v>36.062445840513924</v>
      </c>
      <c r="F26" s="6">
        <v>14</v>
      </c>
      <c r="G26" s="6">
        <f t="shared" si="17"/>
        <v>350</v>
      </c>
      <c r="H26" s="8" t="s">
        <v>15</v>
      </c>
      <c r="I26" s="8" t="str">
        <f t="shared" si="2"/>
        <v/>
      </c>
      <c r="J26" s="8" t="str">
        <f t="shared" si="3"/>
        <v/>
      </c>
      <c r="K26" s="8" t="str">
        <f t="shared" si="4"/>
        <v/>
      </c>
      <c r="L26" s="8">
        <f t="shared" si="5"/>
        <v>36.062445840513924</v>
      </c>
      <c r="M26" s="8" t="str">
        <f t="shared" si="6"/>
        <v/>
      </c>
      <c r="N26" s="8" t="str">
        <f t="shared" si="7"/>
        <v/>
      </c>
      <c r="O26" s="8" t="str">
        <f t="shared" si="8"/>
        <v/>
      </c>
      <c r="P26" s="8" t="str">
        <f t="shared" si="9"/>
        <v/>
      </c>
      <c r="Q26" s="8" t="str">
        <f t="shared" si="10"/>
        <v/>
      </c>
      <c r="R26" s="8" t="str">
        <f t="shared" si="11"/>
        <v/>
      </c>
      <c r="S26" s="8" t="str">
        <f t="shared" si="12"/>
        <v/>
      </c>
      <c r="T26" s="8" t="str">
        <f t="shared" si="13"/>
        <v/>
      </c>
      <c r="U26" s="8" t="str">
        <f t="shared" si="14"/>
        <v/>
      </c>
      <c r="V26" s="8" t="str">
        <f t="shared" si="15"/>
        <v/>
      </c>
      <c r="X26" s="22"/>
      <c r="Y26" s="22"/>
      <c r="Z26" s="22"/>
      <c r="AA26" s="23"/>
      <c r="AB26" s="21"/>
      <c r="AC26" s="21"/>
      <c r="AD26" s="24"/>
      <c r="AE26" s="21"/>
      <c r="AF26" s="21"/>
      <c r="AG26" s="25"/>
    </row>
    <row r="27" spans="1:33" x14ac:dyDescent="0.2">
      <c r="A27" s="9" t="str">
        <f t="shared" si="16"/>
        <v>PVC</v>
      </c>
      <c r="B27" s="2">
        <v>1.0999999999999999E-2</v>
      </c>
      <c r="C27" s="6" t="s">
        <v>71</v>
      </c>
      <c r="D27" s="6" t="s">
        <v>40</v>
      </c>
      <c r="E27" s="7">
        <v>16.652885635829005</v>
      </c>
      <c r="F27" s="6">
        <v>8</v>
      </c>
      <c r="G27" s="6">
        <f t="shared" si="17"/>
        <v>200</v>
      </c>
      <c r="H27" s="8" t="s">
        <v>15</v>
      </c>
      <c r="I27" s="8">
        <f t="shared" si="2"/>
        <v>16.652885635829005</v>
      </c>
      <c r="J27" s="8" t="str">
        <f t="shared" si="3"/>
        <v/>
      </c>
      <c r="K27" s="8" t="str">
        <f t="shared" si="4"/>
        <v/>
      </c>
      <c r="L27" s="8" t="str">
        <f t="shared" si="5"/>
        <v/>
      </c>
      <c r="M27" s="8" t="str">
        <f t="shared" si="6"/>
        <v/>
      </c>
      <c r="N27" s="8" t="str">
        <f t="shared" si="7"/>
        <v/>
      </c>
      <c r="O27" s="8" t="str">
        <f t="shared" si="8"/>
        <v/>
      </c>
      <c r="P27" s="8" t="str">
        <f t="shared" si="9"/>
        <v/>
      </c>
      <c r="Q27" s="8" t="str">
        <f t="shared" si="10"/>
        <v/>
      </c>
      <c r="R27" s="8" t="str">
        <f t="shared" si="11"/>
        <v/>
      </c>
      <c r="S27" s="8" t="str">
        <f t="shared" si="12"/>
        <v/>
      </c>
      <c r="T27" s="8" t="str">
        <f t="shared" si="13"/>
        <v/>
      </c>
      <c r="U27" s="8" t="str">
        <f t="shared" si="14"/>
        <v/>
      </c>
      <c r="V27" s="8" t="str">
        <f t="shared" si="15"/>
        <v/>
      </c>
      <c r="X27" s="22"/>
      <c r="Y27" s="22"/>
      <c r="Z27" s="22"/>
      <c r="AA27" s="23"/>
      <c r="AB27" s="21"/>
      <c r="AC27" s="21"/>
      <c r="AD27" s="24"/>
      <c r="AE27" s="21"/>
      <c r="AF27" s="21"/>
      <c r="AG27" s="25"/>
    </row>
    <row r="28" spans="1:33" x14ac:dyDescent="0.2">
      <c r="A28" s="9" t="str">
        <f t="shared" si="16"/>
        <v>PVC</v>
      </c>
      <c r="B28" s="2">
        <v>1.0999999999999999E-2</v>
      </c>
      <c r="C28" s="6" t="s">
        <v>40</v>
      </c>
      <c r="D28" s="6" t="s">
        <v>43</v>
      </c>
      <c r="E28" s="7">
        <v>17.65079003897559</v>
      </c>
      <c r="F28" s="6">
        <v>14</v>
      </c>
      <c r="G28" s="6">
        <f t="shared" si="17"/>
        <v>350</v>
      </c>
      <c r="H28" s="8" t="s">
        <v>15</v>
      </c>
      <c r="I28" s="8" t="str">
        <f t="shared" si="2"/>
        <v/>
      </c>
      <c r="J28" s="8" t="str">
        <f t="shared" si="3"/>
        <v/>
      </c>
      <c r="K28" s="8" t="str">
        <f t="shared" si="4"/>
        <v/>
      </c>
      <c r="L28" s="8">
        <f t="shared" si="5"/>
        <v>17.65079003897559</v>
      </c>
      <c r="M28" s="8" t="str">
        <f t="shared" si="6"/>
        <v/>
      </c>
      <c r="N28" s="8" t="str">
        <f t="shared" si="7"/>
        <v/>
      </c>
      <c r="O28" s="8" t="str">
        <f t="shared" si="8"/>
        <v/>
      </c>
      <c r="P28" s="8" t="str">
        <f t="shared" si="9"/>
        <v/>
      </c>
      <c r="Q28" s="8" t="str">
        <f t="shared" si="10"/>
        <v/>
      </c>
      <c r="R28" s="8" t="str">
        <f t="shared" si="11"/>
        <v/>
      </c>
      <c r="S28" s="8" t="str">
        <f t="shared" si="12"/>
        <v/>
      </c>
      <c r="T28" s="8" t="str">
        <f t="shared" si="13"/>
        <v/>
      </c>
      <c r="U28" s="8" t="str">
        <f t="shared" si="14"/>
        <v/>
      </c>
      <c r="V28" s="8" t="str">
        <f t="shared" si="15"/>
        <v/>
      </c>
      <c r="X28" s="22"/>
      <c r="Y28" s="22"/>
      <c r="Z28" s="22"/>
      <c r="AA28" s="23"/>
      <c r="AB28" s="21"/>
      <c r="AC28" s="21"/>
      <c r="AD28" s="24"/>
      <c r="AE28" s="21"/>
      <c r="AF28" s="21"/>
      <c r="AG28" s="25"/>
    </row>
    <row r="29" spans="1:33" x14ac:dyDescent="0.2">
      <c r="A29" s="9" t="str">
        <f t="shared" si="16"/>
        <v>PVC</v>
      </c>
      <c r="B29" s="2">
        <v>1.0999999999999999E-2</v>
      </c>
      <c r="C29" s="6" t="s">
        <v>43</v>
      </c>
      <c r="D29" s="6" t="s">
        <v>45</v>
      </c>
      <c r="E29" s="7">
        <v>58.383936866230599</v>
      </c>
      <c r="F29" s="6">
        <v>14</v>
      </c>
      <c r="G29" s="6">
        <f t="shared" si="17"/>
        <v>350</v>
      </c>
      <c r="H29" s="8" t="s">
        <v>15</v>
      </c>
      <c r="I29" s="8" t="str">
        <f t="shared" si="2"/>
        <v/>
      </c>
      <c r="J29" s="8" t="str">
        <f t="shared" si="3"/>
        <v/>
      </c>
      <c r="K29" s="8" t="str">
        <f t="shared" si="4"/>
        <v/>
      </c>
      <c r="L29" s="8">
        <f t="shared" si="5"/>
        <v>58.383936866230599</v>
      </c>
      <c r="M29" s="8" t="str">
        <f t="shared" si="6"/>
        <v/>
      </c>
      <c r="N29" s="8" t="str">
        <f t="shared" si="7"/>
        <v/>
      </c>
      <c r="O29" s="8" t="str">
        <f t="shared" si="8"/>
        <v/>
      </c>
      <c r="P29" s="8" t="str">
        <f t="shared" si="9"/>
        <v/>
      </c>
      <c r="Q29" s="8" t="str">
        <f t="shared" si="10"/>
        <v/>
      </c>
      <c r="R29" s="8" t="str">
        <f t="shared" si="11"/>
        <v/>
      </c>
      <c r="S29" s="8" t="str">
        <f t="shared" si="12"/>
        <v/>
      </c>
      <c r="T29" s="8" t="str">
        <f t="shared" si="13"/>
        <v/>
      </c>
      <c r="U29" s="8" t="str">
        <f t="shared" si="14"/>
        <v/>
      </c>
      <c r="V29" s="8" t="str">
        <f t="shared" si="15"/>
        <v/>
      </c>
      <c r="X29" s="22"/>
      <c r="Y29" s="22"/>
      <c r="Z29" s="22"/>
      <c r="AA29" s="23"/>
      <c r="AB29" s="21"/>
      <c r="AC29" s="21"/>
      <c r="AD29" s="24"/>
      <c r="AE29" s="21"/>
      <c r="AF29" s="21"/>
      <c r="AG29" s="25"/>
    </row>
    <row r="30" spans="1:33" x14ac:dyDescent="0.2">
      <c r="A30" s="9" t="str">
        <f t="shared" si="16"/>
        <v>PVC</v>
      </c>
      <c r="B30" s="2">
        <v>1.0999999999999999E-2</v>
      </c>
      <c r="C30" s="6" t="s">
        <v>45</v>
      </c>
      <c r="D30" s="6" t="s">
        <v>46</v>
      </c>
      <c r="E30" s="7">
        <v>6.58062922523371</v>
      </c>
      <c r="F30" s="6">
        <v>14</v>
      </c>
      <c r="G30" s="6">
        <f t="shared" si="17"/>
        <v>350</v>
      </c>
      <c r="H30" s="8" t="s">
        <v>15</v>
      </c>
      <c r="I30" s="8" t="str">
        <f t="shared" si="2"/>
        <v/>
      </c>
      <c r="J30" s="8" t="str">
        <f t="shared" si="3"/>
        <v/>
      </c>
      <c r="K30" s="8" t="str">
        <f t="shared" si="4"/>
        <v/>
      </c>
      <c r="L30" s="8">
        <f t="shared" si="5"/>
        <v>6.58062922523371</v>
      </c>
      <c r="M30" s="8" t="str">
        <f t="shared" si="6"/>
        <v/>
      </c>
      <c r="N30" s="8" t="str">
        <f t="shared" si="7"/>
        <v/>
      </c>
      <c r="O30" s="8" t="str">
        <f t="shared" si="8"/>
        <v/>
      </c>
      <c r="P30" s="8" t="str">
        <f t="shared" si="9"/>
        <v/>
      </c>
      <c r="Q30" s="8" t="str">
        <f t="shared" si="10"/>
        <v/>
      </c>
      <c r="R30" s="8" t="str">
        <f t="shared" si="11"/>
        <v/>
      </c>
      <c r="S30" s="8" t="str">
        <f t="shared" si="12"/>
        <v/>
      </c>
      <c r="T30" s="8" t="str">
        <f t="shared" si="13"/>
        <v/>
      </c>
      <c r="U30" s="8" t="str">
        <f t="shared" si="14"/>
        <v/>
      </c>
      <c r="V30" s="8" t="str">
        <f t="shared" si="15"/>
        <v/>
      </c>
      <c r="X30" s="22"/>
      <c r="Y30" s="22"/>
      <c r="Z30" s="22"/>
      <c r="AA30" s="23"/>
      <c r="AB30" s="21"/>
      <c r="AC30" s="21"/>
      <c r="AD30" s="24"/>
      <c r="AE30" s="21"/>
      <c r="AF30" s="21"/>
      <c r="AG30" s="25"/>
    </row>
    <row r="31" spans="1:33" x14ac:dyDescent="0.2">
      <c r="A31" s="9" t="str">
        <f t="shared" si="16"/>
        <v>PVC</v>
      </c>
      <c r="B31" s="2">
        <v>1.0999999999999999E-2</v>
      </c>
      <c r="C31" s="6" t="s">
        <v>46</v>
      </c>
      <c r="D31" s="6" t="s">
        <v>72</v>
      </c>
      <c r="E31" s="7">
        <v>14.611596627336793</v>
      </c>
      <c r="F31" s="6">
        <v>14</v>
      </c>
      <c r="G31" s="6">
        <f t="shared" si="17"/>
        <v>350</v>
      </c>
      <c r="H31" s="8" t="s">
        <v>15</v>
      </c>
      <c r="I31" s="8" t="str">
        <f t="shared" si="2"/>
        <v/>
      </c>
      <c r="J31" s="8" t="str">
        <f t="shared" si="3"/>
        <v/>
      </c>
      <c r="K31" s="8" t="str">
        <f t="shared" si="4"/>
        <v/>
      </c>
      <c r="L31" s="8">
        <f t="shared" si="5"/>
        <v>14.611596627336793</v>
      </c>
      <c r="M31" s="8" t="str">
        <f t="shared" si="6"/>
        <v/>
      </c>
      <c r="N31" s="8" t="str">
        <f t="shared" si="7"/>
        <v/>
      </c>
      <c r="O31" s="8" t="str">
        <f t="shared" si="8"/>
        <v/>
      </c>
      <c r="P31" s="8" t="str">
        <f t="shared" si="9"/>
        <v/>
      </c>
      <c r="Q31" s="8" t="str">
        <f t="shared" si="10"/>
        <v/>
      </c>
      <c r="R31" s="8" t="str">
        <f t="shared" si="11"/>
        <v/>
      </c>
      <c r="S31" s="8" t="str">
        <f t="shared" si="12"/>
        <v/>
      </c>
      <c r="T31" s="8" t="str">
        <f t="shared" si="13"/>
        <v/>
      </c>
      <c r="U31" s="8" t="str">
        <f t="shared" si="14"/>
        <v/>
      </c>
      <c r="V31" s="8" t="str">
        <f t="shared" si="15"/>
        <v/>
      </c>
      <c r="X31" s="22"/>
      <c r="Y31" s="22"/>
      <c r="Z31" s="22"/>
      <c r="AA31" s="23"/>
      <c r="AB31" s="21"/>
      <c r="AC31" s="21"/>
      <c r="AD31" s="24"/>
      <c r="AE31" s="21"/>
      <c r="AF31" s="21"/>
      <c r="AG31" s="25"/>
    </row>
    <row r="32" spans="1:33" x14ac:dyDescent="0.2">
      <c r="A32" s="9" t="str">
        <f t="shared" si="16"/>
        <v>PVC</v>
      </c>
      <c r="B32" s="2">
        <v>1.0999999999999999E-2</v>
      </c>
      <c r="C32" s="6" t="s">
        <v>72</v>
      </c>
      <c r="D32" s="6" t="s">
        <v>17</v>
      </c>
      <c r="E32" s="7">
        <v>48.332453579349767</v>
      </c>
      <c r="F32" s="6">
        <v>14</v>
      </c>
      <c r="G32" s="6">
        <f t="shared" si="17"/>
        <v>350</v>
      </c>
      <c r="H32" s="8" t="s">
        <v>15</v>
      </c>
      <c r="I32" s="8" t="str">
        <f t="shared" si="2"/>
        <v/>
      </c>
      <c r="J32" s="8" t="str">
        <f t="shared" si="3"/>
        <v/>
      </c>
      <c r="K32" s="8" t="str">
        <f t="shared" si="4"/>
        <v/>
      </c>
      <c r="L32" s="8">
        <f t="shared" si="5"/>
        <v>48.332453579349767</v>
      </c>
      <c r="M32" s="8" t="str">
        <f t="shared" si="6"/>
        <v/>
      </c>
      <c r="N32" s="8" t="str">
        <f t="shared" si="7"/>
        <v/>
      </c>
      <c r="O32" s="8" t="str">
        <f t="shared" si="8"/>
        <v/>
      </c>
      <c r="P32" s="8" t="str">
        <f t="shared" si="9"/>
        <v/>
      </c>
      <c r="Q32" s="8" t="str">
        <f t="shared" si="10"/>
        <v/>
      </c>
      <c r="R32" s="8" t="str">
        <f t="shared" si="11"/>
        <v/>
      </c>
      <c r="S32" s="8" t="str">
        <f t="shared" si="12"/>
        <v/>
      </c>
      <c r="T32" s="8" t="str">
        <f t="shared" si="13"/>
        <v/>
      </c>
      <c r="U32" s="8" t="str">
        <f t="shared" si="14"/>
        <v/>
      </c>
      <c r="V32" s="8" t="str">
        <f t="shared" si="15"/>
        <v/>
      </c>
      <c r="X32" s="22"/>
      <c r="Y32" s="22"/>
      <c r="Z32" s="22"/>
      <c r="AA32" s="23"/>
      <c r="AB32" s="21"/>
      <c r="AC32" s="21"/>
      <c r="AD32" s="24"/>
      <c r="AE32" s="21"/>
      <c r="AF32" s="21"/>
      <c r="AG32" s="25"/>
    </row>
    <row r="33" spans="1:33" x14ac:dyDescent="0.2">
      <c r="A33" s="9" t="str">
        <f t="shared" si="16"/>
        <v>PVC</v>
      </c>
      <c r="B33" s="2">
        <v>1.0999999999999999E-2</v>
      </c>
      <c r="C33" s="6" t="s">
        <v>35</v>
      </c>
      <c r="D33" s="6" t="s">
        <v>47</v>
      </c>
      <c r="E33" s="7">
        <v>47.862749283759285</v>
      </c>
      <c r="F33" s="6">
        <v>10</v>
      </c>
      <c r="G33" s="6">
        <f t="shared" si="17"/>
        <v>250</v>
      </c>
      <c r="H33" s="8" t="s">
        <v>16</v>
      </c>
      <c r="I33" s="8" t="str">
        <f t="shared" si="2"/>
        <v/>
      </c>
      <c r="J33" s="8">
        <f t="shared" si="3"/>
        <v>47.862749283759285</v>
      </c>
      <c r="K33" s="8" t="str">
        <f t="shared" si="4"/>
        <v/>
      </c>
      <c r="L33" s="8" t="str">
        <f t="shared" si="5"/>
        <v/>
      </c>
      <c r="M33" s="8" t="str">
        <f t="shared" si="6"/>
        <v/>
      </c>
      <c r="N33" s="8" t="str">
        <f t="shared" si="7"/>
        <v/>
      </c>
      <c r="O33" s="8" t="str">
        <f t="shared" si="8"/>
        <v/>
      </c>
      <c r="P33" s="8" t="str">
        <f t="shared" si="9"/>
        <v/>
      </c>
      <c r="Q33" s="8" t="str">
        <f t="shared" si="10"/>
        <v/>
      </c>
      <c r="R33" s="8" t="str">
        <f t="shared" si="11"/>
        <v/>
      </c>
      <c r="S33" s="8" t="str">
        <f t="shared" si="12"/>
        <v/>
      </c>
      <c r="T33" s="8" t="str">
        <f t="shared" si="13"/>
        <v/>
      </c>
      <c r="U33" s="8" t="str">
        <f t="shared" si="14"/>
        <v/>
      </c>
      <c r="V33" s="8" t="str">
        <f t="shared" si="15"/>
        <v/>
      </c>
      <c r="X33" s="22"/>
      <c r="Y33" s="22"/>
      <c r="Z33" s="22"/>
      <c r="AA33" s="23"/>
      <c r="AB33" s="21"/>
      <c r="AC33" s="21"/>
      <c r="AD33" s="24"/>
      <c r="AE33" s="21"/>
      <c r="AF33" s="21"/>
      <c r="AG33" s="25"/>
    </row>
    <row r="34" spans="1:33" x14ac:dyDescent="0.2">
      <c r="A34" s="9" t="str">
        <f t="shared" si="16"/>
        <v>PVC</v>
      </c>
      <c r="B34" s="2">
        <v>1.0999999999999999E-2</v>
      </c>
      <c r="C34" s="6" t="s">
        <v>33</v>
      </c>
      <c r="D34" s="6" t="s">
        <v>47</v>
      </c>
      <c r="E34" s="7">
        <v>29.401018366716468</v>
      </c>
      <c r="F34" s="6">
        <v>10</v>
      </c>
      <c r="G34" s="6">
        <f t="shared" si="17"/>
        <v>250</v>
      </c>
      <c r="H34" s="8" t="s">
        <v>15</v>
      </c>
      <c r="I34" s="8" t="str">
        <f t="shared" si="2"/>
        <v/>
      </c>
      <c r="J34" s="8">
        <f t="shared" si="3"/>
        <v>29.401018366716468</v>
      </c>
      <c r="K34" s="8" t="str">
        <f t="shared" si="4"/>
        <v/>
      </c>
      <c r="L34" s="8" t="str">
        <f t="shared" si="5"/>
        <v/>
      </c>
      <c r="M34" s="8" t="str">
        <f t="shared" si="6"/>
        <v/>
      </c>
      <c r="N34" s="8" t="str">
        <f t="shared" si="7"/>
        <v/>
      </c>
      <c r="O34" s="8" t="str">
        <f t="shared" si="8"/>
        <v/>
      </c>
      <c r="P34" s="8" t="str">
        <f t="shared" si="9"/>
        <v/>
      </c>
      <c r="Q34" s="8" t="str">
        <f t="shared" si="10"/>
        <v/>
      </c>
      <c r="R34" s="8" t="str">
        <f t="shared" si="11"/>
        <v/>
      </c>
      <c r="S34" s="8" t="str">
        <f t="shared" si="12"/>
        <v/>
      </c>
      <c r="T34" s="8" t="str">
        <f t="shared" si="13"/>
        <v/>
      </c>
      <c r="U34" s="8" t="str">
        <f t="shared" si="14"/>
        <v/>
      </c>
      <c r="V34" s="8" t="str">
        <f t="shared" si="15"/>
        <v/>
      </c>
      <c r="X34" s="22"/>
      <c r="Y34" s="22"/>
      <c r="Z34" s="22"/>
      <c r="AA34" s="23"/>
      <c r="AB34" s="21"/>
      <c r="AC34" s="21"/>
      <c r="AD34" s="24"/>
      <c r="AE34" s="21"/>
      <c r="AF34" s="21"/>
      <c r="AG34" s="25"/>
    </row>
    <row r="35" spans="1:33" x14ac:dyDescent="0.2">
      <c r="A35" s="9" t="str">
        <f t="shared" si="16"/>
        <v>PVC</v>
      </c>
      <c r="B35" s="2">
        <v>1.0999999999999999E-2</v>
      </c>
      <c r="C35" s="6" t="s">
        <v>47</v>
      </c>
      <c r="D35" s="6" t="s">
        <v>34</v>
      </c>
      <c r="E35" s="7">
        <v>30.810131450547235</v>
      </c>
      <c r="F35" s="6">
        <v>10</v>
      </c>
      <c r="G35" s="6">
        <f t="shared" si="17"/>
        <v>250</v>
      </c>
      <c r="H35" s="8" t="s">
        <v>15</v>
      </c>
      <c r="I35" s="8" t="str">
        <f t="shared" si="2"/>
        <v/>
      </c>
      <c r="J35" s="8">
        <f t="shared" si="3"/>
        <v>30.810131450547235</v>
      </c>
      <c r="K35" s="8" t="str">
        <f t="shared" si="4"/>
        <v/>
      </c>
      <c r="L35" s="8" t="str">
        <f t="shared" si="5"/>
        <v/>
      </c>
      <c r="M35" s="8" t="str">
        <f t="shared" si="6"/>
        <v/>
      </c>
      <c r="N35" s="8" t="str">
        <f t="shared" si="7"/>
        <v/>
      </c>
      <c r="O35" s="8" t="str">
        <f t="shared" si="8"/>
        <v/>
      </c>
      <c r="P35" s="8" t="str">
        <f t="shared" si="9"/>
        <v/>
      </c>
      <c r="Q35" s="8" t="str">
        <f t="shared" si="10"/>
        <v/>
      </c>
      <c r="R35" s="8" t="str">
        <f t="shared" si="11"/>
        <v/>
      </c>
      <c r="S35" s="8" t="str">
        <f t="shared" si="12"/>
        <v/>
      </c>
      <c r="T35" s="8" t="str">
        <f t="shared" si="13"/>
        <v/>
      </c>
      <c r="U35" s="8" t="str">
        <f t="shared" si="14"/>
        <v/>
      </c>
      <c r="V35" s="8" t="str">
        <f t="shared" si="15"/>
        <v/>
      </c>
      <c r="X35" s="22"/>
      <c r="Y35" s="22"/>
      <c r="Z35" s="22"/>
      <c r="AA35" s="23"/>
      <c r="AB35" s="21"/>
      <c r="AC35" s="21"/>
      <c r="AD35" s="24"/>
      <c r="AE35" s="21"/>
      <c r="AF35" s="21"/>
      <c r="AG35" s="25"/>
    </row>
  </sheetData>
  <mergeCells count="10">
    <mergeCell ref="A1:H1"/>
    <mergeCell ref="D3:E4"/>
    <mergeCell ref="D5:E5"/>
    <mergeCell ref="D6:E6"/>
    <mergeCell ref="H9:H10"/>
    <mergeCell ref="F9:F10"/>
    <mergeCell ref="G9:G10"/>
    <mergeCell ref="C9:C10"/>
    <mergeCell ref="D9:D10"/>
    <mergeCell ref="E9:E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activeCell="C21" sqref="C21"/>
    </sheetView>
  </sheetViews>
  <sheetFormatPr baseColWidth="10" defaultRowHeight="15" x14ac:dyDescent="0.25"/>
  <sheetData>
    <row r="1" spans="1:6" x14ac:dyDescent="0.25">
      <c r="D1" t="s">
        <v>18</v>
      </c>
      <c r="E1" s="1" t="s">
        <v>20</v>
      </c>
      <c r="F1" s="1" t="s">
        <v>19</v>
      </c>
    </row>
    <row r="2" spans="1:6" x14ac:dyDescent="0.25">
      <c r="A2">
        <v>8</v>
      </c>
      <c r="B2">
        <v>0.8</v>
      </c>
      <c r="D2" s="3">
        <v>4</v>
      </c>
      <c r="E2" s="3">
        <v>0.11</v>
      </c>
      <c r="F2" s="3">
        <v>99</v>
      </c>
    </row>
    <row r="3" spans="1:6" x14ac:dyDescent="0.25">
      <c r="A3">
        <v>10</v>
      </c>
      <c r="B3">
        <v>0.85</v>
      </c>
      <c r="D3" s="4">
        <v>6</v>
      </c>
      <c r="E3" s="4">
        <v>0.16</v>
      </c>
      <c r="F3" s="4">
        <v>145</v>
      </c>
    </row>
    <row r="4" spans="1:6" x14ac:dyDescent="0.25">
      <c r="A4">
        <v>12</v>
      </c>
      <c r="B4">
        <v>0.9</v>
      </c>
      <c r="D4" s="4">
        <v>8</v>
      </c>
      <c r="E4" s="4">
        <v>0.2</v>
      </c>
      <c r="F4" s="4">
        <v>182</v>
      </c>
    </row>
    <row r="5" spans="1:6" x14ac:dyDescent="0.25">
      <c r="A5">
        <v>14</v>
      </c>
      <c r="B5">
        <v>0.95</v>
      </c>
      <c r="D5" s="4">
        <v>10</v>
      </c>
      <c r="E5" s="4">
        <v>0.25</v>
      </c>
      <c r="F5" s="4">
        <v>227</v>
      </c>
    </row>
    <row r="6" spans="1:6" x14ac:dyDescent="0.25">
      <c r="A6">
        <v>16</v>
      </c>
      <c r="B6">
        <v>1</v>
      </c>
      <c r="D6" s="4">
        <v>12</v>
      </c>
      <c r="E6" s="4">
        <v>0.315</v>
      </c>
      <c r="F6" s="4">
        <v>284</v>
      </c>
    </row>
    <row r="7" spans="1:6" x14ac:dyDescent="0.25">
      <c r="A7">
        <v>18</v>
      </c>
      <c r="B7">
        <v>1.05</v>
      </c>
      <c r="D7" s="4">
        <v>14</v>
      </c>
      <c r="E7" s="4">
        <v>0.35499999999999998</v>
      </c>
      <c r="F7" s="4">
        <v>327</v>
      </c>
    </row>
    <row r="8" spans="1:6" x14ac:dyDescent="0.25">
      <c r="A8">
        <v>20</v>
      </c>
      <c r="B8">
        <v>1.1000000000000001</v>
      </c>
      <c r="D8" s="4">
        <v>16</v>
      </c>
      <c r="E8" s="4">
        <v>0.4</v>
      </c>
      <c r="F8" s="4">
        <v>362</v>
      </c>
    </row>
    <row r="9" spans="1:6" x14ac:dyDescent="0.25">
      <c r="A9">
        <v>24</v>
      </c>
      <c r="B9">
        <v>1.25</v>
      </c>
      <c r="D9" s="4">
        <v>18</v>
      </c>
      <c r="E9" s="4">
        <v>0.45</v>
      </c>
      <c r="F9" s="4">
        <v>407</v>
      </c>
    </row>
    <row r="10" spans="1:6" x14ac:dyDescent="0.25">
      <c r="A10">
        <v>27</v>
      </c>
      <c r="B10">
        <v>1.35</v>
      </c>
      <c r="D10" s="4">
        <v>20</v>
      </c>
      <c r="E10" s="5">
        <v>0.5</v>
      </c>
      <c r="F10" s="5">
        <v>452</v>
      </c>
    </row>
    <row r="11" spans="1:6" x14ac:dyDescent="0.25">
      <c r="A11">
        <v>28</v>
      </c>
      <c r="B11">
        <v>1.4</v>
      </c>
      <c r="D11" s="1">
        <v>24</v>
      </c>
      <c r="E11" s="1">
        <v>0.65</v>
      </c>
      <c r="F11" s="1">
        <v>595</v>
      </c>
    </row>
    <row r="12" spans="1:6" x14ac:dyDescent="0.25">
      <c r="A12">
        <v>30</v>
      </c>
      <c r="B12">
        <v>1.45</v>
      </c>
      <c r="D12" s="1">
        <v>27</v>
      </c>
      <c r="E12" s="1">
        <v>0.73</v>
      </c>
      <c r="F12" s="1">
        <v>670</v>
      </c>
    </row>
    <row r="13" spans="1:6" x14ac:dyDescent="0.25">
      <c r="A13">
        <v>32</v>
      </c>
      <c r="B13">
        <v>1.5</v>
      </c>
      <c r="D13" s="1">
        <v>30</v>
      </c>
      <c r="E13" s="1">
        <v>0.81299999999999994</v>
      </c>
      <c r="F13" s="1">
        <v>747</v>
      </c>
    </row>
    <row r="14" spans="1:6" x14ac:dyDescent="0.25">
      <c r="A14">
        <v>33</v>
      </c>
      <c r="B14">
        <v>1.6</v>
      </c>
      <c r="D14" s="1">
        <v>33</v>
      </c>
      <c r="E14" s="1">
        <v>0.89800000000000002</v>
      </c>
      <c r="F14" s="1">
        <v>824</v>
      </c>
    </row>
    <row r="15" spans="1:6" x14ac:dyDescent="0.25">
      <c r="A15">
        <v>36</v>
      </c>
      <c r="B15">
        <v>1.7</v>
      </c>
      <c r="D15" s="1">
        <v>36</v>
      </c>
      <c r="E15" s="1">
        <v>0.98</v>
      </c>
      <c r="F15" s="1">
        <v>900</v>
      </c>
    </row>
    <row r="16" spans="1:6" x14ac:dyDescent="0.25">
      <c r="A16">
        <v>40</v>
      </c>
      <c r="B16">
        <v>1.8</v>
      </c>
      <c r="D16" s="1">
        <v>39</v>
      </c>
      <c r="E16" s="1">
        <v>1.0649999999999999</v>
      </c>
      <c r="F16" s="1">
        <v>977.6</v>
      </c>
    </row>
    <row r="17" spans="4:6" x14ac:dyDescent="0.25">
      <c r="D17" s="1">
        <v>42</v>
      </c>
      <c r="E17" s="1">
        <v>1.149</v>
      </c>
      <c r="F17" s="1">
        <v>1054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28"/>
  <sheetViews>
    <sheetView workbookViewId="0">
      <selection activeCell="C5" sqref="C5"/>
    </sheetView>
  </sheetViews>
  <sheetFormatPr baseColWidth="10" defaultColWidth="9.140625" defaultRowHeight="15.75" x14ac:dyDescent="0.25"/>
  <cols>
    <col min="1" max="1" width="3.7109375" style="77" customWidth="1"/>
    <col min="2" max="2" width="9.140625" style="77" bestFit="1" customWidth="1"/>
    <col min="3" max="3" width="11" style="77" bestFit="1" customWidth="1"/>
    <col min="4" max="4" width="10" style="77" bestFit="1" customWidth="1"/>
    <col min="5" max="5" width="13.5703125" style="77" bestFit="1" customWidth="1"/>
    <col min="6" max="6" width="10" style="77" bestFit="1" customWidth="1"/>
    <col min="7" max="7" width="7" style="77" bestFit="1" customWidth="1"/>
    <col min="8" max="8" width="8" style="77" bestFit="1" customWidth="1"/>
    <col min="9" max="9" width="6.42578125" style="77" bestFit="1" customWidth="1"/>
    <col min="10" max="10" width="6.28515625" style="77" customWidth="1"/>
    <col min="11" max="11" width="9" style="78" customWidth="1"/>
    <col min="12" max="12" width="8.42578125" style="78" bestFit="1" customWidth="1"/>
    <col min="13" max="13" width="9" style="78" customWidth="1"/>
    <col min="14" max="14" width="8.42578125" style="78" bestFit="1" customWidth="1"/>
    <col min="15" max="15" width="17.85546875" style="77" customWidth="1"/>
    <col min="16" max="16" width="20" style="77" customWidth="1"/>
    <col min="17" max="17" width="7.42578125" style="77" bestFit="1" customWidth="1"/>
    <col min="18" max="18" width="16.7109375" style="77" customWidth="1"/>
    <col min="19" max="19" width="13" style="77" customWidth="1"/>
    <col min="20" max="20" width="15.7109375" style="77" customWidth="1"/>
    <col min="21" max="21" width="18" style="77" customWidth="1"/>
    <col min="22" max="22" width="11.5703125" style="77" customWidth="1"/>
    <col min="23" max="16384" width="9.140625" style="77"/>
  </cols>
  <sheetData>
    <row r="1" spans="2:21" ht="16.5" thickBot="1" x14ac:dyDescent="0.3"/>
    <row r="2" spans="2:21" s="73" customFormat="1" ht="77.25" customHeight="1" x14ac:dyDescent="0.25">
      <c r="B2" s="68" t="s">
        <v>67</v>
      </c>
      <c r="C2" s="69" t="s">
        <v>48</v>
      </c>
      <c r="D2" s="69" t="s">
        <v>49</v>
      </c>
      <c r="E2" s="69" t="s">
        <v>50</v>
      </c>
      <c r="F2" s="69" t="s">
        <v>51</v>
      </c>
      <c r="G2" s="69" t="s">
        <v>52</v>
      </c>
      <c r="H2" s="69" t="s">
        <v>219</v>
      </c>
      <c r="I2" s="69" t="s">
        <v>220</v>
      </c>
      <c r="J2" s="69"/>
      <c r="K2" s="70" t="s">
        <v>221</v>
      </c>
      <c r="L2" s="70" t="s">
        <v>222</v>
      </c>
      <c r="M2" s="70" t="s">
        <v>223</v>
      </c>
      <c r="N2" s="70" t="s">
        <v>224</v>
      </c>
      <c r="O2" s="71" t="s">
        <v>225</v>
      </c>
      <c r="P2" s="71" t="s">
        <v>226</v>
      </c>
      <c r="Q2" s="71" t="s">
        <v>227</v>
      </c>
      <c r="R2" s="71" t="s">
        <v>228</v>
      </c>
      <c r="S2" s="71" t="s">
        <v>229</v>
      </c>
      <c r="T2" s="71" t="s">
        <v>230</v>
      </c>
      <c r="U2" s="72" t="s">
        <v>231</v>
      </c>
    </row>
    <row r="3" spans="2:21" s="76" customFormat="1" x14ac:dyDescent="0.25">
      <c r="B3" s="82" t="s">
        <v>89</v>
      </c>
      <c r="C3" s="80" t="s">
        <v>76</v>
      </c>
      <c r="D3" s="80">
        <v>8</v>
      </c>
      <c r="E3" s="81">
        <v>15.942125830641286</v>
      </c>
      <c r="F3" s="74">
        <f>+VLOOKUP(D3,Condicionales!D:F,2,FALSE)</f>
        <v>0.2</v>
      </c>
      <c r="G3" s="75">
        <f>+VLOOKUP(D3,Condicionales!A:B,2,FALSE)</f>
        <v>0.8</v>
      </c>
      <c r="H3" s="81">
        <f>+K3-L3</f>
        <v>0.86000000000012733</v>
      </c>
      <c r="I3" s="81">
        <f>+M3-N3</f>
        <v>1.0194212583064655</v>
      </c>
      <c r="J3" s="81">
        <f>((H3+I3)/2)+(F3/6)</f>
        <v>0.97304396248662972</v>
      </c>
      <c r="K3" s="81">
        <v>1154.271</v>
      </c>
      <c r="L3" s="81">
        <v>1153.4109999999998</v>
      </c>
      <c r="M3" s="81">
        <v>1154.8589999999999</v>
      </c>
      <c r="N3" s="81">
        <v>1153.8395787416935</v>
      </c>
      <c r="O3" s="75">
        <f>J3*G3*E3</f>
        <v>12.409911430966121</v>
      </c>
      <c r="P3" s="75">
        <f>+(((F3/4)+(F3))*E3*G3)-(Q3/2)</f>
        <v>2.9380068391675236</v>
      </c>
      <c r="Q3" s="75">
        <f>(((PI()*F3*F3))/4)*E3</f>
        <v>0.50083665392146748</v>
      </c>
      <c r="R3" s="75">
        <f>(J3*G3*E3)-Q3-P3</f>
        <v>8.9710679378771303</v>
      </c>
      <c r="S3" s="75">
        <f>IF(B3="Concreto",0.2*G3*E3,0)</f>
        <v>2.5507401329026065</v>
      </c>
      <c r="T3" s="75">
        <f>IF(B3="Concreto",0.2*G3*E3,0)</f>
        <v>2.5507401329026065</v>
      </c>
      <c r="U3" s="83">
        <f>O3-R3</f>
        <v>3.4388434930889904</v>
      </c>
    </row>
    <row r="4" spans="2:21" s="76" customFormat="1" x14ac:dyDescent="0.25">
      <c r="B4" s="82" t="s">
        <v>89</v>
      </c>
      <c r="C4" s="80" t="s">
        <v>77</v>
      </c>
      <c r="D4" s="80">
        <v>8</v>
      </c>
      <c r="E4" s="81">
        <v>15.708762172749246</v>
      </c>
      <c r="F4" s="74">
        <f>+VLOOKUP(D4,Condicionales!D:F,2,FALSE)</f>
        <v>0.2</v>
      </c>
      <c r="G4" s="75">
        <f>+VLOOKUP(D4,Condicionales!A:B,2,FALSE)</f>
        <v>0.8</v>
      </c>
      <c r="H4" s="81">
        <f t="shared" ref="H4:H27" si="0">+K4-L4</f>
        <v>1.0394212583064473</v>
      </c>
      <c r="I4" s="81">
        <f t="shared" ref="I4:I27" si="1">+M4-N4</f>
        <v>1.7999999999999545</v>
      </c>
      <c r="J4" s="81">
        <f t="shared" ref="J4:J27" si="2">((H4+I4)/2)+(F4/6)</f>
        <v>1.4530439624865343</v>
      </c>
      <c r="K4" s="81">
        <v>1154.8589999999999</v>
      </c>
      <c r="L4" s="81">
        <v>1153.8195787416935</v>
      </c>
      <c r="M4" s="81">
        <v>1152.829</v>
      </c>
      <c r="N4" s="81">
        <v>1151.029</v>
      </c>
      <c r="O4" s="75">
        <f t="shared" ref="O4:O27" si="3">J4*G4*E4</f>
        <v>18.260417626600116</v>
      </c>
      <c r="P4" s="75">
        <f t="shared" ref="P4:P27" si="4">+(((F4/4)+(F4))*E4*G4)-(Q4/2)</f>
        <v>2.894999775355358</v>
      </c>
      <c r="Q4" s="75">
        <f t="shared" ref="Q4:Q27" si="5">(((PI()*F4*F4))/4)*E4</f>
        <v>0.49350531838898271</v>
      </c>
      <c r="R4" s="75">
        <f t="shared" ref="R4:R27" si="6">(J4*G4*E4)-Q4-P4</f>
        <v>14.871912532855774</v>
      </c>
      <c r="S4" s="75">
        <f t="shared" ref="S4:S27" si="7">IF(B4="Concreto",0.2*G4*E4,0)</f>
        <v>2.5134019476398799</v>
      </c>
      <c r="T4" s="75">
        <f t="shared" ref="T4:T27" si="8">IF(B4="Concreto",0.2*G4*E4,0)</f>
        <v>2.5134019476398799</v>
      </c>
      <c r="U4" s="83">
        <f t="shared" ref="U4:U27" si="9">O4-R4</f>
        <v>3.3885050937443424</v>
      </c>
    </row>
    <row r="5" spans="2:21" s="76" customFormat="1" x14ac:dyDescent="0.25">
      <c r="B5" s="82" t="s">
        <v>90</v>
      </c>
      <c r="C5" s="80" t="s">
        <v>53</v>
      </c>
      <c r="D5" s="80">
        <v>10</v>
      </c>
      <c r="E5" s="81">
        <v>27.785189742019035</v>
      </c>
      <c r="F5" s="74">
        <f>+VLOOKUP(D5,Condicionales!D:F,2,FALSE)</f>
        <v>0.25</v>
      </c>
      <c r="G5" s="75">
        <f>+VLOOKUP(D5,Condicionales!A:B,2,FALSE)</f>
        <v>0.85</v>
      </c>
      <c r="H5" s="81">
        <f t="shared" si="0"/>
        <v>2.1199999999998909</v>
      </c>
      <c r="I5" s="81">
        <f t="shared" si="1"/>
        <v>2.2200000000000273</v>
      </c>
      <c r="J5" s="81">
        <f t="shared" si="2"/>
        <v>2.2116666666666256</v>
      </c>
      <c r="K5" s="81">
        <v>1139.1469999999999</v>
      </c>
      <c r="L5" s="81">
        <v>1137.027</v>
      </c>
      <c r="M5" s="81">
        <v>1138.71</v>
      </c>
      <c r="N5" s="81">
        <v>1136.49</v>
      </c>
      <c r="O5" s="75">
        <f t="shared" si="3"/>
        <v>52.233841282516309</v>
      </c>
      <c r="P5" s="75">
        <f t="shared" si="4"/>
        <v>6.698489869191576</v>
      </c>
      <c r="Q5" s="75">
        <f t="shared" si="5"/>
        <v>1.3639023120644607</v>
      </c>
      <c r="R5" s="75">
        <f t="shared" si="6"/>
        <v>44.171449101260272</v>
      </c>
      <c r="S5" s="75">
        <f t="shared" si="7"/>
        <v>0</v>
      </c>
      <c r="T5" s="75">
        <f t="shared" si="8"/>
        <v>0</v>
      </c>
      <c r="U5" s="83">
        <f t="shared" si="9"/>
        <v>8.0623921812560368</v>
      </c>
    </row>
    <row r="6" spans="2:21" s="76" customFormat="1" x14ac:dyDescent="0.25">
      <c r="B6" s="82" t="s">
        <v>89</v>
      </c>
      <c r="C6" s="80" t="s">
        <v>54</v>
      </c>
      <c r="D6" s="80">
        <v>10</v>
      </c>
      <c r="E6" s="81">
        <v>72.737901234500839</v>
      </c>
      <c r="F6" s="74">
        <f>+VLOOKUP(D6,Condicionales!D:F,2,FALSE)</f>
        <v>0.25</v>
      </c>
      <c r="G6" s="75">
        <f>+VLOOKUP(D6,Condicionales!A:B,2,FALSE)</f>
        <v>0.85</v>
      </c>
      <c r="H6" s="81">
        <f t="shared" si="0"/>
        <v>2.2699999999999818</v>
      </c>
      <c r="I6" s="81">
        <f t="shared" si="1"/>
        <v>1.5699999999999363</v>
      </c>
      <c r="J6" s="81">
        <f t="shared" si="2"/>
        <v>1.9616666666666258</v>
      </c>
      <c r="K6" s="81">
        <v>1138.71</v>
      </c>
      <c r="L6" s="81">
        <v>1136.44</v>
      </c>
      <c r="M6" s="81">
        <v>1132.434</v>
      </c>
      <c r="N6" s="81">
        <v>1130.864</v>
      </c>
      <c r="O6" s="75">
        <f t="shared" si="3"/>
        <v>121.28438881675808</v>
      </c>
      <c r="P6" s="75">
        <f t="shared" si="4"/>
        <v>17.535748326696726</v>
      </c>
      <c r="Q6" s="75">
        <f t="shared" si="5"/>
        <v>3.5705133774351214</v>
      </c>
      <c r="R6" s="75">
        <f t="shared" si="6"/>
        <v>100.17812711262624</v>
      </c>
      <c r="S6" s="75">
        <f t="shared" si="7"/>
        <v>12.365443209865143</v>
      </c>
      <c r="T6" s="75">
        <f t="shared" si="8"/>
        <v>12.365443209865143</v>
      </c>
      <c r="U6" s="83">
        <f t="shared" si="9"/>
        <v>21.106261704131839</v>
      </c>
    </row>
    <row r="7" spans="2:21" s="76" customFormat="1" x14ac:dyDescent="0.25">
      <c r="B7" s="82" t="s">
        <v>90</v>
      </c>
      <c r="C7" s="80" t="s">
        <v>78</v>
      </c>
      <c r="D7" s="80">
        <v>10</v>
      </c>
      <c r="E7" s="81">
        <v>61.892303689554161</v>
      </c>
      <c r="F7" s="74">
        <f>+VLOOKUP(D7,Condicionales!D:F,2,FALSE)</f>
        <v>0.25</v>
      </c>
      <c r="G7" s="75">
        <f>+VLOOKUP(D7,Condicionales!A:B,2,FALSE)</f>
        <v>0.85</v>
      </c>
      <c r="H7" s="81">
        <f t="shared" si="0"/>
        <v>1.5899999999999181</v>
      </c>
      <c r="I7" s="81">
        <f t="shared" si="1"/>
        <v>1.6900000000000546</v>
      </c>
      <c r="J7" s="81">
        <f t="shared" si="2"/>
        <v>1.6816666666666531</v>
      </c>
      <c r="K7" s="81">
        <v>1132.434</v>
      </c>
      <c r="L7" s="81">
        <v>1130.8440000000001</v>
      </c>
      <c r="M7" s="81">
        <v>1131.97</v>
      </c>
      <c r="N7" s="81">
        <v>1130.28</v>
      </c>
      <c r="O7" s="75">
        <f t="shared" si="3"/>
        <v>88.469890432242821</v>
      </c>
      <c r="P7" s="75">
        <f t="shared" si="4"/>
        <v>14.921077491093667</v>
      </c>
      <c r="Q7" s="75">
        <f t="shared" si="5"/>
        <v>3.0381313528883096</v>
      </c>
      <c r="R7" s="75">
        <f t="shared" si="6"/>
        <v>70.510681588260837</v>
      </c>
      <c r="S7" s="75">
        <f t="shared" si="7"/>
        <v>0</v>
      </c>
      <c r="T7" s="75">
        <f t="shared" si="8"/>
        <v>0</v>
      </c>
      <c r="U7" s="83">
        <f t="shared" si="9"/>
        <v>17.959208843981983</v>
      </c>
    </row>
    <row r="8" spans="2:21" s="76" customFormat="1" x14ac:dyDescent="0.25">
      <c r="B8" s="82" t="s">
        <v>91</v>
      </c>
      <c r="C8" s="80" t="s">
        <v>79</v>
      </c>
      <c r="D8" s="80">
        <v>14</v>
      </c>
      <c r="E8" s="81">
        <v>52.104599999999998</v>
      </c>
      <c r="F8" s="74">
        <f>+VLOOKUP(D8,Condicionales!D:F,2,FALSE)</f>
        <v>0.35499999999999998</v>
      </c>
      <c r="G8" s="75">
        <f>+VLOOKUP(D8,Condicionales!A:B,2,FALSE)</f>
        <v>0.95</v>
      </c>
      <c r="H8" s="81">
        <f t="shared" si="0"/>
        <v>1.1299999999998818</v>
      </c>
      <c r="I8" s="81">
        <f t="shared" si="1"/>
        <v>1.0999999999999091</v>
      </c>
      <c r="J8" s="81">
        <f t="shared" si="2"/>
        <v>1.174166666666562</v>
      </c>
      <c r="K8" s="81">
        <v>1122.23</v>
      </c>
      <c r="L8" s="81">
        <v>1121.1000000000001</v>
      </c>
      <c r="M8" s="81">
        <v>1121.3599999999999</v>
      </c>
      <c r="N8" s="81">
        <v>1120.26</v>
      </c>
      <c r="O8" s="75">
        <f t="shared" si="3"/>
        <v>58.120510274994807</v>
      </c>
      <c r="P8" s="75">
        <f t="shared" si="4"/>
        <v>19.386693901678495</v>
      </c>
      <c r="Q8" s="75">
        <f t="shared" si="5"/>
        <v>5.1573030716430068</v>
      </c>
      <c r="R8" s="75">
        <f t="shared" si="6"/>
        <v>33.576513301673302</v>
      </c>
      <c r="S8" s="75">
        <f t="shared" si="7"/>
        <v>0</v>
      </c>
      <c r="T8" s="75">
        <f t="shared" si="8"/>
        <v>0</v>
      </c>
      <c r="U8" s="83">
        <f t="shared" si="9"/>
        <v>24.543996973321505</v>
      </c>
    </row>
    <row r="9" spans="2:21" s="76" customFormat="1" x14ac:dyDescent="0.25">
      <c r="B9" s="82" t="s">
        <v>91</v>
      </c>
      <c r="C9" s="80" t="s">
        <v>80</v>
      </c>
      <c r="D9" s="80">
        <v>14</v>
      </c>
      <c r="E9" s="81">
        <v>84.227599999999995</v>
      </c>
      <c r="F9" s="74">
        <f>+VLOOKUP(D9,Condicionales!D:F,2,FALSE)</f>
        <v>0.35499999999999998</v>
      </c>
      <c r="G9" s="75">
        <f>+VLOOKUP(D9,Condicionales!A:B,2,FALSE)</f>
        <v>0.95</v>
      </c>
      <c r="H9" s="81">
        <f t="shared" si="0"/>
        <v>1.1299999999998818</v>
      </c>
      <c r="I9" s="81">
        <f t="shared" si="1"/>
        <v>1.2899999999999636</v>
      </c>
      <c r="J9" s="81">
        <f t="shared" si="2"/>
        <v>1.2691666666665893</v>
      </c>
      <c r="K9" s="81">
        <v>1121.3599999999999</v>
      </c>
      <c r="L9" s="81">
        <v>1120.23</v>
      </c>
      <c r="M9" s="81">
        <v>1121.02</v>
      </c>
      <c r="N9" s="81">
        <v>1119.73</v>
      </c>
      <c r="O9" s="75">
        <f t="shared" si="3"/>
        <v>101.55391921666046</v>
      </c>
      <c r="P9" s="75">
        <f t="shared" si="4"/>
        <v>31.338781974586034</v>
      </c>
      <c r="Q9" s="75">
        <f t="shared" si="5"/>
        <v>8.3368313008279209</v>
      </c>
      <c r="R9" s="75">
        <f t="shared" si="6"/>
        <v>61.878305941246502</v>
      </c>
      <c r="S9" s="75">
        <f t="shared" si="7"/>
        <v>0</v>
      </c>
      <c r="T9" s="75">
        <f t="shared" si="8"/>
        <v>0</v>
      </c>
      <c r="U9" s="83">
        <f t="shared" si="9"/>
        <v>39.675613275413959</v>
      </c>
    </row>
    <row r="10" spans="2:21" s="76" customFormat="1" x14ac:dyDescent="0.25">
      <c r="B10" s="82" t="s">
        <v>91</v>
      </c>
      <c r="C10" s="80" t="s">
        <v>81</v>
      </c>
      <c r="D10" s="80">
        <v>14</v>
      </c>
      <c r="E10" s="81">
        <v>84.227599999999995</v>
      </c>
      <c r="F10" s="74">
        <f>+VLOOKUP(D10,Condicionales!D:F,2,FALSE)</f>
        <v>0.35499999999999998</v>
      </c>
      <c r="G10" s="75">
        <f>+VLOOKUP(D10,Condicionales!A:B,2,FALSE)</f>
        <v>0.95</v>
      </c>
      <c r="H10" s="81">
        <f t="shared" si="0"/>
        <v>1.1299999999998818</v>
      </c>
      <c r="I10" s="81">
        <f t="shared" si="1"/>
        <v>1.2899999999999636</v>
      </c>
      <c r="J10" s="81">
        <f t="shared" si="2"/>
        <v>1.2691666666665893</v>
      </c>
      <c r="K10" s="81">
        <v>1121.02</v>
      </c>
      <c r="L10" s="81">
        <v>1119.8900000000001</v>
      </c>
      <c r="M10" s="81">
        <v>1119.52</v>
      </c>
      <c r="N10" s="81">
        <v>1118.23</v>
      </c>
      <c r="O10" s="75">
        <f t="shared" si="3"/>
        <v>101.55391921666046</v>
      </c>
      <c r="P10" s="75">
        <f t="shared" si="4"/>
        <v>31.338781974586034</v>
      </c>
      <c r="Q10" s="75">
        <f t="shared" si="5"/>
        <v>8.3368313008279209</v>
      </c>
      <c r="R10" s="75">
        <f t="shared" si="6"/>
        <v>61.878305941246502</v>
      </c>
      <c r="S10" s="75">
        <f t="shared" si="7"/>
        <v>0</v>
      </c>
      <c r="T10" s="75">
        <f t="shared" si="8"/>
        <v>0</v>
      </c>
      <c r="U10" s="83">
        <f t="shared" si="9"/>
        <v>39.675613275413959</v>
      </c>
    </row>
    <row r="11" spans="2:21" s="76" customFormat="1" x14ac:dyDescent="0.25">
      <c r="B11" s="82" t="s">
        <v>89</v>
      </c>
      <c r="C11" s="80" t="s">
        <v>82</v>
      </c>
      <c r="D11" s="80">
        <v>12</v>
      </c>
      <c r="E11" s="81">
        <v>56.802454031494094</v>
      </c>
      <c r="F11" s="74">
        <f>+VLOOKUP(D11,Condicionales!D:F,2,FALSE)</f>
        <v>0.315</v>
      </c>
      <c r="G11" s="75">
        <f>+VLOOKUP(D11,Condicionales!A:B,2,FALSE)</f>
        <v>0.9</v>
      </c>
      <c r="H11" s="81">
        <f t="shared" si="0"/>
        <v>1.0899999999999181</v>
      </c>
      <c r="I11" s="81">
        <f t="shared" si="1"/>
        <v>1.0499999999999545</v>
      </c>
      <c r="J11" s="81">
        <f t="shared" si="2"/>
        <v>1.1224999999999363</v>
      </c>
      <c r="K11" s="81">
        <v>1118.231</v>
      </c>
      <c r="L11" s="81">
        <v>1117.1410000000001</v>
      </c>
      <c r="M11" s="81">
        <v>1117.663</v>
      </c>
      <c r="N11" s="81">
        <v>1116.6130000000001</v>
      </c>
      <c r="O11" s="75">
        <f t="shared" si="3"/>
        <v>57.384679185313658</v>
      </c>
      <c r="P11" s="75">
        <f t="shared" si="4"/>
        <v>17.91602985421126</v>
      </c>
      <c r="Q11" s="75">
        <f t="shared" si="5"/>
        <v>4.4266795863989215</v>
      </c>
      <c r="R11" s="75">
        <f t="shared" si="6"/>
        <v>35.041969744703479</v>
      </c>
      <c r="S11" s="75">
        <f t="shared" si="7"/>
        <v>10.224441725668939</v>
      </c>
      <c r="T11" s="75">
        <f t="shared" si="8"/>
        <v>10.224441725668939</v>
      </c>
      <c r="U11" s="83">
        <f t="shared" si="9"/>
        <v>22.342709440610179</v>
      </c>
    </row>
    <row r="12" spans="2:21" s="76" customFormat="1" x14ac:dyDescent="0.25">
      <c r="B12" s="82" t="s">
        <v>90</v>
      </c>
      <c r="C12" s="80" t="s">
        <v>83</v>
      </c>
      <c r="D12" s="80">
        <v>8</v>
      </c>
      <c r="E12" s="81">
        <v>54.753253976361982</v>
      </c>
      <c r="F12" s="74">
        <f>+VLOOKUP(D12,Condicionales!D:F,2,FALSE)</f>
        <v>0.2</v>
      </c>
      <c r="G12" s="75">
        <f>+VLOOKUP(D12,Condicionales!A:B,2,FALSE)</f>
        <v>0.8</v>
      </c>
      <c r="H12" s="81">
        <f t="shared" si="0"/>
        <v>1.3800000000001091</v>
      </c>
      <c r="I12" s="81">
        <f t="shared" si="1"/>
        <v>1.1200000000001182</v>
      </c>
      <c r="J12" s="81">
        <f t="shared" si="2"/>
        <v>1.2833333333334471</v>
      </c>
      <c r="K12" s="81">
        <v>1125.261</v>
      </c>
      <c r="L12" s="81">
        <v>1123.8809999999999</v>
      </c>
      <c r="M12" s="81">
        <v>1121.6400000000001</v>
      </c>
      <c r="N12" s="81">
        <v>1120.52</v>
      </c>
      <c r="O12" s="75">
        <f t="shared" si="3"/>
        <v>56.21334074906995</v>
      </c>
      <c r="P12" s="75">
        <f t="shared" si="4"/>
        <v>10.090588693011021</v>
      </c>
      <c r="Q12" s="75">
        <f t="shared" si="5"/>
        <v>1.7201242045227494</v>
      </c>
      <c r="R12" s="75">
        <f t="shared" si="6"/>
        <v>44.402627851536181</v>
      </c>
      <c r="S12" s="75">
        <f t="shared" si="7"/>
        <v>0</v>
      </c>
      <c r="T12" s="75">
        <f t="shared" si="8"/>
        <v>0</v>
      </c>
      <c r="U12" s="83">
        <f t="shared" si="9"/>
        <v>11.810712897533769</v>
      </c>
    </row>
    <row r="13" spans="2:21" s="76" customFormat="1" x14ac:dyDescent="0.25">
      <c r="B13" s="82" t="s">
        <v>90</v>
      </c>
      <c r="C13" s="80" t="s">
        <v>84</v>
      </c>
      <c r="D13" s="80">
        <v>8</v>
      </c>
      <c r="E13" s="81">
        <v>92.303891575599351</v>
      </c>
      <c r="F13" s="74">
        <f>+VLOOKUP(D13,Condicionales!D:F,2,FALSE)</f>
        <v>0.2</v>
      </c>
      <c r="G13" s="75">
        <f>+VLOOKUP(D13,Condicionales!A:B,2,FALSE)</f>
        <v>0.8</v>
      </c>
      <c r="H13" s="81">
        <f t="shared" si="0"/>
        <v>1.2400000000000091</v>
      </c>
      <c r="I13" s="81">
        <f t="shared" si="1"/>
        <v>1.2200000000000273</v>
      </c>
      <c r="J13" s="81">
        <f t="shared" si="2"/>
        <v>1.2633333333333516</v>
      </c>
      <c r="K13" s="81">
        <v>1121.6400000000001</v>
      </c>
      <c r="L13" s="81">
        <v>1120.4000000000001</v>
      </c>
      <c r="M13" s="81">
        <v>1119.52</v>
      </c>
      <c r="N13" s="81">
        <v>1118.3</v>
      </c>
      <c r="O13" s="75">
        <f t="shared" si="3"/>
        <v>93.288466419073757</v>
      </c>
      <c r="P13" s="75">
        <f t="shared" si="4"/>
        <v>17.010872176761612</v>
      </c>
      <c r="Q13" s="75">
        <f t="shared" si="5"/>
        <v>2.8998122767165175</v>
      </c>
      <c r="R13" s="75">
        <f t="shared" si="6"/>
        <v>73.377781965595631</v>
      </c>
      <c r="S13" s="75">
        <f t="shared" si="7"/>
        <v>0</v>
      </c>
      <c r="T13" s="75">
        <f t="shared" si="8"/>
        <v>0</v>
      </c>
      <c r="U13" s="83">
        <f t="shared" si="9"/>
        <v>19.910684453478126</v>
      </c>
    </row>
    <row r="14" spans="2:21" s="76" customFormat="1" x14ac:dyDescent="0.25">
      <c r="B14" s="82" t="s">
        <v>90</v>
      </c>
      <c r="C14" s="80" t="s">
        <v>57</v>
      </c>
      <c r="D14" s="80">
        <v>14</v>
      </c>
      <c r="E14" s="81">
        <v>37.607085768509108</v>
      </c>
      <c r="F14" s="74">
        <f>+VLOOKUP(D14,Condicionales!D:F,2,FALSE)</f>
        <v>0.35499999999999998</v>
      </c>
      <c r="G14" s="75">
        <f>+VLOOKUP(D14,Condicionales!A:B,2,FALSE)</f>
        <v>0.95</v>
      </c>
      <c r="H14" s="81">
        <f t="shared" si="0"/>
        <v>1.3199999999999363</v>
      </c>
      <c r="I14" s="81">
        <f t="shared" si="1"/>
        <v>1.0499999999999545</v>
      </c>
      <c r="J14" s="81">
        <f t="shared" si="2"/>
        <v>1.244166666666612</v>
      </c>
      <c r="K14" s="81">
        <v>1119.52</v>
      </c>
      <c r="L14" s="81">
        <v>1118.2</v>
      </c>
      <c r="M14" s="81">
        <v>1118.52</v>
      </c>
      <c r="N14" s="81">
        <v>1117.47</v>
      </c>
      <c r="O14" s="75">
        <f t="shared" si="3"/>
        <v>44.450008416468783</v>
      </c>
      <c r="P14" s="75">
        <f t="shared" si="4"/>
        <v>13.992566113706957</v>
      </c>
      <c r="Q14" s="75">
        <f t="shared" si="5"/>
        <v>3.7223419611603208</v>
      </c>
      <c r="R14" s="75">
        <f t="shared" si="6"/>
        <v>26.735100341601509</v>
      </c>
      <c r="S14" s="75">
        <f t="shared" si="7"/>
        <v>0</v>
      </c>
      <c r="T14" s="75">
        <f t="shared" si="8"/>
        <v>0</v>
      </c>
      <c r="U14" s="83">
        <f t="shared" si="9"/>
        <v>17.714908074867274</v>
      </c>
    </row>
    <row r="15" spans="2:21" s="76" customFormat="1" x14ac:dyDescent="0.25">
      <c r="B15" s="82" t="s">
        <v>90</v>
      </c>
      <c r="C15" s="80" t="s">
        <v>58</v>
      </c>
      <c r="D15" s="80">
        <v>14</v>
      </c>
      <c r="E15" s="81">
        <v>24.150264367083022</v>
      </c>
      <c r="F15" s="74">
        <f>+VLOOKUP(D15,Condicionales!D:F,2,FALSE)</f>
        <v>0.35499999999999998</v>
      </c>
      <c r="G15" s="75">
        <f>+VLOOKUP(D15,Condicionales!A:B,2,FALSE)</f>
        <v>0.95</v>
      </c>
      <c r="H15" s="81">
        <f t="shared" si="0"/>
        <v>0.79999999999995453</v>
      </c>
      <c r="I15" s="81">
        <f t="shared" si="1"/>
        <v>0.85999999999989996</v>
      </c>
      <c r="J15" s="81">
        <f t="shared" si="2"/>
        <v>0.88916666666659394</v>
      </c>
      <c r="K15" s="81">
        <v>1118.52</v>
      </c>
      <c r="L15" s="81">
        <v>1117.72</v>
      </c>
      <c r="M15" s="81">
        <v>1118.4670000000001</v>
      </c>
      <c r="N15" s="81">
        <v>1117.6070000000002</v>
      </c>
      <c r="O15" s="75">
        <f t="shared" si="3"/>
        <v>20.399929563076419</v>
      </c>
      <c r="P15" s="75">
        <f t="shared" si="4"/>
        <v>8.9856516109758431</v>
      </c>
      <c r="Q15" s="75">
        <f t="shared" si="5"/>
        <v>2.3903884225451866</v>
      </c>
      <c r="R15" s="75">
        <f t="shared" si="6"/>
        <v>9.0238895295553903</v>
      </c>
      <c r="S15" s="75">
        <f t="shared" si="7"/>
        <v>0</v>
      </c>
      <c r="T15" s="75">
        <f t="shared" si="8"/>
        <v>0</v>
      </c>
      <c r="U15" s="83">
        <f t="shared" si="9"/>
        <v>11.376040033521029</v>
      </c>
    </row>
    <row r="16" spans="2:21" s="76" customFormat="1" x14ac:dyDescent="0.25">
      <c r="B16" s="82" t="s">
        <v>90</v>
      </c>
      <c r="C16" s="80" t="s">
        <v>59</v>
      </c>
      <c r="D16" s="80">
        <v>14</v>
      </c>
      <c r="E16" s="81">
        <v>15.630373124145184</v>
      </c>
      <c r="F16" s="74">
        <f>+VLOOKUP(D16,Condicionales!D:F,2,FALSE)</f>
        <v>0.35499999999999998</v>
      </c>
      <c r="G16" s="75">
        <f>+VLOOKUP(D16,Condicionales!A:B,2,FALSE)</f>
        <v>0.95</v>
      </c>
      <c r="H16" s="81">
        <f t="shared" si="0"/>
        <v>0.85999999999989996</v>
      </c>
      <c r="I16" s="81">
        <f t="shared" si="1"/>
        <v>1.3999999999998636</v>
      </c>
      <c r="J16" s="81">
        <f t="shared" si="2"/>
        <v>1.1891666666665484</v>
      </c>
      <c r="K16" s="81">
        <v>1118.4670000000001</v>
      </c>
      <c r="L16" s="81">
        <v>1117.6070000000002</v>
      </c>
      <c r="M16" s="81">
        <v>1118.8989999999999</v>
      </c>
      <c r="N16" s="81">
        <v>1117.499</v>
      </c>
      <c r="O16" s="75">
        <f t="shared" si="3"/>
        <v>17.657762771454426</v>
      </c>
      <c r="P16" s="75">
        <f t="shared" si="4"/>
        <v>5.8156335395881529</v>
      </c>
      <c r="Q16" s="75">
        <f t="shared" si="5"/>
        <v>1.5470912611186012</v>
      </c>
      <c r="R16" s="75">
        <f t="shared" si="6"/>
        <v>10.295037970747671</v>
      </c>
      <c r="S16" s="75">
        <f t="shared" si="7"/>
        <v>0</v>
      </c>
      <c r="T16" s="75">
        <f t="shared" si="8"/>
        <v>0</v>
      </c>
      <c r="U16" s="83">
        <f t="shared" si="9"/>
        <v>7.3627248007067543</v>
      </c>
    </row>
    <row r="17" spans="2:22" s="76" customFormat="1" x14ac:dyDescent="0.25">
      <c r="B17" s="82" t="s">
        <v>89</v>
      </c>
      <c r="C17" s="80" t="s">
        <v>85</v>
      </c>
      <c r="D17" s="80">
        <v>8</v>
      </c>
      <c r="E17" s="81">
        <v>49.722124894256083</v>
      </c>
      <c r="F17" s="74">
        <f>+VLOOKUP(D17,Condicionales!D:F,2,FALSE)</f>
        <v>0.2</v>
      </c>
      <c r="G17" s="75">
        <f>+VLOOKUP(D17,Condicionales!A:B,2,FALSE)</f>
        <v>0.8</v>
      </c>
      <c r="H17" s="81">
        <f t="shared" si="0"/>
        <v>1.1100000000001273</v>
      </c>
      <c r="I17" s="81">
        <f t="shared" si="1"/>
        <v>1.6500000000000909</v>
      </c>
      <c r="J17" s="81">
        <f t="shared" si="2"/>
        <v>1.4133333333334426</v>
      </c>
      <c r="K17" s="81">
        <v>1119.4570000000001</v>
      </c>
      <c r="L17" s="81">
        <v>1118.347</v>
      </c>
      <c r="M17" s="81">
        <v>1118.8989999999999</v>
      </c>
      <c r="N17" s="81">
        <v>1117.2489999999998</v>
      </c>
      <c r="O17" s="75">
        <f t="shared" si="3"/>
        <v>56.219149213776561</v>
      </c>
      <c r="P17" s="75">
        <f t="shared" si="4"/>
        <v>9.1633916674078719</v>
      </c>
      <c r="Q17" s="75">
        <f t="shared" si="5"/>
        <v>1.5620666228866908</v>
      </c>
      <c r="R17" s="75">
        <f t="shared" si="6"/>
        <v>45.493690923481999</v>
      </c>
      <c r="S17" s="75">
        <f t="shared" si="7"/>
        <v>7.9555399830809748</v>
      </c>
      <c r="T17" s="75">
        <f t="shared" si="8"/>
        <v>7.9555399830809748</v>
      </c>
      <c r="U17" s="83">
        <f t="shared" si="9"/>
        <v>10.725458290294561</v>
      </c>
    </row>
    <row r="18" spans="2:22" s="76" customFormat="1" x14ac:dyDescent="0.25">
      <c r="B18" s="82" t="s">
        <v>89</v>
      </c>
      <c r="C18" s="80" t="s">
        <v>60</v>
      </c>
      <c r="D18" s="80">
        <v>14</v>
      </c>
      <c r="E18" s="81">
        <v>36.062445840513924</v>
      </c>
      <c r="F18" s="74">
        <f>+VLOOKUP(D18,Condicionales!D:F,2,FALSE)</f>
        <v>0.35499999999999998</v>
      </c>
      <c r="G18" s="75">
        <f>+VLOOKUP(D18,Condicionales!A:B,2,FALSE)</f>
        <v>0.95</v>
      </c>
      <c r="H18" s="81">
        <f t="shared" si="0"/>
        <v>1.3999999999998636</v>
      </c>
      <c r="I18" s="81">
        <f t="shared" si="1"/>
        <v>1.2400000000000091</v>
      </c>
      <c r="J18" s="81">
        <f t="shared" si="2"/>
        <v>1.3791666666666029</v>
      </c>
      <c r="K18" s="81">
        <v>1118.8989999999999</v>
      </c>
      <c r="L18" s="81">
        <v>1117.499</v>
      </c>
      <c r="M18" s="81">
        <v>1118.319</v>
      </c>
      <c r="N18" s="81">
        <v>1117.079</v>
      </c>
      <c r="O18" s="75">
        <f t="shared" si="3"/>
        <v>47.249317060621166</v>
      </c>
      <c r="P18" s="75">
        <f t="shared" si="4"/>
        <v>13.417847922369663</v>
      </c>
      <c r="Q18" s="75">
        <f t="shared" si="5"/>
        <v>3.5694538045439761</v>
      </c>
      <c r="R18" s="75">
        <f t="shared" si="6"/>
        <v>30.262015333707527</v>
      </c>
      <c r="S18" s="75">
        <f t="shared" si="7"/>
        <v>6.8518647096976455</v>
      </c>
      <c r="T18" s="75">
        <f t="shared" si="8"/>
        <v>6.8518647096976455</v>
      </c>
      <c r="U18" s="83">
        <f t="shared" si="9"/>
        <v>16.987301726913639</v>
      </c>
    </row>
    <row r="19" spans="2:22" s="76" customFormat="1" x14ac:dyDescent="0.25">
      <c r="B19" s="82" t="s">
        <v>90</v>
      </c>
      <c r="C19" s="80" t="s">
        <v>86</v>
      </c>
      <c r="D19" s="80">
        <v>8</v>
      </c>
      <c r="E19" s="81">
        <v>16.652885635829005</v>
      </c>
      <c r="F19" s="74">
        <f>+VLOOKUP(D19,Condicionales!D:F,2,FALSE)</f>
        <v>0.2</v>
      </c>
      <c r="G19" s="75">
        <f>+VLOOKUP(D19,Condicionales!A:B,2,FALSE)</f>
        <v>0.8</v>
      </c>
      <c r="H19" s="81">
        <f t="shared" si="0"/>
        <v>1.2599999999999909</v>
      </c>
      <c r="I19" s="81">
        <f t="shared" si="1"/>
        <v>1.4900000000000091</v>
      </c>
      <c r="J19" s="81">
        <f t="shared" si="2"/>
        <v>1.4083333333333334</v>
      </c>
      <c r="K19" s="81">
        <v>1118.3989999999999</v>
      </c>
      <c r="L19" s="81">
        <v>1117.1389999999999</v>
      </c>
      <c r="M19" s="81">
        <v>1118.319</v>
      </c>
      <c r="N19" s="81">
        <v>1116.829</v>
      </c>
      <c r="O19" s="75">
        <f t="shared" si="3"/>
        <v>18.762251149700681</v>
      </c>
      <c r="P19" s="75">
        <f t="shared" si="4"/>
        <v>3.0689942112928446</v>
      </c>
      <c r="Q19" s="75">
        <f t="shared" si="5"/>
        <v>0.52316583174591402</v>
      </c>
      <c r="R19" s="75">
        <f t="shared" si="6"/>
        <v>15.170091106661923</v>
      </c>
      <c r="S19" s="75">
        <f t="shared" si="7"/>
        <v>0</v>
      </c>
      <c r="T19" s="75">
        <f t="shared" si="8"/>
        <v>0</v>
      </c>
      <c r="U19" s="83">
        <f t="shared" si="9"/>
        <v>3.5921600430387581</v>
      </c>
    </row>
    <row r="20" spans="2:22" s="76" customFormat="1" x14ac:dyDescent="0.25">
      <c r="B20" s="82" t="s">
        <v>90</v>
      </c>
      <c r="C20" s="80" t="s">
        <v>61</v>
      </c>
      <c r="D20" s="80">
        <v>14</v>
      </c>
      <c r="E20" s="81">
        <v>17.65079003897559</v>
      </c>
      <c r="F20" s="74">
        <f>+VLOOKUP(D20,Condicionales!D:F,2,FALSE)</f>
        <v>0.35499999999999998</v>
      </c>
      <c r="G20" s="75">
        <f>+VLOOKUP(D20,Condicionales!A:B,2,FALSE)</f>
        <v>0.95</v>
      </c>
      <c r="H20" s="81">
        <f t="shared" si="0"/>
        <v>1.2400000000000091</v>
      </c>
      <c r="I20" s="81">
        <f t="shared" si="1"/>
        <v>1.3699999999998909</v>
      </c>
      <c r="J20" s="81">
        <f t="shared" si="2"/>
        <v>1.3641666666666166</v>
      </c>
      <c r="K20" s="81">
        <v>1118.319</v>
      </c>
      <c r="L20" s="81">
        <v>1117.079</v>
      </c>
      <c r="M20" s="81">
        <v>1118.2819999999999</v>
      </c>
      <c r="N20" s="81">
        <v>1116.912</v>
      </c>
      <c r="O20" s="75">
        <f t="shared" si="3"/>
        <v>22.874688440926565</v>
      </c>
      <c r="P20" s="75">
        <f t="shared" si="4"/>
        <v>6.5673753105947572</v>
      </c>
      <c r="Q20" s="75">
        <f t="shared" si="5"/>
        <v>1.7470717304217787</v>
      </c>
      <c r="R20" s="75">
        <f t="shared" si="6"/>
        <v>14.560241399910028</v>
      </c>
      <c r="S20" s="75">
        <f t="shared" si="7"/>
        <v>0</v>
      </c>
      <c r="T20" s="75">
        <f t="shared" si="8"/>
        <v>0</v>
      </c>
      <c r="U20" s="83">
        <f t="shared" si="9"/>
        <v>8.3144470410165372</v>
      </c>
    </row>
    <row r="21" spans="2:22" s="76" customFormat="1" x14ac:dyDescent="0.25">
      <c r="B21" s="82" t="s">
        <v>90</v>
      </c>
      <c r="C21" s="80" t="s">
        <v>62</v>
      </c>
      <c r="D21" s="80">
        <v>14</v>
      </c>
      <c r="E21" s="81">
        <v>58.383936866230599</v>
      </c>
      <c r="F21" s="74">
        <f>+VLOOKUP(D21,Condicionales!D:F,2,FALSE)</f>
        <v>0.35499999999999998</v>
      </c>
      <c r="G21" s="75">
        <f>+VLOOKUP(D21,Condicionales!A:B,2,FALSE)</f>
        <v>0.95</v>
      </c>
      <c r="H21" s="81">
        <f t="shared" si="0"/>
        <v>1.3699999999998909</v>
      </c>
      <c r="I21" s="81">
        <f t="shared" si="1"/>
        <v>1.3899999999998727</v>
      </c>
      <c r="J21" s="81">
        <f t="shared" si="2"/>
        <v>1.4391666666665484</v>
      </c>
      <c r="K21" s="81">
        <v>1118.2819999999999</v>
      </c>
      <c r="L21" s="81">
        <v>1116.912</v>
      </c>
      <c r="M21" s="81">
        <v>1117.624</v>
      </c>
      <c r="N21" s="81">
        <v>1116.2340000000002</v>
      </c>
      <c r="O21" s="75">
        <f t="shared" si="3"/>
        <v>79.823005016311129</v>
      </c>
      <c r="P21" s="75">
        <f t="shared" si="4"/>
        <v>21.723063084651546</v>
      </c>
      <c r="Q21" s="75">
        <f t="shared" si="5"/>
        <v>5.7788306010375763</v>
      </c>
      <c r="R21" s="75">
        <f t="shared" si="6"/>
        <v>52.321111330622003</v>
      </c>
      <c r="S21" s="75">
        <f t="shared" si="7"/>
        <v>0</v>
      </c>
      <c r="T21" s="75">
        <f t="shared" si="8"/>
        <v>0</v>
      </c>
      <c r="U21" s="83">
        <f t="shared" si="9"/>
        <v>27.501893685689126</v>
      </c>
    </row>
    <row r="22" spans="2:22" s="76" customFormat="1" x14ac:dyDescent="0.25">
      <c r="B22" s="82" t="s">
        <v>90</v>
      </c>
      <c r="C22" s="80" t="s">
        <v>63</v>
      </c>
      <c r="D22" s="80">
        <v>14</v>
      </c>
      <c r="E22" s="81">
        <v>6.58062922523371</v>
      </c>
      <c r="F22" s="74">
        <f>+VLOOKUP(D22,Condicionales!D:F,2,FALSE)</f>
        <v>0.35499999999999998</v>
      </c>
      <c r="G22" s="75">
        <f>+VLOOKUP(D22,Condicionales!A:B,2,FALSE)</f>
        <v>0.95</v>
      </c>
      <c r="H22" s="81">
        <f t="shared" si="0"/>
        <v>1.3899999999998727</v>
      </c>
      <c r="I22" s="81">
        <f t="shared" si="1"/>
        <v>1.5199999999999818</v>
      </c>
      <c r="J22" s="81">
        <f t="shared" si="2"/>
        <v>1.5141666666665938</v>
      </c>
      <c r="K22" s="81">
        <v>1117.624</v>
      </c>
      <c r="L22" s="81">
        <v>1116.2340000000002</v>
      </c>
      <c r="M22" s="81">
        <v>1117.663</v>
      </c>
      <c r="N22" s="81">
        <v>1116.143</v>
      </c>
      <c r="O22" s="75">
        <f t="shared" si="3"/>
        <v>9.4659609476138513</v>
      </c>
      <c r="P22" s="75">
        <f t="shared" si="4"/>
        <v>2.4484718138138595</v>
      </c>
      <c r="Q22" s="75">
        <f t="shared" si="5"/>
        <v>0.65134938789745156</v>
      </c>
      <c r="R22" s="75">
        <f t="shared" si="6"/>
        <v>6.3661397459025411</v>
      </c>
      <c r="S22" s="75">
        <f t="shared" si="7"/>
        <v>0</v>
      </c>
      <c r="T22" s="75">
        <f t="shared" si="8"/>
        <v>0</v>
      </c>
      <c r="U22" s="83">
        <f t="shared" si="9"/>
        <v>3.0998212017113103</v>
      </c>
    </row>
    <row r="23" spans="2:22" s="76" customFormat="1" x14ac:dyDescent="0.25">
      <c r="B23" s="82" t="s">
        <v>89</v>
      </c>
      <c r="C23" s="80" t="s">
        <v>64</v>
      </c>
      <c r="D23" s="80">
        <v>14</v>
      </c>
      <c r="E23" s="81">
        <v>14.611596627336793</v>
      </c>
      <c r="F23" s="74">
        <f>+VLOOKUP(D23,Condicionales!D:F,2,FALSE)</f>
        <v>0.35499999999999998</v>
      </c>
      <c r="G23" s="75">
        <f>+VLOOKUP(D23,Condicionales!A:B,2,FALSE)</f>
        <v>0.95</v>
      </c>
      <c r="H23" s="81">
        <f t="shared" si="0"/>
        <v>1.5199999999999818</v>
      </c>
      <c r="I23" s="81">
        <f t="shared" si="1"/>
        <v>1.5999999999999091</v>
      </c>
      <c r="J23" s="81">
        <f t="shared" si="2"/>
        <v>1.619166666666612</v>
      </c>
      <c r="K23" s="81">
        <v>1117.663</v>
      </c>
      <c r="L23" s="81">
        <v>1116.143</v>
      </c>
      <c r="M23" s="81">
        <v>1117.527</v>
      </c>
      <c r="N23" s="81">
        <v>1115.9270000000001</v>
      </c>
      <c r="O23" s="75">
        <f t="shared" si="3"/>
        <v>22.475679695473925</v>
      </c>
      <c r="P23" s="75">
        <f t="shared" si="4"/>
        <v>5.4365747214060995</v>
      </c>
      <c r="Q23" s="75">
        <f t="shared" si="5"/>
        <v>1.4462529636111332</v>
      </c>
      <c r="R23" s="75">
        <f t="shared" si="6"/>
        <v>15.592852010456692</v>
      </c>
      <c r="S23" s="75">
        <f t="shared" si="7"/>
        <v>2.7762033591939907</v>
      </c>
      <c r="T23" s="75">
        <f t="shared" si="8"/>
        <v>2.7762033591939907</v>
      </c>
      <c r="U23" s="83">
        <f t="shared" si="9"/>
        <v>6.882827685017233</v>
      </c>
    </row>
    <row r="24" spans="2:22" s="76" customFormat="1" x14ac:dyDescent="0.25">
      <c r="B24" s="82" t="s">
        <v>89</v>
      </c>
      <c r="C24" s="80" t="s">
        <v>87</v>
      </c>
      <c r="D24" s="80">
        <v>14</v>
      </c>
      <c r="E24" s="81">
        <v>48.332453579349767</v>
      </c>
      <c r="F24" s="74">
        <f>+VLOOKUP(D24,Condicionales!D:F,2,FALSE)</f>
        <v>0.35499999999999998</v>
      </c>
      <c r="G24" s="75">
        <f>+VLOOKUP(D24,Condicionales!A:B,2,FALSE)</f>
        <v>0.95</v>
      </c>
      <c r="H24" s="81">
        <f t="shared" si="0"/>
        <v>1.5999999999999091</v>
      </c>
      <c r="I24" s="81">
        <f t="shared" si="1"/>
        <v>0.74000000000000909</v>
      </c>
      <c r="J24" s="81">
        <f t="shared" si="2"/>
        <v>1.2291666666666257</v>
      </c>
      <c r="K24" s="81">
        <v>1117.527</v>
      </c>
      <c r="L24" s="81">
        <v>1115.9270000000001</v>
      </c>
      <c r="M24" s="81">
        <v>1116.18</v>
      </c>
      <c r="N24" s="81">
        <v>1115.44</v>
      </c>
      <c r="O24" s="75">
        <f t="shared" si="3"/>
        <v>56.438208815051333</v>
      </c>
      <c r="P24" s="75">
        <f t="shared" si="4"/>
        <v>17.983181582047248</v>
      </c>
      <c r="Q24" s="75">
        <f t="shared" si="5"/>
        <v>4.7839367599947726</v>
      </c>
      <c r="R24" s="75">
        <f t="shared" si="6"/>
        <v>33.671090473009315</v>
      </c>
      <c r="S24" s="75">
        <f t="shared" si="7"/>
        <v>9.1831661800764568</v>
      </c>
      <c r="T24" s="75">
        <f t="shared" si="8"/>
        <v>9.1831661800764568</v>
      </c>
      <c r="U24" s="83">
        <f t="shared" si="9"/>
        <v>22.767118342042018</v>
      </c>
    </row>
    <row r="25" spans="2:22" s="76" customFormat="1" x14ac:dyDescent="0.25">
      <c r="B25" s="82" t="s">
        <v>90</v>
      </c>
      <c r="C25" s="80" t="s">
        <v>88</v>
      </c>
      <c r="D25" s="80">
        <v>10</v>
      </c>
      <c r="E25" s="81">
        <v>47.862749283759285</v>
      </c>
      <c r="F25" s="74">
        <f>+VLOOKUP(D25,Condicionales!D:F,2,FALSE)</f>
        <v>0.25</v>
      </c>
      <c r="G25" s="75">
        <f>+VLOOKUP(D25,Condicionales!A:B,2,FALSE)</f>
        <v>0.85</v>
      </c>
      <c r="H25" s="81">
        <f t="shared" si="0"/>
        <v>1</v>
      </c>
      <c r="I25" s="81">
        <f t="shared" si="1"/>
        <v>1.25</v>
      </c>
      <c r="J25" s="81">
        <f t="shared" si="2"/>
        <v>1.1666666666666667</v>
      </c>
      <c r="K25" s="81">
        <v>1132.873</v>
      </c>
      <c r="L25" s="81">
        <v>1131.873</v>
      </c>
      <c r="M25" s="81">
        <v>1132.5930000000001</v>
      </c>
      <c r="N25" s="81">
        <v>1131.3430000000001</v>
      </c>
      <c r="O25" s="75">
        <f t="shared" si="3"/>
        <v>47.463893039727957</v>
      </c>
      <c r="P25" s="75">
        <f t="shared" si="4"/>
        <v>11.538814172791776</v>
      </c>
      <c r="Q25" s="75">
        <f t="shared" si="5"/>
        <v>2.3494572114135672</v>
      </c>
      <c r="R25" s="75">
        <f t="shared" si="6"/>
        <v>33.575621655522617</v>
      </c>
      <c r="S25" s="75">
        <f t="shared" si="7"/>
        <v>0</v>
      </c>
      <c r="T25" s="75">
        <f t="shared" si="8"/>
        <v>0</v>
      </c>
      <c r="U25" s="83">
        <f t="shared" si="9"/>
        <v>13.888271384205339</v>
      </c>
    </row>
    <row r="26" spans="2:22" s="76" customFormat="1" x14ac:dyDescent="0.25">
      <c r="B26" s="82" t="s">
        <v>90</v>
      </c>
      <c r="C26" s="80" t="s">
        <v>55</v>
      </c>
      <c r="D26" s="80">
        <v>10</v>
      </c>
      <c r="E26" s="81">
        <v>29.401018366716468</v>
      </c>
      <c r="F26" s="74">
        <f>+VLOOKUP(D26,Condicionales!D:F,2,FALSE)</f>
        <v>0.25</v>
      </c>
      <c r="G26" s="75">
        <f>+VLOOKUP(D26,Condicionales!A:B,2,FALSE)</f>
        <v>0.85</v>
      </c>
      <c r="H26" s="81">
        <f t="shared" si="0"/>
        <v>1.2899999999999636</v>
      </c>
      <c r="I26" s="81">
        <f t="shared" si="1"/>
        <v>1</v>
      </c>
      <c r="J26" s="81">
        <f t="shared" si="2"/>
        <v>1.1866666666666486</v>
      </c>
      <c r="K26" s="81">
        <v>1135.752</v>
      </c>
      <c r="L26" s="81">
        <v>1134.462</v>
      </c>
      <c r="M26" s="81">
        <v>1132.5930000000001</v>
      </c>
      <c r="N26" s="81">
        <v>1131.5930000000001</v>
      </c>
      <c r="O26" s="75">
        <f t="shared" si="3"/>
        <v>29.655827192560892</v>
      </c>
      <c r="P26" s="75">
        <f t="shared" si="4"/>
        <v>7.0880359465580058</v>
      </c>
      <c r="Q26" s="75">
        <f t="shared" si="5"/>
        <v>1.4432191142021098</v>
      </c>
      <c r="R26" s="75">
        <f t="shared" si="6"/>
        <v>21.124572131800779</v>
      </c>
      <c r="S26" s="75">
        <f t="shared" si="7"/>
        <v>0</v>
      </c>
      <c r="T26" s="75">
        <f t="shared" si="8"/>
        <v>0</v>
      </c>
      <c r="U26" s="83">
        <f t="shared" si="9"/>
        <v>8.5312550607601132</v>
      </c>
    </row>
    <row r="27" spans="2:22" s="76" customFormat="1" x14ac:dyDescent="0.25">
      <c r="B27" s="82" t="s">
        <v>90</v>
      </c>
      <c r="C27" s="80" t="s">
        <v>56</v>
      </c>
      <c r="D27" s="80">
        <v>10</v>
      </c>
      <c r="E27" s="81">
        <v>30.810131450547235</v>
      </c>
      <c r="F27" s="74">
        <f>+VLOOKUP(D27,Condicionales!D:F,2,FALSE)</f>
        <v>0.25</v>
      </c>
      <c r="G27" s="75">
        <f>+VLOOKUP(D27,Condicionales!A:B,2,FALSE)</f>
        <v>0.85</v>
      </c>
      <c r="H27" s="81">
        <f t="shared" si="0"/>
        <v>1.2699999999999818</v>
      </c>
      <c r="I27" s="81">
        <f t="shared" si="1"/>
        <v>1</v>
      </c>
      <c r="J27" s="81">
        <f t="shared" si="2"/>
        <v>1.1766666666666576</v>
      </c>
      <c r="K27" s="81">
        <v>1132.5930000000001</v>
      </c>
      <c r="L27" s="81">
        <v>1131.3230000000001</v>
      </c>
      <c r="M27" s="81">
        <v>1128.5550000000001</v>
      </c>
      <c r="N27" s="81">
        <v>1127.5550000000001</v>
      </c>
      <c r="O27" s="75">
        <f t="shared" si="3"/>
        <v>30.81526647245542</v>
      </c>
      <c r="P27" s="75">
        <f t="shared" si="4"/>
        <v>7.4277467710736786</v>
      </c>
      <c r="Q27" s="75">
        <f t="shared" si="5"/>
        <v>1.5123887909558598</v>
      </c>
      <c r="R27" s="75">
        <f t="shared" si="6"/>
        <v>21.875130910425881</v>
      </c>
      <c r="S27" s="75">
        <f t="shared" si="7"/>
        <v>0</v>
      </c>
      <c r="T27" s="75">
        <f t="shared" si="8"/>
        <v>0</v>
      </c>
      <c r="U27" s="83">
        <f t="shared" si="9"/>
        <v>8.9401355620295391</v>
      </c>
    </row>
    <row r="28" spans="2:22" ht="16.5" thickBot="1" x14ac:dyDescent="0.3">
      <c r="B28" s="84" t="s">
        <v>65</v>
      </c>
      <c r="C28" s="85"/>
      <c r="D28" s="85"/>
      <c r="E28" s="86">
        <f>SUM(E3:E27)</f>
        <v>1051.9441673214058</v>
      </c>
      <c r="F28" s="86"/>
      <c r="G28" s="87"/>
      <c r="H28" s="88"/>
      <c r="I28" s="88"/>
      <c r="J28" s="88"/>
      <c r="K28" s="88"/>
      <c r="L28" s="88" t="s">
        <v>66</v>
      </c>
      <c r="M28" s="88"/>
      <c r="N28" s="88" t="s">
        <v>66</v>
      </c>
      <c r="O28" s="88">
        <f>SUM(O3:O27)</f>
        <v>1264.5242324460758</v>
      </c>
      <c r="P28" s="88">
        <f>SUM(P3:P27)</f>
        <v>306.7274193446176</v>
      </c>
      <c r="Q28" s="88">
        <f t="shared" ref="Q28:V28" si="10">SUM(Q3:Q27)</f>
        <v>72.871485219170296</v>
      </c>
      <c r="R28" s="88">
        <f>SUM(R3:R27)</f>
        <v>884.92532788228755</v>
      </c>
      <c r="S28" s="88">
        <f t="shared" si="10"/>
        <v>54.420801248125635</v>
      </c>
      <c r="T28" s="88">
        <f t="shared" si="10"/>
        <v>54.420801248125635</v>
      </c>
      <c r="U28" s="89">
        <f t="shared" si="10"/>
        <v>379.59890456378787</v>
      </c>
      <c r="V28" s="79">
        <f t="shared" si="10"/>
        <v>0</v>
      </c>
    </row>
  </sheetData>
  <mergeCells count="1">
    <mergeCell ref="B28:D2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5"/>
  <sheetViews>
    <sheetView workbookViewId="0">
      <selection activeCell="A17" sqref="A17"/>
    </sheetView>
  </sheetViews>
  <sheetFormatPr baseColWidth="10" defaultRowHeight="15" x14ac:dyDescent="0.25"/>
  <cols>
    <col min="1" max="1" width="57.5703125" bestFit="1" customWidth="1"/>
  </cols>
  <sheetData>
    <row r="1" spans="1:7" x14ac:dyDescent="0.25">
      <c r="A1" s="36" t="s">
        <v>107</v>
      </c>
      <c r="B1" t="s">
        <v>124</v>
      </c>
      <c r="C1" t="s">
        <v>125</v>
      </c>
      <c r="D1" t="s">
        <v>126</v>
      </c>
      <c r="E1" t="s">
        <v>127</v>
      </c>
      <c r="F1" t="s">
        <v>128</v>
      </c>
    </row>
    <row r="2" spans="1:7" x14ac:dyDescent="0.25">
      <c r="A2" t="s">
        <v>146</v>
      </c>
      <c r="B2" t="s">
        <v>118</v>
      </c>
      <c r="C2" s="48">
        <v>0.05</v>
      </c>
      <c r="D2" t="s">
        <v>129</v>
      </c>
      <c r="E2">
        <v>3800</v>
      </c>
      <c r="F2" s="49">
        <f>+C2*E2</f>
        <v>190</v>
      </c>
    </row>
    <row r="3" spans="1:7" x14ac:dyDescent="0.25">
      <c r="A3" t="s">
        <v>147</v>
      </c>
      <c r="B3" t="s">
        <v>130</v>
      </c>
      <c r="C3" s="48">
        <v>0.01</v>
      </c>
      <c r="D3" t="s">
        <v>129</v>
      </c>
      <c r="E3">
        <v>2000</v>
      </c>
      <c r="F3" s="49">
        <f t="shared" ref="F3:F7" si="0">+C3*E3</f>
        <v>20</v>
      </c>
    </row>
    <row r="4" spans="1:7" x14ac:dyDescent="0.25">
      <c r="A4" t="s">
        <v>148</v>
      </c>
      <c r="B4" t="s">
        <v>131</v>
      </c>
      <c r="C4" s="48">
        <v>0.01</v>
      </c>
      <c r="D4" t="s">
        <v>129</v>
      </c>
      <c r="E4">
        <v>2500</v>
      </c>
      <c r="F4" s="49">
        <f t="shared" si="0"/>
        <v>25</v>
      </c>
    </row>
    <row r="5" spans="1:7" x14ac:dyDescent="0.25">
      <c r="A5" t="s">
        <v>149</v>
      </c>
      <c r="B5" t="s">
        <v>136</v>
      </c>
      <c r="C5" s="48">
        <v>0.02</v>
      </c>
      <c r="D5" t="s">
        <v>129</v>
      </c>
      <c r="E5" s="47">
        <v>22453</v>
      </c>
      <c r="F5" s="49">
        <f t="shared" si="0"/>
        <v>449.06</v>
      </c>
    </row>
    <row r="6" spans="1:7" x14ac:dyDescent="0.25">
      <c r="A6" t="s">
        <v>150</v>
      </c>
      <c r="B6" t="s">
        <v>136</v>
      </c>
      <c r="C6" s="48">
        <v>8.0000000000000002E-3</v>
      </c>
      <c r="D6" t="s">
        <v>129</v>
      </c>
      <c r="E6" s="47">
        <v>44971</v>
      </c>
      <c r="F6" s="49">
        <f t="shared" si="0"/>
        <v>359.76800000000003</v>
      </c>
    </row>
    <row r="7" spans="1:7" x14ac:dyDescent="0.25">
      <c r="A7" t="s">
        <v>145</v>
      </c>
      <c r="B7" t="s">
        <v>138</v>
      </c>
      <c r="C7" s="48">
        <v>0.2</v>
      </c>
      <c r="D7" t="s">
        <v>129</v>
      </c>
      <c r="E7" s="47">
        <v>1400</v>
      </c>
      <c r="F7" s="49">
        <f t="shared" si="0"/>
        <v>280</v>
      </c>
    </row>
    <row r="9" spans="1:7" x14ac:dyDescent="0.25">
      <c r="A9" t="s">
        <v>140</v>
      </c>
      <c r="B9" t="s">
        <v>141</v>
      </c>
      <c r="C9" t="s">
        <v>142</v>
      </c>
      <c r="D9" t="s">
        <v>143</v>
      </c>
      <c r="E9" t="s">
        <v>151</v>
      </c>
      <c r="F9" t="s">
        <v>144</v>
      </c>
      <c r="G9" t="s">
        <v>120</v>
      </c>
    </row>
    <row r="10" spans="1:7" x14ac:dyDescent="0.25">
      <c r="A10">
        <v>235</v>
      </c>
      <c r="B10">
        <v>280</v>
      </c>
      <c r="C10">
        <v>0</v>
      </c>
      <c r="D10">
        <v>515</v>
      </c>
      <c r="E10">
        <v>809</v>
      </c>
      <c r="F10">
        <v>0</v>
      </c>
      <c r="G10" s="46">
        <v>1.3240000000000001</v>
      </c>
    </row>
    <row r="12" spans="1:7" x14ac:dyDescent="0.25">
      <c r="A12" s="36" t="s">
        <v>92</v>
      </c>
    </row>
    <row r="13" spans="1:7" x14ac:dyDescent="0.25">
      <c r="A13" s="36" t="s">
        <v>161</v>
      </c>
      <c r="B13" t="s">
        <v>162</v>
      </c>
      <c r="C13" t="s">
        <v>163</v>
      </c>
      <c r="D13" t="s">
        <v>129</v>
      </c>
      <c r="E13">
        <v>88000</v>
      </c>
      <c r="F13" s="49">
        <f t="shared" ref="F13" si="1">+C13*E13</f>
        <v>2640</v>
      </c>
    </row>
    <row r="15" spans="1:7" x14ac:dyDescent="0.25">
      <c r="A15" t="s">
        <v>140</v>
      </c>
      <c r="B15" t="s">
        <v>141</v>
      </c>
      <c r="C15" t="s">
        <v>142</v>
      </c>
      <c r="D15" t="s">
        <v>143</v>
      </c>
      <c r="E15" t="s">
        <v>151</v>
      </c>
      <c r="F15" t="s">
        <v>144</v>
      </c>
      <c r="G15" t="s">
        <v>120</v>
      </c>
    </row>
    <row r="16" spans="1:7" x14ac:dyDescent="0.25">
      <c r="A16">
        <v>0</v>
      </c>
      <c r="B16">
        <v>2.64</v>
      </c>
      <c r="C16">
        <v>0</v>
      </c>
      <c r="D16">
        <v>2.64</v>
      </c>
      <c r="E16">
        <v>0</v>
      </c>
      <c r="F16">
        <v>0</v>
      </c>
      <c r="G16" s="46">
        <v>2.64</v>
      </c>
    </row>
    <row r="18" spans="1:7" x14ac:dyDescent="0.25">
      <c r="A18" s="36" t="s">
        <v>94</v>
      </c>
    </row>
    <row r="19" spans="1:7" x14ac:dyDescent="0.25">
      <c r="A19" t="s">
        <v>179</v>
      </c>
      <c r="B19" t="s">
        <v>136</v>
      </c>
      <c r="C19" t="s">
        <v>165</v>
      </c>
      <c r="D19" t="s">
        <v>129</v>
      </c>
      <c r="E19">
        <v>18373</v>
      </c>
      <c r="F19" s="49">
        <f t="shared" ref="F19:F23" si="2">+C19*E19</f>
        <v>845.15800000000002</v>
      </c>
    </row>
    <row r="20" spans="1:7" x14ac:dyDescent="0.25">
      <c r="A20" t="s">
        <v>180</v>
      </c>
      <c r="B20" t="s">
        <v>162</v>
      </c>
      <c r="C20" t="s">
        <v>167</v>
      </c>
      <c r="D20" t="s">
        <v>129</v>
      </c>
      <c r="E20">
        <v>104</v>
      </c>
      <c r="F20" s="49">
        <f t="shared" si="2"/>
        <v>4.8879999999999999</v>
      </c>
    </row>
    <row r="21" spans="1:7" x14ac:dyDescent="0.25">
      <c r="A21" t="s">
        <v>181</v>
      </c>
      <c r="B21" t="s">
        <v>162</v>
      </c>
      <c r="C21" t="s">
        <v>167</v>
      </c>
      <c r="D21" t="s">
        <v>129</v>
      </c>
      <c r="E21">
        <v>89.9</v>
      </c>
      <c r="F21" s="49">
        <f t="shared" si="2"/>
        <v>4.2252999999999998</v>
      </c>
    </row>
    <row r="22" spans="1:7" x14ac:dyDescent="0.25">
      <c r="A22" t="s">
        <v>182</v>
      </c>
      <c r="B22" t="s">
        <v>170</v>
      </c>
      <c r="C22" t="s">
        <v>171</v>
      </c>
      <c r="D22" t="s">
        <v>129</v>
      </c>
      <c r="E22">
        <v>265</v>
      </c>
      <c r="F22" s="49">
        <f t="shared" si="2"/>
        <v>0.53</v>
      </c>
    </row>
    <row r="23" spans="1:7" x14ac:dyDescent="0.25">
      <c r="A23" t="s">
        <v>183</v>
      </c>
      <c r="B23" t="s">
        <v>138</v>
      </c>
      <c r="C23" t="s">
        <v>163</v>
      </c>
      <c r="D23" t="s">
        <v>129</v>
      </c>
      <c r="E23">
        <v>1.4</v>
      </c>
      <c r="F23" s="49">
        <f t="shared" si="2"/>
        <v>4.1999999999999996E-2</v>
      </c>
    </row>
    <row r="24" spans="1:7" x14ac:dyDescent="0.25">
      <c r="A24" t="s">
        <v>140</v>
      </c>
      <c r="B24" t="s">
        <v>141</v>
      </c>
      <c r="C24" t="s">
        <v>142</v>
      </c>
      <c r="D24" t="s">
        <v>143</v>
      </c>
      <c r="E24" t="s">
        <v>151</v>
      </c>
      <c r="F24" t="s">
        <v>144</v>
      </c>
      <c r="G24" t="s">
        <v>120</v>
      </c>
    </row>
    <row r="25" spans="1:7" x14ac:dyDescent="0.25">
      <c r="A25">
        <v>0</v>
      </c>
      <c r="B25">
        <v>9.6850000000000005</v>
      </c>
      <c r="C25">
        <v>0</v>
      </c>
      <c r="D25">
        <v>9.6850000000000005</v>
      </c>
      <c r="E25">
        <v>845</v>
      </c>
      <c r="F25">
        <v>0</v>
      </c>
      <c r="G25" s="46">
        <v>10.53</v>
      </c>
    </row>
    <row r="27" spans="1:7" x14ac:dyDescent="0.25">
      <c r="A27" s="36" t="s">
        <v>93</v>
      </c>
    </row>
    <row r="28" spans="1:7" x14ac:dyDescent="0.25">
      <c r="A28" t="s">
        <v>184</v>
      </c>
      <c r="B28" t="s">
        <v>110</v>
      </c>
      <c r="C28" s="47">
        <v>1300</v>
      </c>
      <c r="D28" t="s">
        <v>129</v>
      </c>
      <c r="E28">
        <v>6.5</v>
      </c>
      <c r="F28">
        <v>8.4499999999999993</v>
      </c>
    </row>
    <row r="29" spans="1:7" x14ac:dyDescent="0.25">
      <c r="A29" t="s">
        <v>185</v>
      </c>
      <c r="B29" t="s">
        <v>136</v>
      </c>
      <c r="C29" t="s">
        <v>165</v>
      </c>
      <c r="D29" t="s">
        <v>129</v>
      </c>
      <c r="E29">
        <v>18.373000000000001</v>
      </c>
      <c r="F29">
        <v>845</v>
      </c>
    </row>
    <row r="30" spans="1:7" x14ac:dyDescent="0.25">
      <c r="A30" t="s">
        <v>186</v>
      </c>
      <c r="B30" t="s">
        <v>162</v>
      </c>
      <c r="C30" t="s">
        <v>167</v>
      </c>
      <c r="D30" t="s">
        <v>129</v>
      </c>
      <c r="E30">
        <v>104</v>
      </c>
      <c r="F30">
        <v>4.8879999999999999</v>
      </c>
    </row>
    <row r="31" spans="1:7" x14ac:dyDescent="0.25">
      <c r="A31" t="s">
        <v>187</v>
      </c>
      <c r="B31" t="s">
        <v>162</v>
      </c>
      <c r="C31" t="s">
        <v>167</v>
      </c>
      <c r="D31" t="s">
        <v>129</v>
      </c>
      <c r="E31">
        <v>89.9</v>
      </c>
      <c r="F31">
        <v>4.2249999999999996</v>
      </c>
    </row>
    <row r="32" spans="1:7" x14ac:dyDescent="0.25">
      <c r="A32" t="s">
        <v>188</v>
      </c>
      <c r="B32" t="s">
        <v>170</v>
      </c>
      <c r="C32" t="s">
        <v>171</v>
      </c>
      <c r="D32" t="s">
        <v>129</v>
      </c>
      <c r="E32">
        <v>265</v>
      </c>
      <c r="F32">
        <v>530</v>
      </c>
    </row>
    <row r="33" spans="1:7" x14ac:dyDescent="0.25">
      <c r="A33" t="s">
        <v>189</v>
      </c>
      <c r="B33" t="s">
        <v>110</v>
      </c>
      <c r="C33" s="47">
        <v>1300</v>
      </c>
      <c r="D33" t="s">
        <v>129</v>
      </c>
      <c r="E33">
        <v>7</v>
      </c>
      <c r="F33">
        <v>9.1</v>
      </c>
    </row>
    <row r="34" spans="1:7" x14ac:dyDescent="0.25">
      <c r="A34" t="s">
        <v>190</v>
      </c>
      <c r="B34" t="s">
        <v>138</v>
      </c>
      <c r="C34" t="s">
        <v>163</v>
      </c>
      <c r="D34" t="s">
        <v>129</v>
      </c>
      <c r="E34">
        <v>1.4</v>
      </c>
      <c r="F34">
        <v>42</v>
      </c>
    </row>
    <row r="35" spans="1:7" x14ac:dyDescent="0.25">
      <c r="A35" t="s">
        <v>140</v>
      </c>
      <c r="B35" t="s">
        <v>141</v>
      </c>
      <c r="C35" t="s">
        <v>142</v>
      </c>
      <c r="D35" t="s">
        <v>143</v>
      </c>
      <c r="E35" t="s">
        <v>151</v>
      </c>
      <c r="F35" t="s">
        <v>144</v>
      </c>
      <c r="G35" t="s">
        <v>120</v>
      </c>
    </row>
    <row r="36" spans="1:7" x14ac:dyDescent="0.25">
      <c r="A36">
        <v>8.4499999999999993</v>
      </c>
      <c r="B36">
        <v>18.785</v>
      </c>
      <c r="C36">
        <v>0</v>
      </c>
      <c r="D36">
        <v>27.234999999999999</v>
      </c>
      <c r="E36">
        <v>845</v>
      </c>
      <c r="F36">
        <v>0</v>
      </c>
      <c r="G36" s="46">
        <v>28.08</v>
      </c>
    </row>
    <row r="38" spans="1:7" x14ac:dyDescent="0.25">
      <c r="A38" s="36" t="s">
        <v>97</v>
      </c>
    </row>
    <row r="39" spans="1:7" x14ac:dyDescent="0.25">
      <c r="A39" t="s">
        <v>191</v>
      </c>
      <c r="B39" t="s">
        <v>136</v>
      </c>
      <c r="C39" t="s">
        <v>193</v>
      </c>
      <c r="D39" t="s">
        <v>129</v>
      </c>
      <c r="E39">
        <v>6.1239999999999997</v>
      </c>
      <c r="F39">
        <v>214</v>
      </c>
    </row>
    <row r="40" spans="1:7" x14ac:dyDescent="0.25">
      <c r="A40" t="s">
        <v>192</v>
      </c>
      <c r="B40" t="s">
        <v>162</v>
      </c>
      <c r="C40" t="s">
        <v>193</v>
      </c>
      <c r="D40" t="s">
        <v>129</v>
      </c>
      <c r="E40">
        <v>85</v>
      </c>
      <c r="F40">
        <v>2.9750000000000001</v>
      </c>
    </row>
    <row r="41" spans="1:7" x14ac:dyDescent="0.25">
      <c r="A41" t="s">
        <v>140</v>
      </c>
      <c r="B41" t="s">
        <v>141</v>
      </c>
      <c r="C41" t="s">
        <v>142</v>
      </c>
      <c r="D41" t="s">
        <v>143</v>
      </c>
      <c r="E41" t="s">
        <v>151</v>
      </c>
      <c r="F41" t="s">
        <v>144</v>
      </c>
      <c r="G41" t="s">
        <v>120</v>
      </c>
    </row>
    <row r="42" spans="1:7" x14ac:dyDescent="0.25">
      <c r="A42">
        <v>0</v>
      </c>
      <c r="B42">
        <v>2.9750000000000001</v>
      </c>
      <c r="C42">
        <v>0</v>
      </c>
      <c r="D42">
        <v>2.9750000000000001</v>
      </c>
      <c r="E42">
        <v>214</v>
      </c>
      <c r="F42">
        <v>0</v>
      </c>
      <c r="G42" s="46">
        <v>3.1890000000000001</v>
      </c>
    </row>
    <row r="45" spans="1:7" x14ac:dyDescent="0.25">
      <c r="A45" t="s">
        <v>194</v>
      </c>
    </row>
    <row r="46" spans="1:7" x14ac:dyDescent="0.25">
      <c r="A46" t="s">
        <v>206</v>
      </c>
      <c r="B46" t="s">
        <v>108</v>
      </c>
      <c r="C46" s="47">
        <v>1000</v>
      </c>
      <c r="D46" s="47" t="s">
        <v>129</v>
      </c>
      <c r="E46">
        <v>34.405999999999999</v>
      </c>
      <c r="F46">
        <v>34.405999999999999</v>
      </c>
    </row>
    <row r="47" spans="1:7" x14ac:dyDescent="0.25">
      <c r="A47" t="s">
        <v>207</v>
      </c>
      <c r="B47" t="s">
        <v>118</v>
      </c>
      <c r="C47" t="s">
        <v>196</v>
      </c>
      <c r="D47" t="s">
        <v>129</v>
      </c>
      <c r="E47">
        <v>5.077</v>
      </c>
      <c r="F47">
        <v>1.675</v>
      </c>
    </row>
    <row r="48" spans="1:7" x14ac:dyDescent="0.25">
      <c r="A48" t="s">
        <v>208</v>
      </c>
      <c r="B48" t="s">
        <v>198</v>
      </c>
      <c r="C48" t="s">
        <v>171</v>
      </c>
      <c r="D48" t="s">
        <v>199</v>
      </c>
      <c r="E48">
        <v>54.097999999999999</v>
      </c>
      <c r="F48">
        <v>109</v>
      </c>
    </row>
    <row r="49" spans="1:7" x14ac:dyDescent="0.25">
      <c r="A49" s="36" t="s">
        <v>209</v>
      </c>
      <c r="B49" t="s">
        <v>198</v>
      </c>
      <c r="C49" t="s">
        <v>171</v>
      </c>
      <c r="D49" t="s">
        <v>199</v>
      </c>
      <c r="E49">
        <v>74.787000000000006</v>
      </c>
      <c r="F49">
        <v>151</v>
      </c>
    </row>
    <row r="50" spans="1:7" x14ac:dyDescent="0.25">
      <c r="A50" s="36" t="s">
        <v>210</v>
      </c>
      <c r="B50" t="s">
        <v>136</v>
      </c>
      <c r="C50" t="s">
        <v>203</v>
      </c>
      <c r="D50" t="s">
        <v>129</v>
      </c>
      <c r="E50">
        <v>12.247999999999999</v>
      </c>
      <c r="F50">
        <v>4.899</v>
      </c>
    </row>
    <row r="51" spans="1:7" x14ac:dyDescent="0.25">
      <c r="A51" s="36" t="s">
        <v>211</v>
      </c>
      <c r="B51" s="47" t="s">
        <v>136</v>
      </c>
      <c r="C51" t="s">
        <v>203</v>
      </c>
      <c r="D51" t="s">
        <v>129</v>
      </c>
      <c r="E51">
        <v>17.349</v>
      </c>
      <c r="F51">
        <v>6.94</v>
      </c>
    </row>
    <row r="52" spans="1:7" x14ac:dyDescent="0.25">
      <c r="A52" t="s">
        <v>140</v>
      </c>
      <c r="B52" t="s">
        <v>141</v>
      </c>
      <c r="C52" t="s">
        <v>142</v>
      </c>
      <c r="D52" t="s">
        <v>143</v>
      </c>
      <c r="E52" t="s">
        <v>151</v>
      </c>
      <c r="F52" t="s">
        <v>144</v>
      </c>
      <c r="G52" t="s">
        <v>120</v>
      </c>
    </row>
    <row r="53" spans="1:7" x14ac:dyDescent="0.25">
      <c r="A53">
        <v>36.341999999999999</v>
      </c>
      <c r="B53">
        <v>0</v>
      </c>
      <c r="C53">
        <v>0</v>
      </c>
      <c r="D53">
        <v>36.341999999999999</v>
      </c>
      <c r="E53">
        <v>11.839</v>
      </c>
      <c r="F53">
        <v>0</v>
      </c>
      <c r="G53" s="46">
        <v>48.180999999999997</v>
      </c>
    </row>
    <row r="55" spans="1:7" x14ac:dyDescent="0.25">
      <c r="A55" s="36" t="s">
        <v>113</v>
      </c>
    </row>
    <row r="56" spans="1:7" x14ac:dyDescent="0.25">
      <c r="A56" t="s">
        <v>212</v>
      </c>
      <c r="B56" t="s">
        <v>108</v>
      </c>
      <c r="C56" s="47">
        <v>1000</v>
      </c>
      <c r="D56" t="s">
        <v>129</v>
      </c>
      <c r="E56">
        <v>47000</v>
      </c>
      <c r="F56">
        <v>47000</v>
      </c>
    </row>
    <row r="57" spans="1:7" x14ac:dyDescent="0.25">
      <c r="A57" t="s">
        <v>207</v>
      </c>
      <c r="B57" t="s">
        <v>118</v>
      </c>
      <c r="C57" t="s">
        <v>196</v>
      </c>
      <c r="D57" t="s">
        <v>129</v>
      </c>
      <c r="E57">
        <v>9.0030000000000001</v>
      </c>
      <c r="F57">
        <v>2.9710000000000001</v>
      </c>
    </row>
    <row r="58" spans="1:7" x14ac:dyDescent="0.25">
      <c r="A58" t="s">
        <v>208</v>
      </c>
      <c r="B58" t="s">
        <v>198</v>
      </c>
      <c r="C58" t="s">
        <v>171</v>
      </c>
      <c r="D58" t="s">
        <v>199</v>
      </c>
      <c r="E58">
        <v>54.097999999999999</v>
      </c>
      <c r="F58">
        <v>109</v>
      </c>
    </row>
    <row r="59" spans="1:7" x14ac:dyDescent="0.25">
      <c r="A59" s="36" t="s">
        <v>209</v>
      </c>
      <c r="B59" t="s">
        <v>198</v>
      </c>
      <c r="C59" t="s">
        <v>171</v>
      </c>
      <c r="D59" t="s">
        <v>199</v>
      </c>
      <c r="E59">
        <v>74.787000000000006</v>
      </c>
      <c r="F59">
        <v>151</v>
      </c>
    </row>
    <row r="60" spans="1:7" x14ac:dyDescent="0.25">
      <c r="A60" s="36" t="s">
        <v>210</v>
      </c>
      <c r="B60" t="s">
        <v>136</v>
      </c>
      <c r="C60" t="s">
        <v>139</v>
      </c>
      <c r="D60" t="s">
        <v>129</v>
      </c>
      <c r="E60">
        <v>12.247999999999999</v>
      </c>
      <c r="F60">
        <v>2.4500000000000002</v>
      </c>
    </row>
    <row r="61" spans="1:7" x14ac:dyDescent="0.25">
      <c r="A61" s="36" t="s">
        <v>211</v>
      </c>
      <c r="B61" s="47" t="s">
        <v>136</v>
      </c>
      <c r="C61" t="s">
        <v>203</v>
      </c>
      <c r="D61" t="s">
        <v>129</v>
      </c>
      <c r="E61">
        <v>17.349</v>
      </c>
      <c r="F61">
        <v>6.94</v>
      </c>
    </row>
    <row r="62" spans="1:7" x14ac:dyDescent="0.25">
      <c r="A62" t="s">
        <v>140</v>
      </c>
      <c r="B62" t="s">
        <v>141</v>
      </c>
      <c r="C62" t="s">
        <v>142</v>
      </c>
      <c r="D62" t="s">
        <v>143</v>
      </c>
      <c r="E62" t="s">
        <v>151</v>
      </c>
      <c r="F62" t="s">
        <v>144</v>
      </c>
      <c r="G62" t="s">
        <v>120</v>
      </c>
    </row>
    <row r="63" spans="1:7" x14ac:dyDescent="0.25">
      <c r="A63">
        <v>50.231000000000002</v>
      </c>
      <c r="B63">
        <v>0</v>
      </c>
      <c r="C63">
        <v>0</v>
      </c>
      <c r="D63">
        <v>50.231000000000002</v>
      </c>
      <c r="E63">
        <v>9.3889999999999993</v>
      </c>
      <c r="F63">
        <v>0</v>
      </c>
      <c r="G63" s="46">
        <v>59.621000000000002</v>
      </c>
    </row>
    <row r="65" spans="1:1" x14ac:dyDescent="0.25">
      <c r="A65" s="36" t="s">
        <v>114</v>
      </c>
    </row>
    <row r="66" spans="1:1" x14ac:dyDescent="0.25">
      <c r="A66" s="36"/>
    </row>
    <row r="67" spans="1:1" x14ac:dyDescent="0.25">
      <c r="A67" s="36"/>
    </row>
    <row r="68" spans="1:1" x14ac:dyDescent="0.25">
      <c r="A68" s="36"/>
    </row>
    <row r="69" spans="1:1" x14ac:dyDescent="0.25">
      <c r="A69" s="36"/>
    </row>
    <row r="70" spans="1:1" x14ac:dyDescent="0.25">
      <c r="A70" s="36"/>
    </row>
    <row r="71" spans="1:1" x14ac:dyDescent="0.25">
      <c r="A71" s="36"/>
    </row>
    <row r="72" spans="1:1" x14ac:dyDescent="0.25">
      <c r="A72" s="36"/>
    </row>
    <row r="73" spans="1:1" x14ac:dyDescent="0.25">
      <c r="A73" s="36"/>
    </row>
    <row r="74" spans="1:1" x14ac:dyDescent="0.25">
      <c r="A74" s="36"/>
    </row>
    <row r="75" spans="1:1" x14ac:dyDescent="0.25">
      <c r="A75" s="36"/>
    </row>
    <row r="76" spans="1:1" x14ac:dyDescent="0.25">
      <c r="A76" s="36" t="s">
        <v>115</v>
      </c>
    </row>
    <row r="77" spans="1:1" x14ac:dyDescent="0.25">
      <c r="A77" s="36" t="s">
        <v>152</v>
      </c>
    </row>
    <row r="78" spans="1:1" x14ac:dyDescent="0.25">
      <c r="A78" s="36" t="s">
        <v>153</v>
      </c>
    </row>
    <row r="79" spans="1:1" x14ac:dyDescent="0.25">
      <c r="A79" s="36" t="s">
        <v>154</v>
      </c>
    </row>
    <row r="80" spans="1:1" x14ac:dyDescent="0.25">
      <c r="A80" s="36" t="s">
        <v>155</v>
      </c>
    </row>
    <row r="81" spans="1:1" x14ac:dyDescent="0.25">
      <c r="A81" s="36" t="s">
        <v>156</v>
      </c>
    </row>
    <row r="82" spans="1:1" x14ac:dyDescent="0.25">
      <c r="A82" s="36" t="s">
        <v>157</v>
      </c>
    </row>
    <row r="83" spans="1:1" x14ac:dyDescent="0.25">
      <c r="A83" s="36" t="s">
        <v>158</v>
      </c>
    </row>
    <row r="84" spans="1:1" x14ac:dyDescent="0.25">
      <c r="A84" s="36" t="s">
        <v>159</v>
      </c>
    </row>
    <row r="85" spans="1:1" x14ac:dyDescent="0.25">
      <c r="A85" s="36" t="s">
        <v>160</v>
      </c>
    </row>
    <row r="86" spans="1:1" x14ac:dyDescent="0.25">
      <c r="A86" s="36"/>
    </row>
    <row r="87" spans="1:1" x14ac:dyDescent="0.25">
      <c r="A87" s="36"/>
    </row>
    <row r="88" spans="1:1" x14ac:dyDescent="0.25">
      <c r="A88" s="36" t="s">
        <v>116</v>
      </c>
    </row>
    <row r="89" spans="1:1" x14ac:dyDescent="0.25">
      <c r="A89" s="36" t="s">
        <v>117</v>
      </c>
    </row>
    <row r="90" spans="1:1" x14ac:dyDescent="0.25">
      <c r="A90" s="36" t="s">
        <v>98</v>
      </c>
    </row>
    <row r="91" spans="1:1" x14ac:dyDescent="0.25">
      <c r="A91" s="36" t="s">
        <v>99</v>
      </c>
    </row>
    <row r="92" spans="1:1" x14ac:dyDescent="0.25">
      <c r="A92" s="36" t="s">
        <v>100</v>
      </c>
    </row>
    <row r="93" spans="1:1" x14ac:dyDescent="0.25">
      <c r="A93" s="36" t="s">
        <v>101</v>
      </c>
    </row>
    <row r="94" spans="1:1" x14ac:dyDescent="0.25">
      <c r="A94" s="36" t="s">
        <v>102</v>
      </c>
    </row>
    <row r="95" spans="1:1" x14ac:dyDescent="0.25">
      <c r="A95" s="36" t="s">
        <v>103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"/>
  <sheetViews>
    <sheetView workbookViewId="0">
      <selection activeCell="D10" sqref="D10"/>
    </sheetView>
  </sheetViews>
  <sheetFormatPr baseColWidth="10" defaultRowHeight="15" x14ac:dyDescent="0.25"/>
  <sheetData>
    <row r="1" spans="1:7" x14ac:dyDescent="0.25">
      <c r="A1" t="s">
        <v>215</v>
      </c>
      <c r="B1" t="s">
        <v>216</v>
      </c>
      <c r="C1" t="s">
        <v>144</v>
      </c>
      <c r="D1" t="s">
        <v>217</v>
      </c>
      <c r="E1" t="s">
        <v>215</v>
      </c>
      <c r="F1" t="s">
        <v>218</v>
      </c>
      <c r="G1" t="s">
        <v>129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topLeftCell="A10" zoomScale="80" zoomScaleNormal="80" workbookViewId="0">
      <selection activeCell="F12" sqref="D12:F13"/>
    </sheetView>
  </sheetViews>
  <sheetFormatPr baseColWidth="10" defaultRowHeight="15" x14ac:dyDescent="0.25"/>
  <sheetData>
    <row r="1" spans="1:11" x14ac:dyDescent="0.25">
      <c r="A1" t="s">
        <v>172</v>
      </c>
      <c r="B1" t="s">
        <v>177</v>
      </c>
      <c r="C1" t="s">
        <v>178</v>
      </c>
      <c r="D1">
        <v>3</v>
      </c>
      <c r="E1" t="s">
        <v>164</v>
      </c>
      <c r="F1" t="s">
        <v>136</v>
      </c>
      <c r="G1" t="s">
        <v>165</v>
      </c>
      <c r="H1" t="s">
        <v>129</v>
      </c>
      <c r="I1">
        <v>18.373000000000001</v>
      </c>
      <c r="J1">
        <v>845</v>
      </c>
    </row>
    <row r="2" spans="1:11" x14ac:dyDescent="0.25">
      <c r="A2" t="s">
        <v>173</v>
      </c>
      <c r="B2" t="s">
        <v>166</v>
      </c>
      <c r="F2" t="s">
        <v>162</v>
      </c>
      <c r="G2" t="s">
        <v>167</v>
      </c>
      <c r="H2" t="s">
        <v>129</v>
      </c>
      <c r="I2">
        <v>104</v>
      </c>
      <c r="J2">
        <v>4.8879999999999999</v>
      </c>
    </row>
    <row r="3" spans="1:11" x14ac:dyDescent="0.25">
      <c r="A3" t="s">
        <v>174</v>
      </c>
      <c r="B3" t="s">
        <v>168</v>
      </c>
      <c r="F3" t="s">
        <v>162</v>
      </c>
      <c r="G3" t="s">
        <v>167</v>
      </c>
      <c r="H3" t="s">
        <v>129</v>
      </c>
      <c r="I3">
        <v>89.9</v>
      </c>
      <c r="J3">
        <v>4.2249999999999996</v>
      </c>
    </row>
    <row r="4" spans="1:11" x14ac:dyDescent="0.25">
      <c r="A4" t="s">
        <v>175</v>
      </c>
      <c r="B4" t="s">
        <v>169</v>
      </c>
      <c r="F4" t="s">
        <v>170</v>
      </c>
      <c r="G4" t="s">
        <v>171</v>
      </c>
      <c r="H4" t="s">
        <v>129</v>
      </c>
      <c r="I4">
        <v>265</v>
      </c>
      <c r="J4">
        <v>530</v>
      </c>
    </row>
    <row r="5" spans="1:11" x14ac:dyDescent="0.25">
      <c r="A5" t="s">
        <v>176</v>
      </c>
      <c r="B5" t="s">
        <v>137</v>
      </c>
      <c r="F5" t="s">
        <v>138</v>
      </c>
      <c r="G5" t="s">
        <v>163</v>
      </c>
      <c r="H5" t="s">
        <v>129</v>
      </c>
      <c r="I5">
        <v>1.4</v>
      </c>
      <c r="J5">
        <v>42</v>
      </c>
    </row>
    <row r="7" spans="1:11" x14ac:dyDescent="0.25">
      <c r="A7" t="str">
        <f>+CONCATENATE(A1," ",B1," ",C1," ",D1," ",E1)</f>
        <v>MOAG03-MANO  OBRA  ALBANILERIA  3 AYUDANTE</v>
      </c>
    </row>
    <row r="8" spans="1:11" x14ac:dyDescent="0.25">
      <c r="A8" t="str">
        <f t="shared" ref="A8:A10" si="0">+CONCATENATE(A2,B2,C2,D2,E2)</f>
        <v>MQ0204-MOTONIVELADORA CAT-12-F</v>
      </c>
    </row>
    <row r="9" spans="1:11" x14ac:dyDescent="0.25">
      <c r="A9" t="str">
        <f t="shared" si="0"/>
        <v>MQ0206-VIBROCOMPACTADOR CA-15</v>
      </c>
    </row>
    <row r="10" spans="1:11" x14ac:dyDescent="0.25">
      <c r="A10" t="str">
        <f t="shared" si="0"/>
        <v>MQ0222-CARROTANQUE AGUA</v>
      </c>
    </row>
    <row r="13" spans="1:11" x14ac:dyDescent="0.25">
      <c r="F13" s="47"/>
      <c r="G13" t="s">
        <v>108</v>
      </c>
      <c r="H13" s="47">
        <v>1</v>
      </c>
      <c r="I13" t="s">
        <v>129</v>
      </c>
      <c r="J13">
        <v>47</v>
      </c>
      <c r="K13">
        <v>47</v>
      </c>
    </row>
    <row r="14" spans="1:11" x14ac:dyDescent="0.25">
      <c r="A14" t="s">
        <v>213</v>
      </c>
      <c r="B14" t="s">
        <v>195</v>
      </c>
      <c r="C14" t="s">
        <v>214</v>
      </c>
      <c r="G14" t="s">
        <v>118</v>
      </c>
      <c r="H14" t="s">
        <v>196</v>
      </c>
      <c r="I14" t="s">
        <v>129</v>
      </c>
      <c r="J14">
        <v>9.0030000000000001</v>
      </c>
      <c r="K14">
        <v>2.9710000000000001</v>
      </c>
    </row>
    <row r="15" spans="1:11" x14ac:dyDescent="0.25">
      <c r="A15" t="s">
        <v>197</v>
      </c>
      <c r="B15" t="s">
        <v>195</v>
      </c>
      <c r="G15" t="s">
        <v>198</v>
      </c>
      <c r="H15" t="s">
        <v>171</v>
      </c>
      <c r="I15" t="s">
        <v>199</v>
      </c>
      <c r="J15">
        <v>54.097999999999999</v>
      </c>
      <c r="K15">
        <v>109</v>
      </c>
    </row>
    <row r="16" spans="1:11" x14ac:dyDescent="0.25">
      <c r="A16" t="s">
        <v>200</v>
      </c>
      <c r="B16" t="s">
        <v>201</v>
      </c>
      <c r="C16" t="s">
        <v>195</v>
      </c>
      <c r="D16" t="s">
        <v>198</v>
      </c>
      <c r="E16" t="s">
        <v>171</v>
      </c>
      <c r="F16" t="s">
        <v>199</v>
      </c>
      <c r="G16" t="s">
        <v>198</v>
      </c>
      <c r="H16" t="s">
        <v>171</v>
      </c>
      <c r="I16" t="s">
        <v>199</v>
      </c>
      <c r="J16">
        <v>74.787000000000006</v>
      </c>
      <c r="K16">
        <v>151</v>
      </c>
    </row>
    <row r="17" spans="1:11" x14ac:dyDescent="0.25">
      <c r="A17" t="s">
        <v>202</v>
      </c>
      <c r="B17" t="s">
        <v>132</v>
      </c>
      <c r="C17" t="s">
        <v>133</v>
      </c>
      <c r="D17">
        <v>2</v>
      </c>
      <c r="E17" t="s">
        <v>164</v>
      </c>
      <c r="G17" t="s">
        <v>136</v>
      </c>
      <c r="H17" t="s">
        <v>139</v>
      </c>
      <c r="I17" t="s">
        <v>129</v>
      </c>
      <c r="J17">
        <v>12.247999999999999</v>
      </c>
      <c r="K17">
        <v>2.4500000000000002</v>
      </c>
    </row>
    <row r="18" spans="1:11" x14ac:dyDescent="0.25">
      <c r="A18" t="s">
        <v>204</v>
      </c>
      <c r="B18" t="s">
        <v>132</v>
      </c>
      <c r="C18" t="s">
        <v>205</v>
      </c>
      <c r="D18">
        <v>1</v>
      </c>
      <c r="E18" t="s">
        <v>134</v>
      </c>
      <c r="F18" t="s">
        <v>135</v>
      </c>
      <c r="G18" s="47" t="s">
        <v>136</v>
      </c>
      <c r="H18" t="s">
        <v>203</v>
      </c>
      <c r="I18" t="s">
        <v>129</v>
      </c>
      <c r="J18">
        <v>17.349</v>
      </c>
      <c r="K18">
        <v>6.94</v>
      </c>
    </row>
    <row r="19" spans="1:11" x14ac:dyDescent="0.25">
      <c r="A19" t="s">
        <v>140</v>
      </c>
      <c r="B19" t="s">
        <v>141</v>
      </c>
      <c r="C19" t="s">
        <v>142</v>
      </c>
    </row>
    <row r="21" spans="1:11" x14ac:dyDescent="0.25">
      <c r="A21" t="str">
        <f>+CONCATENATE(G13," ",H13," ",I13," ",J13," ",K13)</f>
        <v>ML 1 0,00 47 47</v>
      </c>
    </row>
    <row r="22" spans="1:11" x14ac:dyDescent="0.25">
      <c r="A22" t="str">
        <f>+CONCATENATE(A14," ",B14," ",C14," ",G14," ",H14)</f>
        <v>000241-HIDROSELLO NOVAFORT 250MM UND 0,330</v>
      </c>
    </row>
    <row r="23" spans="1:11" x14ac:dyDescent="0.25">
      <c r="A23" t="str">
        <f>+CONCATENATE(A15," ",B15," ",G15," ",H15," ",I15)</f>
        <v>000521-ADHESIVO NOVAFORT GLN 0,002 1,00</v>
      </c>
    </row>
    <row r="24" spans="1:11" x14ac:dyDescent="0.25">
      <c r="A24" t="str">
        <f t="shared" ref="A24:A30" si="1">+CONCATENATE(A16," ",B16," ",C16," ",D16," ",E16)</f>
        <v>000522-ACONDICION SUPERF NOVAFORT GLN 0,002</v>
      </c>
    </row>
    <row r="25" spans="1:11" x14ac:dyDescent="0.25">
      <c r="A25" t="str">
        <f t="shared" si="1"/>
        <v>MOAG02-MANO OBRA ALBANILERIA 2 AYUDANTE</v>
      </c>
    </row>
    <row r="26" spans="1:11" x14ac:dyDescent="0.25">
      <c r="A26" t="str">
        <f>+CONCATENATE(A18," ",B18," ",C18," ",D18," ",E18," ",F18)</f>
        <v>MOIS01-MANO OBRA HIDROSANIT. 1 AYUDANTE-1 OFI</v>
      </c>
    </row>
    <row r="27" spans="1:11" x14ac:dyDescent="0.25">
      <c r="A27" t="str">
        <f t="shared" si="1"/>
        <v xml:space="preserve">Materiales Equipo AIU  </v>
      </c>
    </row>
    <row r="28" spans="1:11" x14ac:dyDescent="0.25">
      <c r="A28" t="str">
        <f t="shared" si="1"/>
        <v xml:space="preserve">    </v>
      </c>
    </row>
    <row r="29" spans="1:11" x14ac:dyDescent="0.25">
      <c r="A29" t="str">
        <f t="shared" si="1"/>
        <v xml:space="preserve">ML 1 0,00 47 47    </v>
      </c>
    </row>
    <row r="30" spans="1:11" x14ac:dyDescent="0.25">
      <c r="A30" t="str">
        <f t="shared" si="1"/>
        <v xml:space="preserve">000241-HIDROSELLO NOVAFORT 250MM UND 0,330    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topLeftCell="D1" workbookViewId="0">
      <selection activeCell="E20" sqref="E20"/>
    </sheetView>
  </sheetViews>
  <sheetFormatPr baseColWidth="10" defaultRowHeight="15" x14ac:dyDescent="0.25"/>
  <cols>
    <col min="1" max="1" width="56.28515625" style="36" bestFit="1" customWidth="1"/>
    <col min="2" max="2" width="12.28515625" style="36" bestFit="1" customWidth="1"/>
    <col min="3" max="3" width="21" style="36" bestFit="1" customWidth="1"/>
    <col min="4" max="4" width="12.7109375" style="39" bestFit="1" customWidth="1"/>
    <col min="5" max="5" width="16.5703125" style="36" bestFit="1" customWidth="1"/>
    <col min="6" max="16384" width="11.42578125" style="35"/>
  </cols>
  <sheetData>
    <row r="1" spans="1:6" ht="35.25" customHeight="1" x14ac:dyDescent="0.2">
      <c r="A1" s="43" t="s">
        <v>121</v>
      </c>
      <c r="B1" s="43" t="s">
        <v>122</v>
      </c>
      <c r="C1" s="45" t="s">
        <v>123</v>
      </c>
      <c r="D1" s="44" t="s">
        <v>119</v>
      </c>
      <c r="E1" s="43" t="s">
        <v>120</v>
      </c>
    </row>
    <row r="2" spans="1:6" x14ac:dyDescent="0.25">
      <c r="A2" s="36" t="s">
        <v>105</v>
      </c>
      <c r="C2" s="37"/>
    </row>
    <row r="3" spans="1:6" x14ac:dyDescent="0.25">
      <c r="A3" s="36" t="s">
        <v>106</v>
      </c>
      <c r="C3" s="37"/>
    </row>
    <row r="4" spans="1:6" x14ac:dyDescent="0.25">
      <c r="A4" s="36" t="s">
        <v>107</v>
      </c>
      <c r="B4" s="36" t="s">
        <v>108</v>
      </c>
      <c r="C4" s="37">
        <v>1343.76</v>
      </c>
      <c r="D4" s="39">
        <f>+Tuberia!D6</f>
        <v>1051.9441673214058</v>
      </c>
      <c r="E4" s="38">
        <f>D4*C4</f>
        <v>1413560.4942798121</v>
      </c>
      <c r="F4" s="50"/>
    </row>
    <row r="5" spans="1:6" x14ac:dyDescent="0.25">
      <c r="C5" s="37"/>
      <c r="E5" s="38"/>
      <c r="F5" s="50"/>
    </row>
    <row r="6" spans="1:6" x14ac:dyDescent="0.25">
      <c r="A6" s="40" t="s">
        <v>109</v>
      </c>
      <c r="C6" s="37"/>
      <c r="E6" s="38"/>
      <c r="F6" s="50"/>
    </row>
    <row r="7" spans="1:6" x14ac:dyDescent="0.25">
      <c r="A7" s="36" t="s">
        <v>92</v>
      </c>
      <c r="B7" s="36" t="s">
        <v>110</v>
      </c>
      <c r="C7" s="37">
        <v>2687.52</v>
      </c>
      <c r="D7" s="39">
        <f>+Pozos!J33+'Vol Exc.'!O28</f>
        <v>1419.1742359070954</v>
      </c>
      <c r="E7" s="38">
        <f t="shared" ref="E7:E28" si="0">D7*C7</f>
        <v>3814059.142485037</v>
      </c>
      <c r="F7" s="50"/>
    </row>
    <row r="8" spans="1:6" x14ac:dyDescent="0.25">
      <c r="A8" s="36" t="s">
        <v>94</v>
      </c>
      <c r="B8" s="36" t="s">
        <v>110</v>
      </c>
      <c r="C8" s="37">
        <v>10719.54</v>
      </c>
      <c r="D8" s="39">
        <f>+Pozos!K33+'Vol Exc.'!R28</f>
        <v>960.67226835299107</v>
      </c>
      <c r="E8" s="38">
        <f t="shared" si="0"/>
        <v>10297964.807500623</v>
      </c>
      <c r="F8" s="50"/>
    </row>
    <row r="9" spans="1:6" x14ac:dyDescent="0.25">
      <c r="A9" s="36" t="s">
        <v>93</v>
      </c>
      <c r="B9" s="36" t="s">
        <v>110</v>
      </c>
      <c r="C9" s="37">
        <v>28585.439999999999</v>
      </c>
      <c r="D9" s="39">
        <f>+'Vol Exc.'!P28</f>
        <v>306.7274193446176</v>
      </c>
      <c r="E9" s="38">
        <f t="shared" si="0"/>
        <v>8767938.2420304045</v>
      </c>
      <c r="F9" s="50"/>
    </row>
    <row r="10" spans="1:6" x14ac:dyDescent="0.25">
      <c r="A10" s="36" t="s">
        <v>97</v>
      </c>
      <c r="B10" s="36" t="s">
        <v>110</v>
      </c>
      <c r="C10" s="37">
        <v>3247.42</v>
      </c>
      <c r="D10" s="39">
        <f>+Pozos!L33+'Vol Exc.'!U28</f>
        <v>458.501967554104</v>
      </c>
      <c r="E10" s="38">
        <f t="shared" si="0"/>
        <v>1488948.4594745485</v>
      </c>
      <c r="F10" s="50"/>
    </row>
    <row r="11" spans="1:6" x14ac:dyDescent="0.25">
      <c r="A11" s="36" t="s">
        <v>96</v>
      </c>
      <c r="B11" s="36" t="s">
        <v>110</v>
      </c>
      <c r="C11" s="37">
        <v>219381.03599999999</v>
      </c>
      <c r="D11" s="39">
        <f>+'Vol Exc.'!T28</f>
        <v>54.420801248125635</v>
      </c>
      <c r="E11" s="38">
        <f t="shared" si="0"/>
        <v>11938891.757763894</v>
      </c>
      <c r="F11" s="50"/>
    </row>
    <row r="12" spans="1:6" x14ac:dyDescent="0.25">
      <c r="A12" s="36" t="s">
        <v>95</v>
      </c>
      <c r="B12" s="36" t="s">
        <v>110</v>
      </c>
      <c r="C12" s="37">
        <v>281997.19799999997</v>
      </c>
      <c r="D12" s="39">
        <f>+'Vol Exc.'!S28</f>
        <v>54.420801248125635</v>
      </c>
      <c r="E12" s="38">
        <f t="shared" si="0"/>
        <v>15346513.46488633</v>
      </c>
      <c r="F12" s="50"/>
    </row>
    <row r="13" spans="1:6" x14ac:dyDescent="0.25">
      <c r="C13" s="37"/>
      <c r="E13" s="38"/>
      <c r="F13" s="50"/>
    </row>
    <row r="14" spans="1:6" x14ac:dyDescent="0.25">
      <c r="A14" s="40" t="s">
        <v>111</v>
      </c>
      <c r="C14" s="37"/>
      <c r="E14" s="38"/>
      <c r="F14" s="50"/>
    </row>
    <row r="15" spans="1:6" x14ac:dyDescent="0.25">
      <c r="A15" s="36" t="s">
        <v>112</v>
      </c>
      <c r="B15" s="36" t="s">
        <v>108</v>
      </c>
      <c r="C15" s="37">
        <v>49047.24</v>
      </c>
      <c r="D15" s="39">
        <f>Tuberia!I6</f>
        <v>245.08304408543697</v>
      </c>
      <c r="E15" s="38">
        <f t="shared" si="0"/>
        <v>12020646.883189008</v>
      </c>
      <c r="F15" s="50"/>
    </row>
    <row r="16" spans="1:6" x14ac:dyDescent="0.25">
      <c r="A16" s="36" t="s">
        <v>113</v>
      </c>
      <c r="B16" s="36" t="s">
        <v>108</v>
      </c>
      <c r="C16" s="37">
        <v>60693.16</v>
      </c>
      <c r="D16" s="39">
        <f>+Tuberia!J6</f>
        <v>270.48929376709702</v>
      </c>
      <c r="E16" s="38">
        <f t="shared" si="0"/>
        <v>16416849.984893423</v>
      </c>
      <c r="F16" s="50"/>
    </row>
    <row r="17" spans="1:6" x14ac:dyDescent="0.25">
      <c r="A17" s="36" t="s">
        <v>114</v>
      </c>
      <c r="B17" s="36" t="s">
        <v>108</v>
      </c>
      <c r="C17" s="37">
        <v>91518.2</v>
      </c>
      <c r="D17" s="39">
        <f>+Tuberia!K6</f>
        <v>56.802454031494094</v>
      </c>
      <c r="E17" s="38">
        <f t="shared" si="0"/>
        <v>5198458.3485450828</v>
      </c>
      <c r="F17" s="50"/>
    </row>
    <row r="18" spans="1:6" x14ac:dyDescent="0.25">
      <c r="A18" s="36" t="s">
        <v>115</v>
      </c>
      <c r="B18" s="36" t="s">
        <v>108</v>
      </c>
      <c r="C18" s="37">
        <v>98186.1</v>
      </c>
      <c r="D18" s="39">
        <f>+Tuberia!L6</f>
        <v>479.56937543737774</v>
      </c>
      <c r="E18" s="38">
        <f t="shared" si="0"/>
        <v>47087046.653631918</v>
      </c>
      <c r="F18" s="50"/>
    </row>
    <row r="19" spans="1:6" x14ac:dyDescent="0.25">
      <c r="C19" s="37"/>
      <c r="E19" s="38"/>
      <c r="F19" s="50"/>
    </row>
    <row r="20" spans="1:6" x14ac:dyDescent="0.25">
      <c r="C20" s="37"/>
      <c r="E20" s="38"/>
      <c r="F20" s="50"/>
    </row>
    <row r="21" spans="1:6" x14ac:dyDescent="0.25">
      <c r="A21" s="40" t="s">
        <v>116</v>
      </c>
      <c r="C21" s="37"/>
      <c r="E21" s="38"/>
      <c r="F21" s="50"/>
    </row>
    <row r="22" spans="1:6" x14ac:dyDescent="0.25">
      <c r="A22" s="36" t="s">
        <v>117</v>
      </c>
      <c r="B22" s="36" t="s">
        <v>118</v>
      </c>
      <c r="C22" s="37">
        <v>278891.28000000003</v>
      </c>
      <c r="D22" s="39">
        <v>29</v>
      </c>
      <c r="E22" s="38">
        <f>D22*C22</f>
        <v>8087847.120000001</v>
      </c>
      <c r="F22" s="50"/>
    </row>
    <row r="23" spans="1:6" x14ac:dyDescent="0.25">
      <c r="A23" s="36" t="s">
        <v>98</v>
      </c>
      <c r="B23" s="36" t="s">
        <v>118</v>
      </c>
      <c r="C23" s="37">
        <v>941639.82</v>
      </c>
      <c r="D23" s="39">
        <f>+Pozos!N33</f>
        <v>20</v>
      </c>
      <c r="E23" s="38">
        <f t="shared" si="0"/>
        <v>18832796.399999999</v>
      </c>
      <c r="F23" s="50"/>
    </row>
    <row r="24" spans="1:6" x14ac:dyDescent="0.25">
      <c r="A24" s="36" t="s">
        <v>99</v>
      </c>
      <c r="B24" s="36" t="s">
        <v>118</v>
      </c>
      <c r="C24" s="37">
        <v>1029299.8</v>
      </c>
      <c r="D24" s="39">
        <f>+Pozos!O33</f>
        <v>7</v>
      </c>
      <c r="E24" s="38">
        <f t="shared" si="0"/>
        <v>7205098.6000000006</v>
      </c>
      <c r="F24" s="50"/>
    </row>
    <row r="25" spans="1:6" x14ac:dyDescent="0.25">
      <c r="A25" s="36" t="s">
        <v>100</v>
      </c>
      <c r="B25" s="36" t="s">
        <v>118</v>
      </c>
      <c r="C25" s="37">
        <v>1136403.58</v>
      </c>
      <c r="D25" s="39">
        <f>+Pozos!P33</f>
        <v>2</v>
      </c>
      <c r="E25" s="38">
        <f t="shared" si="0"/>
        <v>2272807.16</v>
      </c>
      <c r="F25" s="50"/>
    </row>
    <row r="26" spans="1:6" x14ac:dyDescent="0.25">
      <c r="A26" s="36" t="s">
        <v>101</v>
      </c>
      <c r="B26" s="36" t="s">
        <v>118</v>
      </c>
      <c r="C26" s="37">
        <v>1268519.6200000001</v>
      </c>
      <c r="D26" s="39">
        <f>+Pozos!Q33</f>
        <v>0</v>
      </c>
      <c r="E26" s="38">
        <f t="shared" si="0"/>
        <v>0</v>
      </c>
      <c r="F26" s="50"/>
    </row>
    <row r="27" spans="1:6" x14ac:dyDescent="0.25">
      <c r="A27" s="36" t="s">
        <v>102</v>
      </c>
      <c r="B27" s="36" t="s">
        <v>118</v>
      </c>
      <c r="C27" s="37">
        <v>1379878.64</v>
      </c>
      <c r="D27" s="39">
        <f>+Pozos!R33</f>
        <v>0</v>
      </c>
      <c r="E27" s="38">
        <f t="shared" si="0"/>
        <v>0</v>
      </c>
      <c r="F27" s="50"/>
    </row>
    <row r="28" spans="1:6" x14ac:dyDescent="0.25">
      <c r="A28" s="36" t="s">
        <v>103</v>
      </c>
      <c r="B28" s="36" t="s">
        <v>118</v>
      </c>
      <c r="C28" s="37">
        <v>1489384.9</v>
      </c>
      <c r="D28" s="39">
        <f>+Pozos!S33</f>
        <v>0</v>
      </c>
      <c r="E28" s="38">
        <f t="shared" si="0"/>
        <v>0</v>
      </c>
      <c r="F28" s="50"/>
    </row>
    <row r="30" spans="1:6" x14ac:dyDescent="0.25">
      <c r="D30" s="42" t="s">
        <v>65</v>
      </c>
      <c r="E30" s="41">
        <f>+SUM(E4:E28)</f>
        <v>170189427.5186801</v>
      </c>
    </row>
  </sheetData>
  <autoFilter ref="A1:F30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Pozos</vt:lpstr>
      <vt:lpstr>Tuberia</vt:lpstr>
      <vt:lpstr>Condicionales</vt:lpstr>
      <vt:lpstr>Vol Exc.</vt:lpstr>
      <vt:lpstr>Hoja1</vt:lpstr>
      <vt:lpstr>Hoja3</vt:lpstr>
      <vt:lpstr>Hoja2</vt:lpstr>
      <vt:lpstr>Presupuesto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Marilyn Avila Salgado</dc:creator>
  <cp:lastModifiedBy>Marilyn Avila Salgado</cp:lastModifiedBy>
  <dcterms:created xsi:type="dcterms:W3CDTF">2015-03-04T16:46:11Z</dcterms:created>
  <dcterms:modified xsi:type="dcterms:W3CDTF">2015-10-19T15:56:22Z</dcterms:modified>
</cp:coreProperties>
</file>