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 N T\AppData\Local\Packages\microsoft.windowscommunicationsapps_8wekyb3d8bbwe\LocalState\Files\S0\6\"/>
    </mc:Choice>
  </mc:AlternateContent>
  <bookViews>
    <workbookView xWindow="0" yWindow="0" windowWidth="16680" windowHeight="7140"/>
  </bookViews>
  <sheets>
    <sheet name="Flujo de Caja" sheetId="1" r:id="rId1"/>
    <sheet name="Costos" sheetId="2" r:id="rId2"/>
    <sheet name="Amortización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2" i="1" l="1"/>
  <c r="C8" i="1" l="1"/>
  <c r="D10" i="1"/>
  <c r="D37" i="1" s="1"/>
  <c r="D15" i="2"/>
  <c r="F4" i="2"/>
  <c r="F5" i="2"/>
  <c r="F6" i="2"/>
  <c r="F7" i="2"/>
  <c r="F8" i="2"/>
  <c r="F9" i="2"/>
  <c r="F10" i="2"/>
  <c r="F11" i="2"/>
  <c r="F12" i="2"/>
  <c r="F13" i="2"/>
  <c r="F14" i="2"/>
  <c r="I5" i="2" s="1"/>
  <c r="F15" i="2"/>
  <c r="F16" i="2"/>
  <c r="F17" i="2"/>
  <c r="F18" i="2"/>
  <c r="D14" i="1" s="1"/>
  <c r="F19" i="2"/>
  <c r="F3" i="2"/>
  <c r="D16" i="1"/>
  <c r="I6" i="2"/>
  <c r="I4" i="2"/>
  <c r="I3" i="2"/>
  <c r="E4" i="2"/>
  <c r="E5" i="2"/>
  <c r="E6" i="2"/>
  <c r="E7" i="2"/>
  <c r="E8" i="2"/>
  <c r="E9" i="2"/>
  <c r="E10" i="2"/>
  <c r="E11" i="2"/>
  <c r="E12" i="2"/>
  <c r="E13" i="2"/>
  <c r="E14" i="2"/>
  <c r="E16" i="2"/>
  <c r="E17" i="2"/>
  <c r="E18" i="2"/>
  <c r="E19" i="2"/>
  <c r="E3" i="2"/>
  <c r="E15" i="2"/>
  <c r="E1" i="3"/>
  <c r="G12" i="1" l="1"/>
  <c r="O12" i="1"/>
  <c r="W12" i="1"/>
  <c r="AE12" i="1"/>
  <c r="J12" i="1"/>
  <c r="R12" i="1"/>
  <c r="Z12" i="1"/>
  <c r="D12" i="1"/>
  <c r="K12" i="1"/>
  <c r="S12" i="1"/>
  <c r="AA12" i="1"/>
  <c r="H12" i="1"/>
  <c r="F12" i="1"/>
  <c r="N12" i="1"/>
  <c r="V12" i="1"/>
  <c r="AD12" i="1"/>
  <c r="AG12" i="1"/>
  <c r="AC12" i="1"/>
  <c r="Y12" i="1"/>
  <c r="U12" i="1"/>
  <c r="Q12" i="1"/>
  <c r="M12" i="1"/>
  <c r="I12" i="1"/>
  <c r="E12" i="1"/>
  <c r="AF12" i="1"/>
  <c r="AB12" i="1"/>
  <c r="X12" i="1"/>
  <c r="T12" i="1"/>
  <c r="P12" i="1"/>
  <c r="L12" i="1"/>
  <c r="T14" i="1"/>
  <c r="P14" i="1"/>
  <c r="AF14" i="1"/>
  <c r="H14" i="1"/>
  <c r="X14" i="1"/>
  <c r="L14" i="1"/>
  <c r="AB14" i="1"/>
  <c r="E14" i="1"/>
  <c r="AG16" i="1"/>
  <c r="H16" i="1"/>
  <c r="L16" i="1"/>
  <c r="P16" i="1"/>
  <c r="T16" i="1"/>
  <c r="X16" i="1"/>
  <c r="AB16" i="1"/>
  <c r="AF16" i="1"/>
  <c r="S16" i="1"/>
  <c r="AE16" i="1"/>
  <c r="E16" i="1"/>
  <c r="I16" i="1"/>
  <c r="M16" i="1"/>
  <c r="Q16" i="1"/>
  <c r="U16" i="1"/>
  <c r="Y16" i="1"/>
  <c r="AC16" i="1"/>
  <c r="K16" i="1"/>
  <c r="W16" i="1"/>
  <c r="F16" i="1"/>
  <c r="J16" i="1"/>
  <c r="N16" i="1"/>
  <c r="R16" i="1"/>
  <c r="V16" i="1"/>
  <c r="Z16" i="1"/>
  <c r="AD16" i="1"/>
  <c r="G16" i="1"/>
  <c r="O16" i="1"/>
  <c r="AA16" i="1"/>
  <c r="AE14" i="1"/>
  <c r="AA14" i="1"/>
  <c r="W14" i="1"/>
  <c r="S14" i="1"/>
  <c r="O14" i="1"/>
  <c r="K14" i="1"/>
  <c r="G14" i="1"/>
  <c r="AD14" i="1"/>
  <c r="Z14" i="1"/>
  <c r="V14" i="1"/>
  <c r="R14" i="1"/>
  <c r="N14" i="1"/>
  <c r="J14" i="1"/>
  <c r="F14" i="1"/>
  <c r="AG14" i="1"/>
  <c r="AC14" i="1"/>
  <c r="Y14" i="1"/>
  <c r="U14" i="1"/>
  <c r="Q14" i="1"/>
  <c r="M14" i="1"/>
  <c r="I14" i="1"/>
  <c r="C31" i="1" l="1"/>
  <c r="AG26" i="1" s="1"/>
  <c r="C30" i="1"/>
  <c r="E10" i="1"/>
  <c r="E37" i="1" s="1"/>
  <c r="F10" i="1"/>
  <c r="F37" i="1" s="1"/>
  <c r="G10" i="1"/>
  <c r="G37" i="1" s="1"/>
  <c r="H10" i="1"/>
  <c r="H37" i="1" s="1"/>
  <c r="I10" i="1"/>
  <c r="I37" i="1" s="1"/>
  <c r="J10" i="1"/>
  <c r="J37" i="1" s="1"/>
  <c r="K10" i="1"/>
  <c r="K37" i="1" s="1"/>
  <c r="L10" i="1"/>
  <c r="L37" i="1" s="1"/>
  <c r="M10" i="1"/>
  <c r="M37" i="1" s="1"/>
  <c r="N10" i="1"/>
  <c r="N37" i="1" s="1"/>
  <c r="O10" i="1"/>
  <c r="O37" i="1" s="1"/>
  <c r="P10" i="1"/>
  <c r="P37" i="1" s="1"/>
  <c r="Q10" i="1"/>
  <c r="Q37" i="1" s="1"/>
  <c r="R10" i="1"/>
  <c r="R37" i="1" s="1"/>
  <c r="S10" i="1"/>
  <c r="S37" i="1" s="1"/>
  <c r="T10" i="1"/>
  <c r="T37" i="1" s="1"/>
  <c r="U10" i="1"/>
  <c r="U37" i="1" s="1"/>
  <c r="V10" i="1"/>
  <c r="V37" i="1" s="1"/>
  <c r="W10" i="1"/>
  <c r="W37" i="1" s="1"/>
  <c r="X10" i="1"/>
  <c r="X37" i="1" s="1"/>
  <c r="Y10" i="1"/>
  <c r="Y37" i="1" s="1"/>
  <c r="Z10" i="1"/>
  <c r="Z37" i="1" s="1"/>
  <c r="AA10" i="1"/>
  <c r="AA37" i="1" s="1"/>
  <c r="AB10" i="1"/>
  <c r="AB37" i="1" s="1"/>
  <c r="AC10" i="1"/>
  <c r="AC37" i="1" s="1"/>
  <c r="AD10" i="1"/>
  <c r="AD37" i="1" s="1"/>
  <c r="AE10" i="1"/>
  <c r="AE37" i="1" s="1"/>
  <c r="AF10" i="1"/>
  <c r="AF37" i="1" s="1"/>
  <c r="AG10" i="1"/>
  <c r="AG37" i="1" s="1"/>
  <c r="AG24" i="1" l="1"/>
  <c r="D13" i="1"/>
  <c r="D23" i="1" s="1"/>
  <c r="G13" i="1"/>
  <c r="G23" i="1" s="1"/>
  <c r="K13" i="1"/>
  <c r="K23" i="1" s="1"/>
  <c r="O13" i="1"/>
  <c r="O23" i="1" s="1"/>
  <c r="S13" i="1"/>
  <c r="S23" i="1" s="1"/>
  <c r="W13" i="1"/>
  <c r="W23" i="1" s="1"/>
  <c r="AA13" i="1"/>
  <c r="AA23" i="1" s="1"/>
  <c r="AE13" i="1"/>
  <c r="AE23" i="1" s="1"/>
  <c r="AB13" i="1"/>
  <c r="AB23" i="1" s="1"/>
  <c r="J13" i="1"/>
  <c r="J23" i="1" s="1"/>
  <c r="V13" i="1"/>
  <c r="V23" i="1" s="1"/>
  <c r="H13" i="1"/>
  <c r="H23" i="1" s="1"/>
  <c r="L13" i="1"/>
  <c r="L23" i="1" s="1"/>
  <c r="P13" i="1"/>
  <c r="P23" i="1" s="1"/>
  <c r="T13" i="1"/>
  <c r="T23" i="1" s="1"/>
  <c r="X13" i="1"/>
  <c r="X23" i="1" s="1"/>
  <c r="AF13" i="1"/>
  <c r="AF23" i="1" s="1"/>
  <c r="N13" i="1"/>
  <c r="N23" i="1" s="1"/>
  <c r="AD13" i="1"/>
  <c r="AD23" i="1" s="1"/>
  <c r="E13" i="1"/>
  <c r="E23" i="1" s="1"/>
  <c r="I13" i="1"/>
  <c r="I23" i="1" s="1"/>
  <c r="M13" i="1"/>
  <c r="M23" i="1" s="1"/>
  <c r="Q13" i="1"/>
  <c r="Q23" i="1" s="1"/>
  <c r="U13" i="1"/>
  <c r="U23" i="1" s="1"/>
  <c r="Y13" i="1"/>
  <c r="Y23" i="1" s="1"/>
  <c r="AC13" i="1"/>
  <c r="AC23" i="1" s="1"/>
  <c r="AG13" i="1"/>
  <c r="AG23" i="1" s="1"/>
  <c r="F13" i="1"/>
  <c r="F23" i="1" s="1"/>
  <c r="R13" i="1"/>
  <c r="R23" i="1" s="1"/>
  <c r="Z13" i="1"/>
  <c r="Z23" i="1" s="1"/>
  <c r="C32" i="1"/>
  <c r="C29" i="1"/>
  <c r="D15" i="1" l="1"/>
  <c r="C39" i="1"/>
  <c r="C38" i="1"/>
  <c r="D25" i="1"/>
  <c r="C33" i="1"/>
  <c r="C37" i="1" s="1"/>
  <c r="G15" i="1"/>
  <c r="K15" i="1"/>
  <c r="O15" i="1"/>
  <c r="S15" i="1"/>
  <c r="W15" i="1"/>
  <c r="AA15" i="1"/>
  <c r="AE15" i="1"/>
  <c r="I15" i="1"/>
  <c r="Q15" i="1"/>
  <c r="Y15" i="1"/>
  <c r="AC15" i="1"/>
  <c r="F15" i="1"/>
  <c r="J15" i="1"/>
  <c r="R15" i="1"/>
  <c r="V15" i="1"/>
  <c r="Z15" i="1"/>
  <c r="H15" i="1"/>
  <c r="L15" i="1"/>
  <c r="P15" i="1"/>
  <c r="T15" i="1"/>
  <c r="X15" i="1"/>
  <c r="AB15" i="1"/>
  <c r="AF15" i="1"/>
  <c r="E15" i="1"/>
  <c r="M15" i="1"/>
  <c r="U15" i="1"/>
  <c r="AG15" i="1"/>
  <c r="N15" i="1"/>
  <c r="AD15" i="1"/>
  <c r="F3" i="3" l="1"/>
  <c r="C35" i="1"/>
  <c r="C36" i="1" s="1"/>
  <c r="AD25" i="1"/>
  <c r="M25" i="1"/>
  <c r="X25" i="1"/>
  <c r="H25" i="1"/>
  <c r="J25" i="1"/>
  <c r="Q25" i="1"/>
  <c r="AA25" i="1"/>
  <c r="K25" i="1"/>
  <c r="N25" i="1"/>
  <c r="E25" i="1"/>
  <c r="T25" i="1"/>
  <c r="Z25" i="1"/>
  <c r="F25" i="1"/>
  <c r="I25" i="1"/>
  <c r="W25" i="1"/>
  <c r="G25" i="1"/>
  <c r="AG25" i="1"/>
  <c r="AF25" i="1"/>
  <c r="P25" i="1"/>
  <c r="V25" i="1"/>
  <c r="AC25" i="1"/>
  <c r="S25" i="1"/>
  <c r="U25" i="1"/>
  <c r="AB25" i="1"/>
  <c r="L25" i="1"/>
  <c r="R25" i="1"/>
  <c r="Y25" i="1"/>
  <c r="AE25" i="1"/>
  <c r="O25" i="1"/>
  <c r="D4" i="3" l="1"/>
  <c r="D17" i="1" s="1"/>
  <c r="C19" i="3"/>
  <c r="C27" i="3"/>
  <c r="C15" i="3"/>
  <c r="C31" i="3"/>
  <c r="C7" i="3"/>
  <c r="C23" i="3"/>
  <c r="C11" i="3"/>
  <c r="C26" i="3"/>
  <c r="C10" i="3"/>
  <c r="C25" i="3"/>
  <c r="C9" i="3"/>
  <c r="C24" i="3"/>
  <c r="C8" i="3"/>
  <c r="C22" i="3"/>
  <c r="C6" i="3"/>
  <c r="C21" i="3"/>
  <c r="C5" i="3"/>
  <c r="C20" i="3"/>
  <c r="C4" i="3"/>
  <c r="C18" i="3"/>
  <c r="C33" i="3"/>
  <c r="C17" i="3"/>
  <c r="C32" i="3"/>
  <c r="C16" i="3"/>
  <c r="C30" i="3"/>
  <c r="C14" i="3"/>
  <c r="C29" i="3"/>
  <c r="C13" i="3"/>
  <c r="C28" i="3"/>
  <c r="C12" i="3"/>
  <c r="D18" i="1" l="1"/>
  <c r="D19" i="1" s="1"/>
  <c r="D20" i="1" s="1"/>
  <c r="D11" i="1"/>
  <c r="D39" i="1" s="1"/>
  <c r="E4" i="3"/>
  <c r="F4" i="3" s="1"/>
  <c r="D5" i="3" s="1"/>
  <c r="E17" i="1" s="1"/>
  <c r="E11" i="1" s="1"/>
  <c r="E39" i="1" s="1"/>
  <c r="C7" i="1"/>
  <c r="D21" i="1" s="1"/>
  <c r="D38" i="1" l="1"/>
  <c r="D35" i="1"/>
  <c r="E21" i="1"/>
  <c r="E18" i="1"/>
  <c r="E19" i="1" s="1"/>
  <c r="E20" i="1" s="1"/>
  <c r="E5" i="3"/>
  <c r="F5" i="3" s="1"/>
  <c r="D6" i="3" s="1"/>
  <c r="E38" i="1" l="1"/>
  <c r="D36" i="1"/>
  <c r="E35" i="1"/>
  <c r="E36" i="1" s="1"/>
  <c r="F17" i="1"/>
  <c r="F11" i="1" s="1"/>
  <c r="F39" i="1" s="1"/>
  <c r="E6" i="3"/>
  <c r="F6" i="3" s="1"/>
  <c r="D7" i="3" s="1"/>
  <c r="G17" i="1" l="1"/>
  <c r="G11" i="1" s="1"/>
  <c r="G39" i="1" s="1"/>
  <c r="E7" i="3"/>
  <c r="F7" i="3" s="1"/>
  <c r="D8" i="3" s="1"/>
  <c r="F21" i="1"/>
  <c r="F18" i="1"/>
  <c r="F19" i="1" s="1"/>
  <c r="F20" i="1" s="1"/>
  <c r="F38" i="1" l="1"/>
  <c r="F35" i="1"/>
  <c r="H17" i="1"/>
  <c r="H11" i="1" s="1"/>
  <c r="H39" i="1" s="1"/>
  <c r="E8" i="3"/>
  <c r="F8" i="3" s="1"/>
  <c r="D9" i="3" s="1"/>
  <c r="G21" i="1"/>
  <c r="G18" i="1"/>
  <c r="G19" i="1" s="1"/>
  <c r="G20" i="1" s="1"/>
  <c r="G38" i="1" l="1"/>
  <c r="F36" i="1"/>
  <c r="G35" i="1"/>
  <c r="G36" i="1" s="1"/>
  <c r="I17" i="1"/>
  <c r="I11" i="1" s="1"/>
  <c r="I39" i="1" s="1"/>
  <c r="E9" i="3"/>
  <c r="F9" i="3" s="1"/>
  <c r="D10" i="3" s="1"/>
  <c r="H21" i="1"/>
  <c r="H18" i="1"/>
  <c r="H19" i="1" s="1"/>
  <c r="H20" i="1" s="1"/>
  <c r="H38" i="1" l="1"/>
  <c r="H35" i="1"/>
  <c r="H36" i="1" s="1"/>
  <c r="J17" i="1"/>
  <c r="J11" i="1" s="1"/>
  <c r="J39" i="1" s="1"/>
  <c r="E10" i="3"/>
  <c r="F10" i="3" s="1"/>
  <c r="D11" i="3" s="1"/>
  <c r="I21" i="1"/>
  <c r="I18" i="1"/>
  <c r="I19" i="1" s="1"/>
  <c r="I20" i="1" s="1"/>
  <c r="I38" i="1" l="1"/>
  <c r="I35" i="1"/>
  <c r="I36" i="1" s="1"/>
  <c r="E11" i="3"/>
  <c r="F11" i="3" s="1"/>
  <c r="D12" i="3" s="1"/>
  <c r="K17" i="1"/>
  <c r="K11" i="1" s="1"/>
  <c r="K39" i="1" s="1"/>
  <c r="J21" i="1"/>
  <c r="J18" i="1"/>
  <c r="J19" i="1" s="1"/>
  <c r="J20" i="1" s="1"/>
  <c r="J38" i="1" l="1"/>
  <c r="J35" i="1"/>
  <c r="J36" i="1" s="1"/>
  <c r="K21" i="1"/>
  <c r="K18" i="1"/>
  <c r="K19" i="1" s="1"/>
  <c r="K20" i="1" s="1"/>
  <c r="E12" i="3"/>
  <c r="F12" i="3" s="1"/>
  <c r="D13" i="3" s="1"/>
  <c r="L17" i="1"/>
  <c r="L11" i="1" s="1"/>
  <c r="L39" i="1" s="1"/>
  <c r="K38" i="1" l="1"/>
  <c r="K35" i="1"/>
  <c r="K36" i="1" s="1"/>
  <c r="E13" i="3"/>
  <c r="F13" i="3" s="1"/>
  <c r="D14" i="3" s="1"/>
  <c r="M17" i="1"/>
  <c r="M11" i="1" s="1"/>
  <c r="M39" i="1" s="1"/>
  <c r="L21" i="1"/>
  <c r="L18" i="1"/>
  <c r="L19" i="1" s="1"/>
  <c r="L20" i="1" s="1"/>
  <c r="L38" i="1" l="1"/>
  <c r="L35" i="1"/>
  <c r="L36" i="1" s="1"/>
  <c r="M21" i="1"/>
  <c r="M18" i="1"/>
  <c r="E14" i="3"/>
  <c r="F14" i="3" s="1"/>
  <c r="D15" i="3" s="1"/>
  <c r="N17" i="1"/>
  <c r="N11" i="1" s="1"/>
  <c r="N39" i="1" s="1"/>
  <c r="E15" i="3" l="1"/>
  <c r="F15" i="3" s="1"/>
  <c r="O17" i="1"/>
  <c r="O11" i="1" s="1"/>
  <c r="O39" i="1" s="1"/>
  <c r="M19" i="1"/>
  <c r="N21" i="1"/>
  <c r="N18" i="1"/>
  <c r="M20" i="1" l="1"/>
  <c r="M35" i="1" s="1"/>
  <c r="M36" i="1" s="1"/>
  <c r="M38" i="1"/>
  <c r="O21" i="1"/>
  <c r="O18" i="1"/>
  <c r="O19" i="1" s="1"/>
  <c r="O20" i="1" s="1"/>
  <c r="N19" i="1"/>
  <c r="D16" i="3"/>
  <c r="O38" i="1" l="1"/>
  <c r="N20" i="1"/>
  <c r="N35" i="1" s="1"/>
  <c r="N36" i="1" s="1"/>
  <c r="N38" i="1"/>
  <c r="O35" i="1"/>
  <c r="O36" i="1" s="1"/>
  <c r="E16" i="3"/>
  <c r="P17" i="1"/>
  <c r="P18" i="1" l="1"/>
  <c r="P19" i="1" s="1"/>
  <c r="P20" i="1" s="1"/>
  <c r="P11" i="1"/>
  <c r="P39" i="1" s="1"/>
  <c r="P21" i="1"/>
  <c r="F16" i="3"/>
  <c r="D17" i="3" s="1"/>
  <c r="P35" i="1" l="1"/>
  <c r="P36" i="1" s="1"/>
  <c r="P38" i="1"/>
  <c r="E17" i="3"/>
  <c r="F17" i="3" s="1"/>
  <c r="D18" i="3" s="1"/>
  <c r="Q17" i="1"/>
  <c r="Q11" i="1" s="1"/>
  <c r="Q39" i="1" s="1"/>
  <c r="Q21" i="1" l="1"/>
  <c r="Q18" i="1"/>
  <c r="Q19" i="1" s="1"/>
  <c r="Q20" i="1" s="1"/>
  <c r="E18" i="3"/>
  <c r="F18" i="3" s="1"/>
  <c r="D19" i="3" s="1"/>
  <c r="R17" i="1"/>
  <c r="R11" i="1" s="1"/>
  <c r="R39" i="1" s="1"/>
  <c r="Q38" i="1" l="1"/>
  <c r="Q35" i="1"/>
  <c r="Q36" i="1" s="1"/>
  <c r="R21" i="1"/>
  <c r="R18" i="1"/>
  <c r="R19" i="1" s="1"/>
  <c r="R20" i="1" s="1"/>
  <c r="S17" i="1"/>
  <c r="S11" i="1" s="1"/>
  <c r="S39" i="1" s="1"/>
  <c r="E19" i="3"/>
  <c r="F19" i="3" s="1"/>
  <c r="D20" i="3" s="1"/>
  <c r="R38" i="1" l="1"/>
  <c r="R35" i="1"/>
  <c r="R36" i="1" s="1"/>
  <c r="E20" i="3"/>
  <c r="F20" i="3" s="1"/>
  <c r="D21" i="3" s="1"/>
  <c r="T17" i="1"/>
  <c r="T11" i="1" s="1"/>
  <c r="T39" i="1" s="1"/>
  <c r="S21" i="1"/>
  <c r="S18" i="1"/>
  <c r="S19" i="1" s="1"/>
  <c r="S20" i="1" s="1"/>
  <c r="S38" i="1" l="1"/>
  <c r="T21" i="1"/>
  <c r="T18" i="1"/>
  <c r="E21" i="3"/>
  <c r="F21" i="3" s="1"/>
  <c r="D22" i="3" s="1"/>
  <c r="U17" i="1"/>
  <c r="U11" i="1" s="1"/>
  <c r="U39" i="1" s="1"/>
  <c r="S35" i="1"/>
  <c r="S36" i="1" s="1"/>
  <c r="E22" i="3" l="1"/>
  <c r="F22" i="3" s="1"/>
  <c r="D23" i="3" s="1"/>
  <c r="V17" i="1"/>
  <c r="V11" i="1" s="1"/>
  <c r="V39" i="1" s="1"/>
  <c r="T19" i="1"/>
  <c r="U21" i="1"/>
  <c r="U18" i="1"/>
  <c r="U19" i="1" s="1"/>
  <c r="U20" i="1" s="1"/>
  <c r="U38" i="1" l="1"/>
  <c r="T20" i="1"/>
  <c r="T35" i="1" s="1"/>
  <c r="T36" i="1" s="1"/>
  <c r="T38" i="1"/>
  <c r="U35" i="1"/>
  <c r="U36" i="1" s="1"/>
  <c r="V21" i="1"/>
  <c r="V18" i="1"/>
  <c r="V19" i="1" s="1"/>
  <c r="V20" i="1" s="1"/>
  <c r="E23" i="3"/>
  <c r="F23" i="3" s="1"/>
  <c r="D24" i="3" s="1"/>
  <c r="W17" i="1"/>
  <c r="W11" i="1" s="1"/>
  <c r="W39" i="1" s="1"/>
  <c r="V38" i="1" l="1"/>
  <c r="V35" i="1"/>
  <c r="V36" i="1" s="1"/>
  <c r="W21" i="1"/>
  <c r="W18" i="1"/>
  <c r="W19" i="1" s="1"/>
  <c r="W20" i="1" s="1"/>
  <c r="X17" i="1"/>
  <c r="X11" i="1" s="1"/>
  <c r="X39" i="1" s="1"/>
  <c r="E24" i="3"/>
  <c r="F24" i="3" s="1"/>
  <c r="D25" i="3" s="1"/>
  <c r="W38" i="1" l="1"/>
  <c r="W35" i="1"/>
  <c r="W36" i="1" s="1"/>
  <c r="E25" i="3"/>
  <c r="F25" i="3" s="1"/>
  <c r="D26" i="3" s="1"/>
  <c r="Y17" i="1"/>
  <c r="Y11" i="1" s="1"/>
  <c r="Y39" i="1" s="1"/>
  <c r="X21" i="1"/>
  <c r="X18" i="1"/>
  <c r="X19" i="1" s="1"/>
  <c r="X20" i="1" s="1"/>
  <c r="X38" i="1" l="1"/>
  <c r="X35" i="1"/>
  <c r="X36" i="1" s="1"/>
  <c r="Y21" i="1"/>
  <c r="Y18" i="1"/>
  <c r="Y19" i="1" s="1"/>
  <c r="Y20" i="1" s="1"/>
  <c r="E26" i="3"/>
  <c r="F26" i="3" s="1"/>
  <c r="D27" i="3" s="1"/>
  <c r="Z17" i="1"/>
  <c r="Z11" i="1" s="1"/>
  <c r="Z39" i="1" s="1"/>
  <c r="Y38" i="1" l="1"/>
  <c r="Y35" i="1"/>
  <c r="Y36" i="1" s="1"/>
  <c r="E27" i="3"/>
  <c r="F27" i="3" s="1"/>
  <c r="D28" i="3" s="1"/>
  <c r="AA17" i="1"/>
  <c r="AA11" i="1" s="1"/>
  <c r="AA39" i="1" s="1"/>
  <c r="Z21" i="1"/>
  <c r="Z18" i="1"/>
  <c r="Z19" i="1" s="1"/>
  <c r="Z20" i="1" s="1"/>
  <c r="Z38" i="1" l="1"/>
  <c r="Z35" i="1"/>
  <c r="Z36" i="1" s="1"/>
  <c r="AA21" i="1"/>
  <c r="AA18" i="1"/>
  <c r="E28" i="3"/>
  <c r="F28" i="3" s="1"/>
  <c r="D29" i="3" s="1"/>
  <c r="E29" i="3" s="1"/>
  <c r="F29" i="3" s="1"/>
  <c r="AB17" i="1"/>
  <c r="AB11" i="1" s="1"/>
  <c r="AB39" i="1" s="1"/>
  <c r="AB21" i="1" l="1"/>
  <c r="AB18" i="1"/>
  <c r="AB19" i="1" s="1"/>
  <c r="AB20" i="1" s="1"/>
  <c r="AC17" i="1"/>
  <c r="AC11" i="1" s="1"/>
  <c r="AC39" i="1" s="1"/>
  <c r="AA19" i="1"/>
  <c r="D30" i="3"/>
  <c r="AA20" i="1" l="1"/>
  <c r="AA35" i="1" s="1"/>
  <c r="AA36" i="1" s="1"/>
  <c r="AA38" i="1"/>
  <c r="AB38" i="1"/>
  <c r="AC21" i="1"/>
  <c r="AC18" i="1"/>
  <c r="AC19" i="1" s="1"/>
  <c r="AC20" i="1" s="1"/>
  <c r="AB35" i="1"/>
  <c r="AB36" i="1" s="1"/>
  <c r="E30" i="3"/>
  <c r="F30" i="3" s="1"/>
  <c r="D31" i="3" s="1"/>
  <c r="AD17" i="1"/>
  <c r="AD11" i="1" s="1"/>
  <c r="AD39" i="1" s="1"/>
  <c r="AC38" i="1" l="1"/>
  <c r="AC35" i="1"/>
  <c r="AC36" i="1" s="1"/>
  <c r="AD21" i="1"/>
  <c r="AD18" i="1"/>
  <c r="AD19" i="1" s="1"/>
  <c r="AD20" i="1" s="1"/>
  <c r="E31" i="3"/>
  <c r="F31" i="3" s="1"/>
  <c r="D32" i="3" s="1"/>
  <c r="AE17" i="1"/>
  <c r="AE11" i="1" s="1"/>
  <c r="AE39" i="1" s="1"/>
  <c r="AD38" i="1" l="1"/>
  <c r="AD35" i="1"/>
  <c r="AD36" i="1" s="1"/>
  <c r="AE21" i="1"/>
  <c r="AE18" i="1"/>
  <c r="AE19" i="1" s="1"/>
  <c r="AE20" i="1" s="1"/>
  <c r="E32" i="3"/>
  <c r="F32" i="3" s="1"/>
  <c r="AF17" i="1"/>
  <c r="AF11" i="1" s="1"/>
  <c r="AF39" i="1" s="1"/>
  <c r="AE38" i="1" l="1"/>
  <c r="AE35" i="1"/>
  <c r="AE36" i="1" s="1"/>
  <c r="AF21" i="1"/>
  <c r="AF18" i="1"/>
  <c r="AF19" i="1" s="1"/>
  <c r="AF20" i="1" s="1"/>
  <c r="D33" i="3"/>
  <c r="AF38" i="1" l="1"/>
  <c r="AF35" i="1"/>
  <c r="AF36" i="1" s="1"/>
  <c r="E33" i="3"/>
  <c r="F33" i="3" s="1"/>
  <c r="AG17" i="1"/>
  <c r="AG11" i="1" s="1"/>
  <c r="AG39" i="1" s="1"/>
  <c r="C40" i="1" s="1"/>
  <c r="C46" i="1" s="1"/>
  <c r="AG21" i="1" l="1"/>
  <c r="AG18" i="1"/>
  <c r="AG19" i="1" s="1"/>
  <c r="AG20" i="1" s="1"/>
  <c r="AG38" i="1" l="1"/>
  <c r="C45" i="1" s="1"/>
  <c r="AG35" i="1"/>
  <c r="AG36" i="1" l="1"/>
  <c r="C43" i="1" s="1"/>
  <c r="C44" i="1"/>
</calcChain>
</file>

<file path=xl/sharedStrings.xml><?xml version="1.0" encoding="utf-8"?>
<sst xmlns="http://schemas.openxmlformats.org/spreadsheetml/2006/main" count="85" uniqueCount="76">
  <si>
    <t>Costos Operacionales</t>
  </si>
  <si>
    <t>Egresos Operacionales</t>
  </si>
  <si>
    <t>Ingresos Operacionales</t>
  </si>
  <si>
    <t>Días al año</t>
  </si>
  <si>
    <t>Horas al día</t>
  </si>
  <si>
    <t>Capacidad Instalada [kW]</t>
  </si>
  <si>
    <t>Precio [COP/kW-h]</t>
  </si>
  <si>
    <t>Tasa de Interés EA</t>
  </si>
  <si>
    <t>Costos Depreciación</t>
  </si>
  <si>
    <t>Costos Mantenimiento</t>
  </si>
  <si>
    <t>Gastos Diferidos</t>
  </si>
  <si>
    <t>Gastos Administración</t>
  </si>
  <si>
    <t>Gastos Financieros</t>
  </si>
  <si>
    <t>Utilidad Antes de Impuestos</t>
  </si>
  <si>
    <t>Impuesto a la renta</t>
  </si>
  <si>
    <t>Utilidad Después de Impuestos</t>
  </si>
  <si>
    <t>Impuesto de Renta</t>
  </si>
  <si>
    <t>Abono a la deuda</t>
  </si>
  <si>
    <t>Costos de Depreciación</t>
  </si>
  <si>
    <t>Valor de Salvamento</t>
  </si>
  <si>
    <t>Recuperación de Capital</t>
  </si>
  <si>
    <t>Inversión</t>
  </si>
  <si>
    <t>Estudios</t>
  </si>
  <si>
    <t>Maquinas y Equipos</t>
  </si>
  <si>
    <t>Capital de Trabajo</t>
  </si>
  <si>
    <t>Obras Civiles</t>
  </si>
  <si>
    <t>Costos</t>
  </si>
  <si>
    <t>Rubro</t>
  </si>
  <si>
    <t>Costo USD/kW</t>
  </si>
  <si>
    <t>Costo COP/kW</t>
  </si>
  <si>
    <t>Costo Total COP</t>
  </si>
  <si>
    <t>Costos Preliminares</t>
  </si>
  <si>
    <t>Estructura Bocatoma</t>
  </si>
  <si>
    <t>Canal de conducción al desarenador</t>
  </si>
  <si>
    <t>Estructura Desarenador</t>
  </si>
  <si>
    <t>Cámara Hidráulica</t>
  </si>
  <si>
    <t>Tubería de conducción</t>
  </si>
  <si>
    <t>Casa de Máquinas</t>
  </si>
  <si>
    <t>Obras Eléctricas</t>
  </si>
  <si>
    <t>Subestación</t>
  </si>
  <si>
    <t>Red Eléctrica de Conexión</t>
  </si>
  <si>
    <t>Costos del equipo electromecánico</t>
  </si>
  <si>
    <t>Costos Indirectos</t>
  </si>
  <si>
    <t>Seguros</t>
  </si>
  <si>
    <t>Costo Total de Inversión</t>
  </si>
  <si>
    <t>Gastos Anuales Administración</t>
  </si>
  <si>
    <t>Administración</t>
  </si>
  <si>
    <t>Costos Anuales Operación</t>
  </si>
  <si>
    <t>Operación</t>
  </si>
  <si>
    <t>Costos Anuales Mantenimiento</t>
  </si>
  <si>
    <t>Mantenimiento</t>
  </si>
  <si>
    <t>Seguros Operativos</t>
  </si>
  <si>
    <t>Instalación</t>
  </si>
  <si>
    <t>Financiamiento (40%)</t>
  </si>
  <si>
    <t>Maquinaria y Equipo</t>
  </si>
  <si>
    <t>Período</t>
  </si>
  <si>
    <t>Cuota</t>
  </si>
  <si>
    <t>Interés</t>
  </si>
  <si>
    <t>Abono a Capital</t>
  </si>
  <si>
    <t>Saldo Deuda</t>
  </si>
  <si>
    <t>Tasa de Interés</t>
  </si>
  <si>
    <t>n</t>
  </si>
  <si>
    <t>TIO</t>
  </si>
  <si>
    <t>VPN</t>
  </si>
  <si>
    <t>Total Flujo de Caja</t>
  </si>
  <si>
    <t>Total Flujo de Caja descontado</t>
  </si>
  <si>
    <t>TIR</t>
  </si>
  <si>
    <t>Rubros Totales</t>
  </si>
  <si>
    <t>Periodo</t>
  </si>
  <si>
    <t>B/C</t>
  </si>
  <si>
    <t>Beneficios a periodo 0</t>
  </si>
  <si>
    <t>Costos a periodo 0</t>
  </si>
  <si>
    <t>Egresos Op. a Periodo 0</t>
  </si>
  <si>
    <t>Egresos Total Presente</t>
  </si>
  <si>
    <t>CAUE</t>
  </si>
  <si>
    <t>Energía Generada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</si>
</sst>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$&quot;\ #,##0.00;[Red]\-&quot;$&quot;\ #,##0.00"/>
    <numFmt numFmtId="42" formatCode="_-&quot;$&quot;\ * #,##0_-;\-&quot;$&quot;\ * #,##0_-;_-&quot;$&quot;\ 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8" fontId="0" fillId="0" borderId="0" xfId="0" applyNumberFormat="1"/>
    <xf numFmtId="0" fontId="4" fillId="0" borderId="4" xfId="0" applyFont="1" applyBorder="1" applyAlignment="1">
      <alignment horizontal="left" vertical="center"/>
    </xf>
    <xf numFmtId="8" fontId="4" fillId="0" borderId="2" xfId="0" applyNumberFormat="1" applyFont="1" applyBorder="1" applyAlignment="1">
      <alignment horizontal="left" vertical="center"/>
    </xf>
    <xf numFmtId="8" fontId="3" fillId="0" borderId="2" xfId="0" applyNumberFormat="1" applyFont="1" applyBorder="1" applyAlignment="1">
      <alignment horizontal="left" vertical="center"/>
    </xf>
    <xf numFmtId="10" fontId="0" fillId="0" borderId="0" xfId="0" applyNumberFormat="1"/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3" fillId="0" borderId="10" xfId="0" applyFont="1" applyFill="1" applyBorder="1" applyAlignment="1">
      <alignment horizontal="left" vertical="center"/>
    </xf>
    <xf numFmtId="0" fontId="0" fillId="0" borderId="10" xfId="0" applyBorder="1"/>
    <xf numFmtId="8" fontId="0" fillId="0" borderId="10" xfId="0" applyNumberFormat="1" applyBorder="1"/>
    <xf numFmtId="10" fontId="0" fillId="0" borderId="10" xfId="1" applyNumberFormat="1" applyFont="1" applyBorder="1"/>
    <xf numFmtId="9" fontId="0" fillId="0" borderId="10" xfId="1" applyFont="1" applyBorder="1"/>
    <xf numFmtId="8" fontId="0" fillId="0" borderId="11" xfId="0" applyNumberFormat="1" applyBorder="1"/>
    <xf numFmtId="0" fontId="2" fillId="0" borderId="10" xfId="0" applyFont="1" applyFill="1" applyBorder="1"/>
    <xf numFmtId="0" fontId="2" fillId="0" borderId="10" xfId="0" applyFont="1" applyBorder="1"/>
    <xf numFmtId="0" fontId="2" fillId="0" borderId="11" xfId="0" applyFont="1" applyBorder="1"/>
    <xf numFmtId="0" fontId="2" fillId="0" borderId="10" xfId="0" applyFont="1" applyBorder="1" applyAlignment="1"/>
    <xf numFmtId="0" fontId="4" fillId="0" borderId="1" xfId="0" applyFont="1" applyBorder="1" applyAlignment="1">
      <alignment horizontal="left" vertical="center"/>
    </xf>
    <xf numFmtId="8" fontId="4" fillId="0" borderId="12" xfId="0" applyNumberFormat="1" applyFont="1" applyBorder="1" applyAlignment="1">
      <alignment horizontal="left" vertical="center"/>
    </xf>
    <xf numFmtId="8" fontId="4" fillId="0" borderId="1" xfId="0" applyNumberFormat="1" applyFont="1" applyBorder="1" applyAlignment="1">
      <alignment horizontal="left" vertical="center"/>
    </xf>
    <xf numFmtId="8" fontId="4" fillId="0" borderId="7" xfId="0" applyNumberFormat="1" applyFont="1" applyBorder="1" applyAlignment="1">
      <alignment horizontal="left" vertical="center"/>
    </xf>
    <xf numFmtId="8" fontId="4" fillId="0" borderId="8" xfId="0" applyNumberFormat="1" applyFont="1" applyBorder="1" applyAlignment="1">
      <alignment horizontal="left" vertical="center"/>
    </xf>
    <xf numFmtId="8" fontId="4" fillId="0" borderId="9" xfId="0" applyNumberFormat="1" applyFont="1" applyBorder="1" applyAlignment="1">
      <alignment horizontal="left" vertical="center"/>
    </xf>
    <xf numFmtId="8" fontId="4" fillId="0" borderId="4" xfId="0" applyNumberFormat="1" applyFont="1" applyBorder="1" applyAlignment="1">
      <alignment horizontal="left" vertical="center"/>
    </xf>
    <xf numFmtId="8" fontId="3" fillId="0" borderId="1" xfId="0" applyNumberFormat="1" applyFont="1" applyBorder="1" applyAlignment="1">
      <alignment horizontal="left" vertical="center"/>
    </xf>
    <xf numFmtId="8" fontId="4" fillId="0" borderId="13" xfId="0" applyNumberFormat="1" applyFont="1" applyBorder="1" applyAlignment="1">
      <alignment horizontal="left" vertical="center"/>
    </xf>
    <xf numFmtId="8" fontId="4" fillId="0" borderId="14" xfId="0" applyNumberFormat="1" applyFont="1" applyBorder="1" applyAlignment="1">
      <alignment horizontal="left" vertical="center"/>
    </xf>
    <xf numFmtId="8" fontId="4" fillId="0" borderId="15" xfId="0" applyNumberFormat="1" applyFont="1" applyBorder="1" applyAlignment="1">
      <alignment horizontal="left" vertical="center"/>
    </xf>
    <xf numFmtId="1" fontId="0" fillId="0" borderId="11" xfId="0" applyNumberFormat="1" applyBorder="1"/>
    <xf numFmtId="42" fontId="0" fillId="0" borderId="10" xfId="0" applyNumberFormat="1" applyBorder="1" applyAlignment="1"/>
    <xf numFmtId="42" fontId="0" fillId="0" borderId="10" xfId="0" applyNumberFormat="1" applyBorder="1"/>
    <xf numFmtId="42" fontId="5" fillId="0" borderId="10" xfId="0" applyNumberFormat="1" applyFont="1" applyBorder="1"/>
    <xf numFmtId="42" fontId="2" fillId="0" borderId="10" xfId="0" applyNumberFormat="1" applyFont="1" applyBorder="1"/>
    <xf numFmtId="10" fontId="2" fillId="0" borderId="10" xfId="0" applyNumberFormat="1" applyFont="1" applyBorder="1"/>
    <xf numFmtId="10" fontId="2" fillId="0" borderId="10" xfId="1" applyNumberFormat="1" applyFont="1" applyBorder="1"/>
    <xf numFmtId="42" fontId="2" fillId="0" borderId="10" xfId="0" applyNumberFormat="1" applyFont="1" applyBorder="1" applyAlignment="1"/>
    <xf numFmtId="42" fontId="6" fillId="0" borderId="10" xfId="0" applyNumberFormat="1" applyFont="1" applyBorder="1"/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46"/>
  <sheetViews>
    <sheetView tabSelected="1" zoomScale="85" zoomScaleNormal="85" workbookViewId="0">
      <selection activeCell="D2" sqref="D2"/>
    </sheetView>
  </sheetViews>
  <sheetFormatPr baseColWidth="10" defaultRowHeight="15" x14ac:dyDescent="0.25"/>
  <cols>
    <col min="2" max="2" width="28.85546875" bestFit="1" customWidth="1"/>
    <col min="3" max="3" width="15.85546875" bestFit="1" customWidth="1"/>
    <col min="4" max="6" width="16.7109375" bestFit="1" customWidth="1"/>
    <col min="7" max="7" width="16.7109375" customWidth="1"/>
    <col min="8" max="33" width="16.7109375" bestFit="1" customWidth="1"/>
  </cols>
  <sheetData>
    <row r="1" spans="2:33" x14ac:dyDescent="0.25">
      <c r="B1" s="19" t="s">
        <v>7</v>
      </c>
      <c r="C1" s="15">
        <v>0.13689999999999999</v>
      </c>
    </row>
    <row r="2" spans="2:33" x14ac:dyDescent="0.25">
      <c r="B2" s="19" t="s">
        <v>6</v>
      </c>
      <c r="C2" s="13">
        <v>186.05</v>
      </c>
    </row>
    <row r="3" spans="2:33" x14ac:dyDescent="0.25">
      <c r="B3" s="19" t="s">
        <v>5</v>
      </c>
      <c r="C3" s="13">
        <v>100</v>
      </c>
      <c r="F3" s="3"/>
      <c r="G3" s="3"/>
      <c r="H3" s="3"/>
    </row>
    <row r="4" spans="2:33" x14ac:dyDescent="0.25">
      <c r="B4" s="19" t="s">
        <v>4</v>
      </c>
      <c r="C4" s="13">
        <v>24</v>
      </c>
    </row>
    <row r="5" spans="2:33" x14ac:dyDescent="0.25">
      <c r="B5" s="19" t="s">
        <v>3</v>
      </c>
      <c r="C5" s="13">
        <v>365</v>
      </c>
    </row>
    <row r="6" spans="2:33" x14ac:dyDescent="0.25">
      <c r="B6" s="19" t="s">
        <v>14</v>
      </c>
      <c r="C6" s="16">
        <v>0.33</v>
      </c>
    </row>
    <row r="7" spans="2:33" x14ac:dyDescent="0.25">
      <c r="B7" s="20" t="s">
        <v>56</v>
      </c>
      <c r="C7" s="17">
        <f>Amortización!C4</f>
        <v>33795092.839550629</v>
      </c>
    </row>
    <row r="8" spans="2:33" x14ac:dyDescent="0.25">
      <c r="B8" s="20" t="s">
        <v>75</v>
      </c>
      <c r="C8" s="33">
        <f>C3*C4*C5</f>
        <v>876000</v>
      </c>
    </row>
    <row r="9" spans="2:33" x14ac:dyDescent="0.25">
      <c r="B9" s="18" t="s">
        <v>68</v>
      </c>
      <c r="C9" s="19">
        <v>0</v>
      </c>
      <c r="D9" s="19">
        <v>1</v>
      </c>
      <c r="E9" s="19">
        <v>2</v>
      </c>
      <c r="F9" s="19">
        <v>3</v>
      </c>
      <c r="G9" s="19">
        <v>4</v>
      </c>
      <c r="H9" s="19">
        <v>5</v>
      </c>
      <c r="I9" s="19">
        <v>6</v>
      </c>
      <c r="J9" s="19">
        <v>7</v>
      </c>
      <c r="K9" s="19">
        <v>8</v>
      </c>
      <c r="L9" s="19">
        <v>9</v>
      </c>
      <c r="M9" s="19">
        <v>10</v>
      </c>
      <c r="N9" s="19">
        <v>11</v>
      </c>
      <c r="O9" s="19">
        <v>12</v>
      </c>
      <c r="P9" s="19">
        <v>13</v>
      </c>
      <c r="Q9" s="19">
        <v>14</v>
      </c>
      <c r="R9" s="19">
        <v>15</v>
      </c>
      <c r="S9" s="19">
        <v>16</v>
      </c>
      <c r="T9" s="19">
        <v>17</v>
      </c>
      <c r="U9" s="19">
        <v>18</v>
      </c>
      <c r="V9" s="19">
        <v>19</v>
      </c>
      <c r="W9" s="19">
        <v>20</v>
      </c>
      <c r="X9" s="19">
        <v>21</v>
      </c>
      <c r="Y9" s="19">
        <v>22</v>
      </c>
      <c r="Z9" s="19">
        <v>23</v>
      </c>
      <c r="AA9" s="19">
        <v>24</v>
      </c>
      <c r="AB9" s="19">
        <v>25</v>
      </c>
      <c r="AC9" s="19">
        <v>26</v>
      </c>
      <c r="AD9" s="19">
        <v>27</v>
      </c>
      <c r="AE9" s="19">
        <v>28</v>
      </c>
      <c r="AF9" s="19">
        <v>29</v>
      </c>
      <c r="AG9" s="19">
        <v>30</v>
      </c>
    </row>
    <row r="10" spans="2:33" x14ac:dyDescent="0.25">
      <c r="B10" s="21" t="s">
        <v>2</v>
      </c>
      <c r="C10" s="34"/>
      <c r="D10" s="40">
        <f t="shared" ref="D10:AG10" si="0">$C$2*$C$3*$C$4*$C$5</f>
        <v>162979800</v>
      </c>
      <c r="E10" s="40">
        <f t="shared" si="0"/>
        <v>162979800</v>
      </c>
      <c r="F10" s="40">
        <f t="shared" si="0"/>
        <v>162979800</v>
      </c>
      <c r="G10" s="40">
        <f t="shared" si="0"/>
        <v>162979800</v>
      </c>
      <c r="H10" s="40">
        <f t="shared" si="0"/>
        <v>162979800</v>
      </c>
      <c r="I10" s="40">
        <f t="shared" si="0"/>
        <v>162979800</v>
      </c>
      <c r="J10" s="40">
        <f t="shared" si="0"/>
        <v>162979800</v>
      </c>
      <c r="K10" s="40">
        <f t="shared" si="0"/>
        <v>162979800</v>
      </c>
      <c r="L10" s="40">
        <f t="shared" si="0"/>
        <v>162979800</v>
      </c>
      <c r="M10" s="40">
        <f t="shared" si="0"/>
        <v>162979800</v>
      </c>
      <c r="N10" s="40">
        <f t="shared" si="0"/>
        <v>162979800</v>
      </c>
      <c r="O10" s="40">
        <f t="shared" si="0"/>
        <v>162979800</v>
      </c>
      <c r="P10" s="40">
        <f t="shared" si="0"/>
        <v>162979800</v>
      </c>
      <c r="Q10" s="40">
        <f t="shared" si="0"/>
        <v>162979800</v>
      </c>
      <c r="R10" s="40">
        <f t="shared" si="0"/>
        <v>162979800</v>
      </c>
      <c r="S10" s="40">
        <f t="shared" si="0"/>
        <v>162979800</v>
      </c>
      <c r="T10" s="40">
        <f t="shared" si="0"/>
        <v>162979800</v>
      </c>
      <c r="U10" s="40">
        <f t="shared" si="0"/>
        <v>162979800</v>
      </c>
      <c r="V10" s="40">
        <f t="shared" si="0"/>
        <v>162979800</v>
      </c>
      <c r="W10" s="40">
        <f t="shared" si="0"/>
        <v>162979800</v>
      </c>
      <c r="X10" s="40">
        <f t="shared" si="0"/>
        <v>162979800</v>
      </c>
      <c r="Y10" s="40">
        <f t="shared" si="0"/>
        <v>162979800</v>
      </c>
      <c r="Z10" s="40">
        <f t="shared" si="0"/>
        <v>162979800</v>
      </c>
      <c r="AA10" s="40">
        <f t="shared" si="0"/>
        <v>162979800</v>
      </c>
      <c r="AB10" s="40">
        <f t="shared" si="0"/>
        <v>162979800</v>
      </c>
      <c r="AC10" s="40">
        <f t="shared" si="0"/>
        <v>162979800</v>
      </c>
      <c r="AD10" s="40">
        <f t="shared" si="0"/>
        <v>162979800</v>
      </c>
      <c r="AE10" s="40">
        <f t="shared" si="0"/>
        <v>162979800</v>
      </c>
      <c r="AF10" s="40">
        <f t="shared" si="0"/>
        <v>162979800</v>
      </c>
      <c r="AG10" s="40">
        <f t="shared" si="0"/>
        <v>162979800</v>
      </c>
    </row>
    <row r="11" spans="2:33" x14ac:dyDescent="0.25">
      <c r="B11" s="21" t="s">
        <v>1</v>
      </c>
      <c r="C11" s="34"/>
      <c r="D11" s="41">
        <f>SUM(D12:D17)</f>
        <v>95883663.422504812</v>
      </c>
      <c r="E11" s="41">
        <f t="shared" ref="E11:AG11" si="1">SUM(E12:E17)</f>
        <v>95785128.745464429</v>
      </c>
      <c r="F11" s="41">
        <f t="shared" si="1"/>
        <v>95673104.671137229</v>
      </c>
      <c r="G11" s="41">
        <f t="shared" si="1"/>
        <v>95545744.501034647</v>
      </c>
      <c r="H11" s="41">
        <f t="shared" si="1"/>
        <v>95400948.723645002</v>
      </c>
      <c r="I11" s="41">
        <f t="shared" si="1"/>
        <v>95236330.404330716</v>
      </c>
      <c r="J11" s="41">
        <f t="shared" si="1"/>
        <v>95049175.837102324</v>
      </c>
      <c r="K11" s="41">
        <f t="shared" si="1"/>
        <v>94836399.809620351</v>
      </c>
      <c r="L11" s="41">
        <f t="shared" si="1"/>
        <v>94594494.743976086</v>
      </c>
      <c r="M11" s="41">
        <f t="shared" si="1"/>
        <v>94319472.874845132</v>
      </c>
      <c r="N11" s="41">
        <f t="shared" si="1"/>
        <v>94006800.511830151</v>
      </c>
      <c r="O11" s="41">
        <f t="shared" si="1"/>
        <v>93651323.302318409</v>
      </c>
      <c r="P11" s="41">
        <f t="shared" si="1"/>
        <v>93247181.26282452</v>
      </c>
      <c r="Q11" s="41">
        <f t="shared" si="1"/>
        <v>92787712.178123921</v>
      </c>
      <c r="R11" s="41">
        <f t="shared" si="1"/>
        <v>92265341.775727794</v>
      </c>
      <c r="S11" s="41">
        <f t="shared" si="1"/>
        <v>91671458.865243644</v>
      </c>
      <c r="T11" s="41">
        <f t="shared" si="1"/>
        <v>90996273.384314224</v>
      </c>
      <c r="U11" s="41">
        <f t="shared" si="1"/>
        <v>90228655.01104556</v>
      </c>
      <c r="V11" s="41">
        <f t="shared" si="1"/>
        <v>89355949.682476416</v>
      </c>
      <c r="W11" s="41">
        <f t="shared" si="1"/>
        <v>88363770.994426161</v>
      </c>
      <c r="X11" s="41">
        <f t="shared" si="1"/>
        <v>87235763.04398182</v>
      </c>
      <c r="Y11" s="41">
        <f t="shared" si="1"/>
        <v>85953330.805121645</v>
      </c>
      <c r="Z11" s="41">
        <f t="shared" si="1"/>
        <v>84495333.592761517</v>
      </c>
      <c r="AA11" s="41">
        <f t="shared" si="1"/>
        <v>82837736.562029287</v>
      </c>
      <c r="AB11" s="41">
        <f t="shared" si="1"/>
        <v>80953214.497789815</v>
      </c>
      <c r="AC11" s="41">
        <f t="shared" si="1"/>
        <v>78810701.362955958</v>
      </c>
      <c r="AD11" s="41">
        <f t="shared" si="1"/>
        <v>76374878.17996335</v>
      </c>
      <c r="AE11" s="41">
        <f t="shared" si="1"/>
        <v>73605590.80321905</v>
      </c>
      <c r="AF11" s="41">
        <f t="shared" si="1"/>
        <v>70457187.984598458</v>
      </c>
      <c r="AG11" s="41">
        <f t="shared" si="1"/>
        <v>66877768.820108697</v>
      </c>
    </row>
    <row r="12" spans="2:33" x14ac:dyDescent="0.25">
      <c r="B12" s="21" t="s">
        <v>0</v>
      </c>
      <c r="C12" s="35"/>
      <c r="D12" s="36">
        <f>Costos!$F$17</f>
        <v>17183567.750000004</v>
      </c>
      <c r="E12" s="36">
        <f>Costos!$F$17</f>
        <v>17183567.750000004</v>
      </c>
      <c r="F12" s="36">
        <f>Costos!$F$17</f>
        <v>17183567.750000004</v>
      </c>
      <c r="G12" s="36">
        <f>Costos!$F$17</f>
        <v>17183567.750000004</v>
      </c>
      <c r="H12" s="36">
        <f>Costos!$F$17</f>
        <v>17183567.750000004</v>
      </c>
      <c r="I12" s="36">
        <f>Costos!$F$17</f>
        <v>17183567.750000004</v>
      </c>
      <c r="J12" s="36">
        <f>Costos!$F$17</f>
        <v>17183567.750000004</v>
      </c>
      <c r="K12" s="36">
        <f>Costos!$F$17</f>
        <v>17183567.750000004</v>
      </c>
      <c r="L12" s="36">
        <f>Costos!$F$17</f>
        <v>17183567.750000004</v>
      </c>
      <c r="M12" s="36">
        <f>Costos!$F$17</f>
        <v>17183567.750000004</v>
      </c>
      <c r="N12" s="36">
        <f>Costos!$F$17</f>
        <v>17183567.750000004</v>
      </c>
      <c r="O12" s="36">
        <f>Costos!$F$17</f>
        <v>17183567.750000004</v>
      </c>
      <c r="P12" s="36">
        <f>Costos!$F$17</f>
        <v>17183567.750000004</v>
      </c>
      <c r="Q12" s="36">
        <f>Costos!$F$17</f>
        <v>17183567.750000004</v>
      </c>
      <c r="R12" s="36">
        <f>Costos!$F$17</f>
        <v>17183567.750000004</v>
      </c>
      <c r="S12" s="36">
        <f>Costos!$F$17</f>
        <v>17183567.750000004</v>
      </c>
      <c r="T12" s="36">
        <f>Costos!$F$17</f>
        <v>17183567.750000004</v>
      </c>
      <c r="U12" s="36">
        <f>Costos!$F$17</f>
        <v>17183567.750000004</v>
      </c>
      <c r="V12" s="36">
        <f>Costos!$F$17</f>
        <v>17183567.750000004</v>
      </c>
      <c r="W12" s="36">
        <f>Costos!$F$17</f>
        <v>17183567.750000004</v>
      </c>
      <c r="X12" s="36">
        <f>Costos!$F$17</f>
        <v>17183567.750000004</v>
      </c>
      <c r="Y12" s="36">
        <f>Costos!$F$17</f>
        <v>17183567.750000004</v>
      </c>
      <c r="Z12" s="36">
        <f>Costos!$F$17</f>
        <v>17183567.750000004</v>
      </c>
      <c r="AA12" s="36">
        <f>Costos!$F$17</f>
        <v>17183567.750000004</v>
      </c>
      <c r="AB12" s="36">
        <f>Costos!$F$17</f>
        <v>17183567.750000004</v>
      </c>
      <c r="AC12" s="36">
        <f>Costos!$F$17</f>
        <v>17183567.750000004</v>
      </c>
      <c r="AD12" s="36">
        <f>Costos!$F$17</f>
        <v>17183567.750000004</v>
      </c>
      <c r="AE12" s="36">
        <f>Costos!$F$17</f>
        <v>17183567.750000004</v>
      </c>
      <c r="AF12" s="36">
        <f>Costos!$F$17</f>
        <v>17183567.750000004</v>
      </c>
      <c r="AG12" s="36">
        <f>Costos!$F$17</f>
        <v>17183567.750000004</v>
      </c>
    </row>
    <row r="13" spans="2:33" x14ac:dyDescent="0.25">
      <c r="B13" s="21" t="s">
        <v>8</v>
      </c>
      <c r="C13" s="35"/>
      <c r="D13" s="36">
        <f t="shared" ref="D13:AG13" si="2">$C$30/30</f>
        <v>10055691.058</v>
      </c>
      <c r="E13" s="36">
        <f t="shared" si="2"/>
        <v>10055691.058</v>
      </c>
      <c r="F13" s="36">
        <f t="shared" si="2"/>
        <v>10055691.058</v>
      </c>
      <c r="G13" s="36">
        <f t="shared" si="2"/>
        <v>10055691.058</v>
      </c>
      <c r="H13" s="36">
        <f t="shared" si="2"/>
        <v>10055691.058</v>
      </c>
      <c r="I13" s="36">
        <f t="shared" si="2"/>
        <v>10055691.058</v>
      </c>
      <c r="J13" s="36">
        <f t="shared" si="2"/>
        <v>10055691.058</v>
      </c>
      <c r="K13" s="36">
        <f t="shared" si="2"/>
        <v>10055691.058</v>
      </c>
      <c r="L13" s="36">
        <f t="shared" si="2"/>
        <v>10055691.058</v>
      </c>
      <c r="M13" s="36">
        <f t="shared" si="2"/>
        <v>10055691.058</v>
      </c>
      <c r="N13" s="36">
        <f t="shared" si="2"/>
        <v>10055691.058</v>
      </c>
      <c r="O13" s="36">
        <f t="shared" si="2"/>
        <v>10055691.058</v>
      </c>
      <c r="P13" s="36">
        <f t="shared" si="2"/>
        <v>10055691.058</v>
      </c>
      <c r="Q13" s="36">
        <f t="shared" si="2"/>
        <v>10055691.058</v>
      </c>
      <c r="R13" s="36">
        <f t="shared" si="2"/>
        <v>10055691.058</v>
      </c>
      <c r="S13" s="36">
        <f t="shared" si="2"/>
        <v>10055691.058</v>
      </c>
      <c r="T13" s="36">
        <f t="shared" si="2"/>
        <v>10055691.058</v>
      </c>
      <c r="U13" s="36">
        <f t="shared" si="2"/>
        <v>10055691.058</v>
      </c>
      <c r="V13" s="36">
        <f t="shared" si="2"/>
        <v>10055691.058</v>
      </c>
      <c r="W13" s="36">
        <f t="shared" si="2"/>
        <v>10055691.058</v>
      </c>
      <c r="X13" s="36">
        <f t="shared" si="2"/>
        <v>10055691.058</v>
      </c>
      <c r="Y13" s="36">
        <f t="shared" si="2"/>
        <v>10055691.058</v>
      </c>
      <c r="Z13" s="36">
        <f t="shared" si="2"/>
        <v>10055691.058</v>
      </c>
      <c r="AA13" s="36">
        <f t="shared" si="2"/>
        <v>10055691.058</v>
      </c>
      <c r="AB13" s="36">
        <f t="shared" si="2"/>
        <v>10055691.058</v>
      </c>
      <c r="AC13" s="36">
        <f t="shared" si="2"/>
        <v>10055691.058</v>
      </c>
      <c r="AD13" s="36">
        <f t="shared" si="2"/>
        <v>10055691.058</v>
      </c>
      <c r="AE13" s="36">
        <f t="shared" si="2"/>
        <v>10055691.058</v>
      </c>
      <c r="AF13" s="36">
        <f t="shared" si="2"/>
        <v>10055691.058</v>
      </c>
      <c r="AG13" s="36">
        <f t="shared" si="2"/>
        <v>10055691.058</v>
      </c>
    </row>
    <row r="14" spans="2:33" x14ac:dyDescent="0.25">
      <c r="B14" s="21" t="s">
        <v>9</v>
      </c>
      <c r="C14" s="35"/>
      <c r="D14" s="36">
        <f>Costos!$F$18+Costos!$F$19</f>
        <v>9263634.5</v>
      </c>
      <c r="E14" s="36">
        <f>Costos!$F$18+Costos!$F$19</f>
        <v>9263634.5</v>
      </c>
      <c r="F14" s="36">
        <f>Costos!$F$18+Costos!$F$19</f>
        <v>9263634.5</v>
      </c>
      <c r="G14" s="36">
        <f>Costos!$F$18+Costos!$F$19</f>
        <v>9263634.5</v>
      </c>
      <c r="H14" s="36">
        <f>Costos!$F$18+Costos!$F$19</f>
        <v>9263634.5</v>
      </c>
      <c r="I14" s="36">
        <f>Costos!$F$18+Costos!$F$19</f>
        <v>9263634.5</v>
      </c>
      <c r="J14" s="36">
        <f>Costos!$F$18+Costos!$F$19</f>
        <v>9263634.5</v>
      </c>
      <c r="K14" s="36">
        <f>Costos!$F$18+Costos!$F$19</f>
        <v>9263634.5</v>
      </c>
      <c r="L14" s="36">
        <f>Costos!$F$18+Costos!$F$19</f>
        <v>9263634.5</v>
      </c>
      <c r="M14" s="36">
        <f>Costos!$F$18+Costos!$F$19</f>
        <v>9263634.5</v>
      </c>
      <c r="N14" s="36">
        <f>Costos!$F$18+Costos!$F$19</f>
        <v>9263634.5</v>
      </c>
      <c r="O14" s="36">
        <f>Costos!$F$18+Costos!$F$19</f>
        <v>9263634.5</v>
      </c>
      <c r="P14" s="36">
        <f>Costos!$F$18+Costos!$F$19</f>
        <v>9263634.5</v>
      </c>
      <c r="Q14" s="36">
        <f>Costos!$F$18+Costos!$F$19</f>
        <v>9263634.5</v>
      </c>
      <c r="R14" s="36">
        <f>Costos!$F$18+Costos!$F$19</f>
        <v>9263634.5</v>
      </c>
      <c r="S14" s="36">
        <f>Costos!$F$18+Costos!$F$19</f>
        <v>9263634.5</v>
      </c>
      <c r="T14" s="36">
        <f>Costos!$F$18+Costos!$F$19</f>
        <v>9263634.5</v>
      </c>
      <c r="U14" s="36">
        <f>Costos!$F$18+Costos!$F$19</f>
        <v>9263634.5</v>
      </c>
      <c r="V14" s="36">
        <f>Costos!$F$18+Costos!$F$19</f>
        <v>9263634.5</v>
      </c>
      <c r="W14" s="36">
        <f>Costos!$F$18+Costos!$F$19</f>
        <v>9263634.5</v>
      </c>
      <c r="X14" s="36">
        <f>Costos!$F$18+Costos!$F$19</f>
        <v>9263634.5</v>
      </c>
      <c r="Y14" s="36">
        <f>Costos!$F$18+Costos!$F$19</f>
        <v>9263634.5</v>
      </c>
      <c r="Z14" s="36">
        <f>Costos!$F$18+Costos!$F$19</f>
        <v>9263634.5</v>
      </c>
      <c r="AA14" s="36">
        <f>Costos!$F$18+Costos!$F$19</f>
        <v>9263634.5</v>
      </c>
      <c r="AB14" s="36">
        <f>Costos!$F$18+Costos!$F$19</f>
        <v>9263634.5</v>
      </c>
      <c r="AC14" s="36">
        <f>Costos!$F$18+Costos!$F$19</f>
        <v>9263634.5</v>
      </c>
      <c r="AD14" s="36">
        <f>Costos!$F$18+Costos!$F$19</f>
        <v>9263634.5</v>
      </c>
      <c r="AE14" s="36">
        <f>Costos!$F$18+Costos!$F$19</f>
        <v>9263634.5</v>
      </c>
      <c r="AF14" s="36">
        <f>Costos!$F$18+Costos!$F$19</f>
        <v>9263634.5</v>
      </c>
      <c r="AG14" s="36">
        <f>Costos!$F$18+Costos!$F$19</f>
        <v>9263634.5</v>
      </c>
    </row>
    <row r="15" spans="2:33" x14ac:dyDescent="0.25">
      <c r="B15" s="21" t="s">
        <v>10</v>
      </c>
      <c r="C15" s="35"/>
      <c r="D15" s="36">
        <f>$C$29/30</f>
        <v>1369500.314</v>
      </c>
      <c r="E15" s="36">
        <f t="shared" ref="E15:AG15" si="3">$C$29/30</f>
        <v>1369500.314</v>
      </c>
      <c r="F15" s="36">
        <f t="shared" si="3"/>
        <v>1369500.314</v>
      </c>
      <c r="G15" s="36">
        <f t="shared" si="3"/>
        <v>1369500.314</v>
      </c>
      <c r="H15" s="36">
        <f t="shared" si="3"/>
        <v>1369500.314</v>
      </c>
      <c r="I15" s="36">
        <f t="shared" si="3"/>
        <v>1369500.314</v>
      </c>
      <c r="J15" s="36">
        <f t="shared" si="3"/>
        <v>1369500.314</v>
      </c>
      <c r="K15" s="36">
        <f t="shared" si="3"/>
        <v>1369500.314</v>
      </c>
      <c r="L15" s="36">
        <f t="shared" si="3"/>
        <v>1369500.314</v>
      </c>
      <c r="M15" s="36">
        <f t="shared" si="3"/>
        <v>1369500.314</v>
      </c>
      <c r="N15" s="36">
        <f t="shared" si="3"/>
        <v>1369500.314</v>
      </c>
      <c r="O15" s="36">
        <f t="shared" si="3"/>
        <v>1369500.314</v>
      </c>
      <c r="P15" s="36">
        <f t="shared" si="3"/>
        <v>1369500.314</v>
      </c>
      <c r="Q15" s="36">
        <f t="shared" si="3"/>
        <v>1369500.314</v>
      </c>
      <c r="R15" s="36">
        <f t="shared" si="3"/>
        <v>1369500.314</v>
      </c>
      <c r="S15" s="36">
        <f t="shared" si="3"/>
        <v>1369500.314</v>
      </c>
      <c r="T15" s="36">
        <f t="shared" si="3"/>
        <v>1369500.314</v>
      </c>
      <c r="U15" s="36">
        <f t="shared" si="3"/>
        <v>1369500.314</v>
      </c>
      <c r="V15" s="36">
        <f t="shared" si="3"/>
        <v>1369500.314</v>
      </c>
      <c r="W15" s="36">
        <f t="shared" si="3"/>
        <v>1369500.314</v>
      </c>
      <c r="X15" s="36">
        <f t="shared" si="3"/>
        <v>1369500.314</v>
      </c>
      <c r="Y15" s="36">
        <f t="shared" si="3"/>
        <v>1369500.314</v>
      </c>
      <c r="Z15" s="36">
        <f t="shared" si="3"/>
        <v>1369500.314</v>
      </c>
      <c r="AA15" s="36">
        <f t="shared" si="3"/>
        <v>1369500.314</v>
      </c>
      <c r="AB15" s="36">
        <f t="shared" si="3"/>
        <v>1369500.314</v>
      </c>
      <c r="AC15" s="36">
        <f t="shared" si="3"/>
        <v>1369500.314</v>
      </c>
      <c r="AD15" s="36">
        <f t="shared" si="3"/>
        <v>1369500.314</v>
      </c>
      <c r="AE15" s="36">
        <f t="shared" si="3"/>
        <v>1369500.314</v>
      </c>
      <c r="AF15" s="36">
        <f t="shared" si="3"/>
        <v>1369500.314</v>
      </c>
      <c r="AG15" s="36">
        <f t="shared" si="3"/>
        <v>1369500.314</v>
      </c>
    </row>
    <row r="16" spans="2:33" x14ac:dyDescent="0.25">
      <c r="B16" s="21" t="s">
        <v>11</v>
      </c>
      <c r="C16" s="35"/>
      <c r="D16" s="36">
        <f>Costos!$F$16</f>
        <v>24935933.550000001</v>
      </c>
      <c r="E16" s="36">
        <f>Costos!$F$16</f>
        <v>24935933.550000001</v>
      </c>
      <c r="F16" s="36">
        <f>Costos!$F$16</f>
        <v>24935933.550000001</v>
      </c>
      <c r="G16" s="36">
        <f>Costos!$F$16</f>
        <v>24935933.550000001</v>
      </c>
      <c r="H16" s="36">
        <f>Costos!$F$16</f>
        <v>24935933.550000001</v>
      </c>
      <c r="I16" s="36">
        <f>Costos!$F$16</f>
        <v>24935933.550000001</v>
      </c>
      <c r="J16" s="36">
        <f>Costos!$F$16</f>
        <v>24935933.550000001</v>
      </c>
      <c r="K16" s="36">
        <f>Costos!$F$16</f>
        <v>24935933.550000001</v>
      </c>
      <c r="L16" s="36">
        <f>Costos!$F$16</f>
        <v>24935933.550000001</v>
      </c>
      <c r="M16" s="36">
        <f>Costos!$F$16</f>
        <v>24935933.550000001</v>
      </c>
      <c r="N16" s="36">
        <f>Costos!$F$16</f>
        <v>24935933.550000001</v>
      </c>
      <c r="O16" s="36">
        <f>Costos!$F$16</f>
        <v>24935933.550000001</v>
      </c>
      <c r="P16" s="36">
        <f>Costos!$F$16</f>
        <v>24935933.550000001</v>
      </c>
      <c r="Q16" s="36">
        <f>Costos!$F$16</f>
        <v>24935933.550000001</v>
      </c>
      <c r="R16" s="36">
        <f>Costos!$F$16</f>
        <v>24935933.550000001</v>
      </c>
      <c r="S16" s="36">
        <f>Costos!$F$16</f>
        <v>24935933.550000001</v>
      </c>
      <c r="T16" s="36">
        <f>Costos!$F$16</f>
        <v>24935933.550000001</v>
      </c>
      <c r="U16" s="36">
        <f>Costos!$F$16</f>
        <v>24935933.550000001</v>
      </c>
      <c r="V16" s="36">
        <f>Costos!$F$16</f>
        <v>24935933.550000001</v>
      </c>
      <c r="W16" s="36">
        <f>Costos!$F$16</f>
        <v>24935933.550000001</v>
      </c>
      <c r="X16" s="36">
        <f>Costos!$F$16</f>
        <v>24935933.550000001</v>
      </c>
      <c r="Y16" s="36">
        <f>Costos!$F$16</f>
        <v>24935933.550000001</v>
      </c>
      <c r="Z16" s="36">
        <f>Costos!$F$16</f>
        <v>24935933.550000001</v>
      </c>
      <c r="AA16" s="36">
        <f>Costos!$F$16</f>
        <v>24935933.550000001</v>
      </c>
      <c r="AB16" s="36">
        <f>Costos!$F$16</f>
        <v>24935933.550000001</v>
      </c>
      <c r="AC16" s="36">
        <f>Costos!$F$16</f>
        <v>24935933.550000001</v>
      </c>
      <c r="AD16" s="36">
        <f>Costos!$F$16</f>
        <v>24935933.550000001</v>
      </c>
      <c r="AE16" s="36">
        <f>Costos!$F$16</f>
        <v>24935933.550000001</v>
      </c>
      <c r="AF16" s="36">
        <f>Costos!$F$16</f>
        <v>24935933.550000001</v>
      </c>
      <c r="AG16" s="36">
        <f>Costos!$F$16</f>
        <v>24935933.550000001</v>
      </c>
    </row>
    <row r="17" spans="2:33" x14ac:dyDescent="0.25">
      <c r="B17" s="21" t="s">
        <v>12</v>
      </c>
      <c r="C17" s="35"/>
      <c r="D17" s="36">
        <f>Amortización!D4</f>
        <v>33075336.250504799</v>
      </c>
      <c r="E17" s="36">
        <f>Amortización!D5</f>
        <v>32976801.573464427</v>
      </c>
      <c r="F17" s="36">
        <f>Amortización!D6</f>
        <v>32864777.499137226</v>
      </c>
      <c r="G17" s="36">
        <f>Amortización!D7</f>
        <v>32737417.329034634</v>
      </c>
      <c r="H17" s="36">
        <f>Amortización!D8</f>
        <v>32592621.551644996</v>
      </c>
      <c r="I17" s="36">
        <f>Amortización!D9</f>
        <v>32428003.232330713</v>
      </c>
      <c r="J17" s="36">
        <f>Amortización!D10</f>
        <v>32240848.66510231</v>
      </c>
      <c r="K17" s="36">
        <f>Amortización!D11</f>
        <v>32028072.637620337</v>
      </c>
      <c r="L17" s="36">
        <f>Amortización!D12</f>
        <v>31786167.571976081</v>
      </c>
      <c r="M17" s="36">
        <f>Amortización!D13</f>
        <v>31511145.702845123</v>
      </c>
      <c r="N17" s="36">
        <f>Amortización!D14</f>
        <v>31198473.339830138</v>
      </c>
      <c r="O17" s="36">
        <f>Amortización!D15</f>
        <v>30842996.130318403</v>
      </c>
      <c r="P17" s="36">
        <f>Amortización!D16</f>
        <v>30438854.090824515</v>
      </c>
      <c r="Q17" s="36">
        <f>Amortización!D17</f>
        <v>29979385.006123908</v>
      </c>
      <c r="R17" s="36">
        <f>Amortización!D18</f>
        <v>29457014.603727791</v>
      </c>
      <c r="S17" s="36">
        <f>Amortización!D19</f>
        <v>28863131.693243645</v>
      </c>
      <c r="T17" s="36">
        <f>Amortización!D20</f>
        <v>28187946.212314218</v>
      </c>
      <c r="U17" s="36">
        <f>Amortización!D21</f>
        <v>27420327.839045554</v>
      </c>
      <c r="V17" s="36">
        <f>Amortización!D22</f>
        <v>26547622.51047641</v>
      </c>
      <c r="W17" s="36">
        <f>Amortización!D23</f>
        <v>25555443.822426151</v>
      </c>
      <c r="X17" s="36">
        <f>Amortización!D24</f>
        <v>24427435.871981811</v>
      </c>
      <c r="Y17" s="36">
        <f>Amortización!D25</f>
        <v>23145003.633121639</v>
      </c>
      <c r="Z17" s="36">
        <f>Amortización!D26</f>
        <v>21687006.420761511</v>
      </c>
      <c r="AA17" s="36">
        <f>Amortización!D27</f>
        <v>20029409.390029278</v>
      </c>
      <c r="AB17" s="36">
        <f>Amortización!D28</f>
        <v>18144887.325789806</v>
      </c>
      <c r="AC17" s="36">
        <f>Amortización!D29</f>
        <v>16002374.19095595</v>
      </c>
      <c r="AD17" s="36">
        <f>Amortización!D30</f>
        <v>13566551.007963339</v>
      </c>
      <c r="AE17" s="36">
        <f>Amortización!D31</f>
        <v>10797263.631219039</v>
      </c>
      <c r="AF17" s="36">
        <f>Amortización!D32</f>
        <v>7648860.8125984445</v>
      </c>
      <c r="AG17" s="36">
        <f>Amortización!D33</f>
        <v>4069441.648108691</v>
      </c>
    </row>
    <row r="18" spans="2:33" x14ac:dyDescent="0.25">
      <c r="B18" s="21" t="s">
        <v>13</v>
      </c>
      <c r="C18" s="35"/>
      <c r="D18" s="37">
        <f t="shared" ref="D18:AG18" si="4">D10-SUM(D12:D17)</f>
        <v>67096136.577495188</v>
      </c>
      <c r="E18" s="37">
        <f t="shared" si="4"/>
        <v>67194671.254535571</v>
      </c>
      <c r="F18" s="37">
        <f t="shared" si="4"/>
        <v>67306695.328862771</v>
      </c>
      <c r="G18" s="37">
        <f t="shared" si="4"/>
        <v>67434055.498965353</v>
      </c>
      <c r="H18" s="37">
        <f t="shared" si="4"/>
        <v>67578851.276354998</v>
      </c>
      <c r="I18" s="37">
        <f t="shared" si="4"/>
        <v>67743469.595669284</v>
      </c>
      <c r="J18" s="37">
        <f t="shared" si="4"/>
        <v>67930624.162897676</v>
      </c>
      <c r="K18" s="37">
        <f t="shared" si="4"/>
        <v>68143400.190379649</v>
      </c>
      <c r="L18" s="37">
        <f t="shared" si="4"/>
        <v>68385305.256023914</v>
      </c>
      <c r="M18" s="37">
        <f t="shared" si="4"/>
        <v>68660327.125154868</v>
      </c>
      <c r="N18" s="37">
        <f t="shared" si="4"/>
        <v>68972999.488169849</v>
      </c>
      <c r="O18" s="37">
        <f t="shared" si="4"/>
        <v>69328476.697681591</v>
      </c>
      <c r="P18" s="37">
        <f t="shared" si="4"/>
        <v>69732618.73717548</v>
      </c>
      <c r="Q18" s="37">
        <f t="shared" si="4"/>
        <v>70192087.821876079</v>
      </c>
      <c r="R18" s="37">
        <f t="shared" si="4"/>
        <v>70714458.224272206</v>
      </c>
      <c r="S18" s="37">
        <f t="shared" si="4"/>
        <v>71308341.134756356</v>
      </c>
      <c r="T18" s="37">
        <f t="shared" si="4"/>
        <v>71983526.615685776</v>
      </c>
      <c r="U18" s="37">
        <f t="shared" si="4"/>
        <v>72751144.98895444</v>
      </c>
      <c r="V18" s="37">
        <f t="shared" si="4"/>
        <v>73623850.317523584</v>
      </c>
      <c r="W18" s="37">
        <f t="shared" si="4"/>
        <v>74616029.005573839</v>
      </c>
      <c r="X18" s="37">
        <f t="shared" si="4"/>
        <v>75744036.95601818</v>
      </c>
      <c r="Y18" s="37">
        <f t="shared" si="4"/>
        <v>77026469.194878355</v>
      </c>
      <c r="Z18" s="37">
        <f t="shared" si="4"/>
        <v>78484466.407238483</v>
      </c>
      <c r="AA18" s="37">
        <f t="shared" si="4"/>
        <v>80142063.437970713</v>
      </c>
      <c r="AB18" s="37">
        <f t="shared" si="4"/>
        <v>82026585.502210185</v>
      </c>
      <c r="AC18" s="37">
        <f t="shared" si="4"/>
        <v>84169098.637044042</v>
      </c>
      <c r="AD18" s="37">
        <f t="shared" si="4"/>
        <v>86604921.82003665</v>
      </c>
      <c r="AE18" s="37">
        <f t="shared" si="4"/>
        <v>89374209.19678095</v>
      </c>
      <c r="AF18" s="37">
        <f t="shared" si="4"/>
        <v>92522612.015401542</v>
      </c>
      <c r="AG18" s="37">
        <f t="shared" si="4"/>
        <v>96102031.179891303</v>
      </c>
    </row>
    <row r="19" spans="2:33" x14ac:dyDescent="0.25">
      <c r="B19" s="21" t="s">
        <v>16</v>
      </c>
      <c r="C19" s="35"/>
      <c r="D19" s="36">
        <f>D18*$C$6</f>
        <v>22141725.070573412</v>
      </c>
      <c r="E19" s="36">
        <f t="shared" ref="E19:AG19" si="5">E18*$C$6</f>
        <v>22174241.513996739</v>
      </c>
      <c r="F19" s="36">
        <f t="shared" si="5"/>
        <v>22211209.458524715</v>
      </c>
      <c r="G19" s="36">
        <f t="shared" si="5"/>
        <v>22253238.314658567</v>
      </c>
      <c r="H19" s="36">
        <f t="shared" si="5"/>
        <v>22301020.92119715</v>
      </c>
      <c r="I19" s="36">
        <f t="shared" si="5"/>
        <v>22355344.966570865</v>
      </c>
      <c r="J19" s="36">
        <f t="shared" si="5"/>
        <v>22417105.973756235</v>
      </c>
      <c r="K19" s="36">
        <f t="shared" si="5"/>
        <v>22487322.062825285</v>
      </c>
      <c r="L19" s="36">
        <f t="shared" si="5"/>
        <v>22567150.734487891</v>
      </c>
      <c r="M19" s="36">
        <f t="shared" si="5"/>
        <v>22657907.951301109</v>
      </c>
      <c r="N19" s="36">
        <f t="shared" si="5"/>
        <v>22761089.831096049</v>
      </c>
      <c r="O19" s="36">
        <f t="shared" si="5"/>
        <v>22878397.310234927</v>
      </c>
      <c r="P19" s="36">
        <f t="shared" si="5"/>
        <v>23011764.18326791</v>
      </c>
      <c r="Q19" s="36">
        <f t="shared" si="5"/>
        <v>23163388.981219105</v>
      </c>
      <c r="R19" s="36">
        <f t="shared" si="5"/>
        <v>23335771.214009829</v>
      </c>
      <c r="S19" s="36">
        <f t="shared" si="5"/>
        <v>23531752.5744696</v>
      </c>
      <c r="T19" s="36">
        <f t="shared" si="5"/>
        <v>23754563.783176307</v>
      </c>
      <c r="U19" s="36">
        <f t="shared" si="5"/>
        <v>24007877.846354965</v>
      </c>
      <c r="V19" s="36">
        <f t="shared" si="5"/>
        <v>24295870.604782782</v>
      </c>
      <c r="W19" s="36">
        <f t="shared" si="5"/>
        <v>24623289.57183937</v>
      </c>
      <c r="X19" s="36">
        <f t="shared" si="5"/>
        <v>24995532.195486002</v>
      </c>
      <c r="Y19" s="36">
        <f t="shared" si="5"/>
        <v>25418734.834309857</v>
      </c>
      <c r="Z19" s="36">
        <f t="shared" si="5"/>
        <v>25899873.914388701</v>
      </c>
      <c r="AA19" s="36">
        <f t="shared" si="5"/>
        <v>26446880.934530336</v>
      </c>
      <c r="AB19" s="36">
        <f t="shared" si="5"/>
        <v>27068773.215729363</v>
      </c>
      <c r="AC19" s="36">
        <f t="shared" si="5"/>
        <v>27775802.550224535</v>
      </c>
      <c r="AD19" s="36">
        <f t="shared" si="5"/>
        <v>28579624.200612094</v>
      </c>
      <c r="AE19" s="36">
        <f t="shared" si="5"/>
        <v>29493489.034937713</v>
      </c>
      <c r="AF19" s="36">
        <f t="shared" si="5"/>
        <v>30532461.965082511</v>
      </c>
      <c r="AG19" s="36">
        <f t="shared" si="5"/>
        <v>31713670.289364133</v>
      </c>
    </row>
    <row r="20" spans="2:33" x14ac:dyDescent="0.25">
      <c r="B20" s="21" t="s">
        <v>15</v>
      </c>
      <c r="C20" s="35"/>
      <c r="D20" s="37">
        <f>D18-D19</f>
        <v>44954411.506921776</v>
      </c>
      <c r="E20" s="37">
        <f t="shared" ref="E20:AG20" si="6">E18-E19</f>
        <v>45020429.740538836</v>
      </c>
      <c r="F20" s="37">
        <f t="shared" si="6"/>
        <v>45095485.870338053</v>
      </c>
      <c r="G20" s="37">
        <f t="shared" si="6"/>
        <v>45180817.184306785</v>
      </c>
      <c r="H20" s="37">
        <f t="shared" si="6"/>
        <v>45277830.355157852</v>
      </c>
      <c r="I20" s="37">
        <f t="shared" si="6"/>
        <v>45388124.629098415</v>
      </c>
      <c r="J20" s="37">
        <f t="shared" si="6"/>
        <v>45513518.189141437</v>
      </c>
      <c r="K20" s="37">
        <f t="shared" si="6"/>
        <v>45656078.127554365</v>
      </c>
      <c r="L20" s="37">
        <f t="shared" si="6"/>
        <v>45818154.521536022</v>
      </c>
      <c r="M20" s="37">
        <f t="shared" si="6"/>
        <v>46002419.173853755</v>
      </c>
      <c r="N20" s="37">
        <f t="shared" si="6"/>
        <v>46211909.657073796</v>
      </c>
      <c r="O20" s="37">
        <f t="shared" si="6"/>
        <v>46450079.387446664</v>
      </c>
      <c r="P20" s="37">
        <f t="shared" si="6"/>
        <v>46720854.553907573</v>
      </c>
      <c r="Q20" s="37">
        <f t="shared" si="6"/>
        <v>47028698.840656973</v>
      </c>
      <c r="R20" s="37">
        <f t="shared" si="6"/>
        <v>47378687.010262378</v>
      </c>
      <c r="S20" s="37">
        <f t="shared" si="6"/>
        <v>47776588.56028676</v>
      </c>
      <c r="T20" s="37">
        <f t="shared" si="6"/>
        <v>48228962.832509473</v>
      </c>
      <c r="U20" s="37">
        <f t="shared" si="6"/>
        <v>48743267.142599478</v>
      </c>
      <c r="V20" s="37">
        <f t="shared" si="6"/>
        <v>49327979.712740801</v>
      </c>
      <c r="W20" s="37">
        <f t="shared" si="6"/>
        <v>49992739.433734469</v>
      </c>
      <c r="X20" s="37">
        <f t="shared" si="6"/>
        <v>50748504.760532178</v>
      </c>
      <c r="Y20" s="37">
        <f t="shared" si="6"/>
        <v>51607734.360568494</v>
      </c>
      <c r="Z20" s="37">
        <f t="shared" si="6"/>
        <v>52584592.492849782</v>
      </c>
      <c r="AA20" s="37">
        <f t="shared" si="6"/>
        <v>53695182.50344038</v>
      </c>
      <c r="AB20" s="37">
        <f t="shared" si="6"/>
        <v>54957812.286480822</v>
      </c>
      <c r="AC20" s="37">
        <f t="shared" si="6"/>
        <v>56393296.086819507</v>
      </c>
      <c r="AD20" s="37">
        <f t="shared" si="6"/>
        <v>58025297.619424552</v>
      </c>
      <c r="AE20" s="37">
        <f t="shared" si="6"/>
        <v>59880720.16184324</v>
      </c>
      <c r="AF20" s="37">
        <f t="shared" si="6"/>
        <v>61990150.050319031</v>
      </c>
      <c r="AG20" s="37">
        <f t="shared" si="6"/>
        <v>64388360.890527174</v>
      </c>
    </row>
    <row r="21" spans="2:33" x14ac:dyDescent="0.25">
      <c r="B21" s="21" t="s">
        <v>17</v>
      </c>
      <c r="C21" s="35"/>
      <c r="D21" s="36">
        <f>$C$7-D17</f>
        <v>719756.58904583007</v>
      </c>
      <c r="E21" s="36">
        <f t="shared" ref="E21:AG21" si="7">$C$7-E17</f>
        <v>818291.26608620211</v>
      </c>
      <c r="F21" s="36">
        <f t="shared" si="7"/>
        <v>930315.34041340277</v>
      </c>
      <c r="G21" s="36">
        <f t="shared" si="7"/>
        <v>1057675.5105159953</v>
      </c>
      <c r="H21" s="36">
        <f t="shared" si="7"/>
        <v>1202471.2879056334</v>
      </c>
      <c r="I21" s="36">
        <f t="shared" si="7"/>
        <v>1367089.6072199158</v>
      </c>
      <c r="J21" s="36">
        <f t="shared" si="7"/>
        <v>1554244.1744483188</v>
      </c>
      <c r="K21" s="36">
        <f t="shared" si="7"/>
        <v>1767020.201930292</v>
      </c>
      <c r="L21" s="36">
        <f t="shared" si="7"/>
        <v>2008925.2675745487</v>
      </c>
      <c r="M21" s="36">
        <f t="shared" si="7"/>
        <v>2283947.1367055066</v>
      </c>
      <c r="N21" s="36">
        <f t="shared" si="7"/>
        <v>2596619.4997204915</v>
      </c>
      <c r="O21" s="36">
        <f t="shared" si="7"/>
        <v>2952096.709232226</v>
      </c>
      <c r="P21" s="36">
        <f t="shared" si="7"/>
        <v>3356238.7487261146</v>
      </c>
      <c r="Q21" s="36">
        <f t="shared" si="7"/>
        <v>3815707.8334267214</v>
      </c>
      <c r="R21" s="36">
        <f t="shared" si="7"/>
        <v>4338078.2358228378</v>
      </c>
      <c r="S21" s="36">
        <f t="shared" si="7"/>
        <v>4931961.1463069841</v>
      </c>
      <c r="T21" s="36">
        <f t="shared" si="7"/>
        <v>5607146.627236411</v>
      </c>
      <c r="U21" s="36">
        <f t="shared" si="7"/>
        <v>6374765.0005050749</v>
      </c>
      <c r="V21" s="36">
        <f t="shared" si="7"/>
        <v>7247470.3290742189</v>
      </c>
      <c r="W21" s="36">
        <f t="shared" si="7"/>
        <v>8239649.0171244778</v>
      </c>
      <c r="X21" s="36">
        <f t="shared" si="7"/>
        <v>9367656.9675688185</v>
      </c>
      <c r="Y21" s="36">
        <f t="shared" si="7"/>
        <v>10650089.20642899</v>
      </c>
      <c r="Z21" s="36">
        <f t="shared" si="7"/>
        <v>12108086.418789119</v>
      </c>
      <c r="AA21" s="36">
        <f t="shared" si="7"/>
        <v>13765683.449521352</v>
      </c>
      <c r="AB21" s="36">
        <f t="shared" si="7"/>
        <v>15650205.513760824</v>
      </c>
      <c r="AC21" s="36">
        <f t="shared" si="7"/>
        <v>17792718.648594677</v>
      </c>
      <c r="AD21" s="36">
        <f t="shared" si="7"/>
        <v>20228541.831587292</v>
      </c>
      <c r="AE21" s="36">
        <f t="shared" si="7"/>
        <v>22997829.208331592</v>
      </c>
      <c r="AF21" s="36">
        <f t="shared" si="7"/>
        <v>26146232.026952185</v>
      </c>
      <c r="AG21" s="36">
        <f t="shared" si="7"/>
        <v>29725651.191441938</v>
      </c>
    </row>
    <row r="22" spans="2:33" x14ac:dyDescent="0.25">
      <c r="B22" s="19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</row>
    <row r="23" spans="2:33" x14ac:dyDescent="0.25">
      <c r="B23" s="19" t="s">
        <v>18</v>
      </c>
      <c r="C23" s="35"/>
      <c r="D23" s="35">
        <f t="shared" ref="D23:AG23" si="8">D13</f>
        <v>10055691.058</v>
      </c>
      <c r="E23" s="35">
        <f t="shared" si="8"/>
        <v>10055691.058</v>
      </c>
      <c r="F23" s="35">
        <f t="shared" si="8"/>
        <v>10055691.058</v>
      </c>
      <c r="G23" s="35">
        <f t="shared" si="8"/>
        <v>10055691.058</v>
      </c>
      <c r="H23" s="35">
        <f t="shared" si="8"/>
        <v>10055691.058</v>
      </c>
      <c r="I23" s="35">
        <f t="shared" si="8"/>
        <v>10055691.058</v>
      </c>
      <c r="J23" s="35">
        <f t="shared" si="8"/>
        <v>10055691.058</v>
      </c>
      <c r="K23" s="35">
        <f t="shared" si="8"/>
        <v>10055691.058</v>
      </c>
      <c r="L23" s="35">
        <f t="shared" si="8"/>
        <v>10055691.058</v>
      </c>
      <c r="M23" s="35">
        <f t="shared" si="8"/>
        <v>10055691.058</v>
      </c>
      <c r="N23" s="35">
        <f t="shared" si="8"/>
        <v>10055691.058</v>
      </c>
      <c r="O23" s="35">
        <f t="shared" si="8"/>
        <v>10055691.058</v>
      </c>
      <c r="P23" s="35">
        <f t="shared" si="8"/>
        <v>10055691.058</v>
      </c>
      <c r="Q23" s="35">
        <f t="shared" si="8"/>
        <v>10055691.058</v>
      </c>
      <c r="R23" s="35">
        <f t="shared" si="8"/>
        <v>10055691.058</v>
      </c>
      <c r="S23" s="35">
        <f t="shared" si="8"/>
        <v>10055691.058</v>
      </c>
      <c r="T23" s="35">
        <f t="shared" si="8"/>
        <v>10055691.058</v>
      </c>
      <c r="U23" s="35">
        <f t="shared" si="8"/>
        <v>10055691.058</v>
      </c>
      <c r="V23" s="35">
        <f t="shared" si="8"/>
        <v>10055691.058</v>
      </c>
      <c r="W23" s="35">
        <f t="shared" si="8"/>
        <v>10055691.058</v>
      </c>
      <c r="X23" s="35">
        <f t="shared" si="8"/>
        <v>10055691.058</v>
      </c>
      <c r="Y23" s="35">
        <f t="shared" si="8"/>
        <v>10055691.058</v>
      </c>
      <c r="Z23" s="35">
        <f t="shared" si="8"/>
        <v>10055691.058</v>
      </c>
      <c r="AA23" s="35">
        <f t="shared" si="8"/>
        <v>10055691.058</v>
      </c>
      <c r="AB23" s="35">
        <f t="shared" si="8"/>
        <v>10055691.058</v>
      </c>
      <c r="AC23" s="35">
        <f t="shared" si="8"/>
        <v>10055691.058</v>
      </c>
      <c r="AD23" s="35">
        <f t="shared" si="8"/>
        <v>10055691.058</v>
      </c>
      <c r="AE23" s="35">
        <f t="shared" si="8"/>
        <v>10055691.058</v>
      </c>
      <c r="AF23" s="35">
        <f t="shared" si="8"/>
        <v>10055691.058</v>
      </c>
      <c r="AG23" s="35">
        <f t="shared" si="8"/>
        <v>10055691.058</v>
      </c>
    </row>
    <row r="24" spans="2:33" x14ac:dyDescent="0.25">
      <c r="B24" s="19" t="s">
        <v>19</v>
      </c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>
        <f>C30*0.1</f>
        <v>30167073.174000002</v>
      </c>
    </row>
    <row r="25" spans="2:33" x14ac:dyDescent="0.25">
      <c r="B25" s="19" t="s">
        <v>10</v>
      </c>
      <c r="C25" s="35"/>
      <c r="D25" s="35">
        <f>D15</f>
        <v>1369500.314</v>
      </c>
      <c r="E25" s="35">
        <f t="shared" ref="E25:AG25" si="9">E15</f>
        <v>1369500.314</v>
      </c>
      <c r="F25" s="35">
        <f t="shared" si="9"/>
        <v>1369500.314</v>
      </c>
      <c r="G25" s="35">
        <f t="shared" si="9"/>
        <v>1369500.314</v>
      </c>
      <c r="H25" s="35">
        <f t="shared" si="9"/>
        <v>1369500.314</v>
      </c>
      <c r="I25" s="35">
        <f t="shared" si="9"/>
        <v>1369500.314</v>
      </c>
      <c r="J25" s="35">
        <f t="shared" si="9"/>
        <v>1369500.314</v>
      </c>
      <c r="K25" s="35">
        <f t="shared" si="9"/>
        <v>1369500.314</v>
      </c>
      <c r="L25" s="35">
        <f t="shared" si="9"/>
        <v>1369500.314</v>
      </c>
      <c r="M25" s="35">
        <f t="shared" si="9"/>
        <v>1369500.314</v>
      </c>
      <c r="N25" s="35">
        <f t="shared" si="9"/>
        <v>1369500.314</v>
      </c>
      <c r="O25" s="35">
        <f t="shared" si="9"/>
        <v>1369500.314</v>
      </c>
      <c r="P25" s="35">
        <f t="shared" si="9"/>
        <v>1369500.314</v>
      </c>
      <c r="Q25" s="35">
        <f t="shared" si="9"/>
        <v>1369500.314</v>
      </c>
      <c r="R25" s="35">
        <f t="shared" si="9"/>
        <v>1369500.314</v>
      </c>
      <c r="S25" s="35">
        <f t="shared" si="9"/>
        <v>1369500.314</v>
      </c>
      <c r="T25" s="35">
        <f t="shared" si="9"/>
        <v>1369500.314</v>
      </c>
      <c r="U25" s="35">
        <f t="shared" si="9"/>
        <v>1369500.314</v>
      </c>
      <c r="V25" s="35">
        <f t="shared" si="9"/>
        <v>1369500.314</v>
      </c>
      <c r="W25" s="35">
        <f t="shared" si="9"/>
        <v>1369500.314</v>
      </c>
      <c r="X25" s="35">
        <f t="shared" si="9"/>
        <v>1369500.314</v>
      </c>
      <c r="Y25" s="35">
        <f t="shared" si="9"/>
        <v>1369500.314</v>
      </c>
      <c r="Z25" s="35">
        <f t="shared" si="9"/>
        <v>1369500.314</v>
      </c>
      <c r="AA25" s="35">
        <f t="shared" si="9"/>
        <v>1369500.314</v>
      </c>
      <c r="AB25" s="35">
        <f t="shared" si="9"/>
        <v>1369500.314</v>
      </c>
      <c r="AC25" s="35">
        <f t="shared" si="9"/>
        <v>1369500.314</v>
      </c>
      <c r="AD25" s="35">
        <f t="shared" si="9"/>
        <v>1369500.314</v>
      </c>
      <c r="AE25" s="35">
        <f t="shared" si="9"/>
        <v>1369500.314</v>
      </c>
      <c r="AF25" s="35">
        <f t="shared" si="9"/>
        <v>1369500.314</v>
      </c>
      <c r="AG25" s="35">
        <f t="shared" si="9"/>
        <v>1369500.314</v>
      </c>
    </row>
    <row r="26" spans="2:33" x14ac:dyDescent="0.25">
      <c r="B26" s="19" t="s">
        <v>20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>
        <f>C31</f>
        <v>116293074.96000001</v>
      </c>
    </row>
    <row r="27" spans="2:33" x14ac:dyDescent="0.25">
      <c r="B27" s="19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</row>
    <row r="28" spans="2:33" x14ac:dyDescent="0.25">
      <c r="B28" s="19" t="s">
        <v>21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</row>
    <row r="29" spans="2:33" x14ac:dyDescent="0.25">
      <c r="B29" s="19" t="s">
        <v>22</v>
      </c>
      <c r="C29" s="36">
        <f>Costos!I3</f>
        <v>41085009.420000002</v>
      </c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</row>
    <row r="30" spans="2:33" x14ac:dyDescent="0.25">
      <c r="B30" s="19" t="s">
        <v>23</v>
      </c>
      <c r="C30" s="36">
        <f>Costos!I4</f>
        <v>301670731.74000001</v>
      </c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</row>
    <row r="31" spans="2:33" x14ac:dyDescent="0.25">
      <c r="B31" s="19" t="s">
        <v>24</v>
      </c>
      <c r="C31" s="36">
        <f>Costos!I5</f>
        <v>116293074.96000001</v>
      </c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</row>
    <row r="32" spans="2:33" x14ac:dyDescent="0.25">
      <c r="B32" s="19" t="s">
        <v>52</v>
      </c>
      <c r="C32" s="36">
        <f>Costos!I6</f>
        <v>144956593.86000001</v>
      </c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</row>
    <row r="33" spans="2:33" x14ac:dyDescent="0.25">
      <c r="B33" s="19" t="s">
        <v>53</v>
      </c>
      <c r="C33" s="35">
        <f>SUM(C29:C32)*0.4</f>
        <v>241602163.99200001</v>
      </c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</row>
    <row r="34" spans="2:33" x14ac:dyDescent="0.25">
      <c r="B34" s="19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</row>
    <row r="35" spans="2:33" x14ac:dyDescent="0.25">
      <c r="B35" s="19" t="s">
        <v>64</v>
      </c>
      <c r="C35" s="41">
        <f>C33-SUM(C29:C32)</f>
        <v>-362403245.98800004</v>
      </c>
      <c r="D35" s="37">
        <f>D20-D21+SUM(D23:D26)</f>
        <v>55659846.289875947</v>
      </c>
      <c r="E35" s="37">
        <f t="shared" ref="E35:AF35" si="10">E20-E21+SUM(E23:E26)</f>
        <v>55627329.846452631</v>
      </c>
      <c r="F35" s="37">
        <f t="shared" si="10"/>
        <v>55590361.901924647</v>
      </c>
      <c r="G35" s="37">
        <f t="shared" si="10"/>
        <v>55548333.045790792</v>
      </c>
      <c r="H35" s="37">
        <f t="shared" si="10"/>
        <v>55500550.43925222</v>
      </c>
      <c r="I35" s="37">
        <f t="shared" si="10"/>
        <v>55446226.393878497</v>
      </c>
      <c r="J35" s="37">
        <f t="shared" si="10"/>
        <v>55384465.38669312</v>
      </c>
      <c r="K35" s="37">
        <f t="shared" si="10"/>
        <v>55314249.297624074</v>
      </c>
      <c r="L35" s="37">
        <f t="shared" si="10"/>
        <v>55234420.625961475</v>
      </c>
      <c r="M35" s="37">
        <f t="shared" si="10"/>
        <v>55143663.409148254</v>
      </c>
      <c r="N35" s="37">
        <f t="shared" si="10"/>
        <v>55040481.529353306</v>
      </c>
      <c r="O35" s="37">
        <f t="shared" si="10"/>
        <v>54923174.05021444</v>
      </c>
      <c r="P35" s="37">
        <f t="shared" si="10"/>
        <v>54789807.17718146</v>
      </c>
      <c r="Q35" s="37">
        <f t="shared" si="10"/>
        <v>54638182.379230253</v>
      </c>
      <c r="R35" s="37">
        <f t="shared" si="10"/>
        <v>54465800.146439545</v>
      </c>
      <c r="S35" s="37">
        <f t="shared" si="10"/>
        <v>54269818.785979778</v>
      </c>
      <c r="T35" s="37">
        <f t="shared" si="10"/>
        <v>54047007.577273063</v>
      </c>
      <c r="U35" s="37">
        <f t="shared" si="10"/>
        <v>53793693.514094405</v>
      </c>
      <c r="V35" s="37">
        <f t="shared" si="10"/>
        <v>53505700.755666584</v>
      </c>
      <c r="W35" s="37">
        <f t="shared" si="10"/>
        <v>53178281.788609989</v>
      </c>
      <c r="X35" s="37">
        <f t="shared" si="10"/>
        <v>52806039.164963357</v>
      </c>
      <c r="Y35" s="37">
        <f t="shared" si="10"/>
        <v>52382836.526139505</v>
      </c>
      <c r="Z35" s="37">
        <f t="shared" si="10"/>
        <v>51901697.446060665</v>
      </c>
      <c r="AA35" s="37">
        <f t="shared" si="10"/>
        <v>51354690.425919034</v>
      </c>
      <c r="AB35" s="37">
        <f t="shared" si="10"/>
        <v>50732798.144719996</v>
      </c>
      <c r="AC35" s="37">
        <f t="shared" si="10"/>
        <v>50025768.810224831</v>
      </c>
      <c r="AD35" s="37">
        <f t="shared" si="10"/>
        <v>49221947.159837261</v>
      </c>
      <c r="AE35" s="37">
        <f t="shared" si="10"/>
        <v>48308082.325511649</v>
      </c>
      <c r="AF35" s="37">
        <f t="shared" si="10"/>
        <v>47269109.395366848</v>
      </c>
      <c r="AG35" s="37">
        <f>AG20-AG21+SUM(AG23:AG26)</f>
        <v>192548049.20508525</v>
      </c>
    </row>
    <row r="36" spans="2:33" x14ac:dyDescent="0.25">
      <c r="B36" s="19" t="s">
        <v>65</v>
      </c>
      <c r="C36" s="35">
        <f>C35</f>
        <v>-362403245.98800004</v>
      </c>
      <c r="D36" s="35">
        <f t="shared" ref="D36:AG36" si="11">D35/((1+$C$42)^(D9))</f>
        <v>49929891.895902209</v>
      </c>
      <c r="E36" s="35">
        <f t="shared" si="11"/>
        <v>44763646.783023879</v>
      </c>
      <c r="F36" s="35">
        <f t="shared" si="11"/>
        <v>40128725.874443762</v>
      </c>
      <c r="G36" s="35">
        <f t="shared" si="11"/>
        <v>35970421.186906084</v>
      </c>
      <c r="H36" s="35">
        <f t="shared" si="11"/>
        <v>32239656.496139675</v>
      </c>
      <c r="I36" s="35">
        <f t="shared" si="11"/>
        <v>28892407.566145446</v>
      </c>
      <c r="J36" s="35">
        <f t="shared" si="11"/>
        <v>25889182.063435655</v>
      </c>
      <c r="K36" s="35">
        <f t="shared" si="11"/>
        <v>23194553.01190066</v>
      </c>
      <c r="L36" s="35">
        <f t="shared" si="11"/>
        <v>20776740.276512135</v>
      </c>
      <c r="M36" s="35">
        <f t="shared" si="11"/>
        <v>18607235.131488152</v>
      </c>
      <c r="N36" s="35">
        <f t="shared" si="11"/>
        <v>16660463.477548426</v>
      </c>
      <c r="O36" s="35">
        <f t="shared" si="11"/>
        <v>14913483.729491761</v>
      </c>
      <c r="P36" s="35">
        <f t="shared" si="11"/>
        <v>13345715.804925486</v>
      </c>
      <c r="Q36" s="35">
        <f t="shared" si="11"/>
        <v>11938698.012408193</v>
      </c>
      <c r="R36" s="35">
        <f t="shared" si="11"/>
        <v>10675868.966873001</v>
      </c>
      <c r="S36" s="35">
        <f t="shared" si="11"/>
        <v>9542371.9558728971</v>
      </c>
      <c r="T36" s="35">
        <f t="shared" si="11"/>
        <v>8524879.4454256129</v>
      </c>
      <c r="U36" s="35">
        <f t="shared" si="11"/>
        <v>7611435.6521663656</v>
      </c>
      <c r="V36" s="35">
        <f t="shared" si="11"/>
        <v>6791315.3219536208</v>
      </c>
      <c r="W36" s="35">
        <f t="shared" si="11"/>
        <v>6054897.0465376293</v>
      </c>
      <c r="X36" s="35">
        <f t="shared" si="11"/>
        <v>5393549.6216552593</v>
      </c>
      <c r="Y36" s="35">
        <f t="shared" si="11"/>
        <v>4799530.1039873632</v>
      </c>
      <c r="Z36" s="35">
        <f t="shared" si="11"/>
        <v>4265892.3626262471</v>
      </c>
      <c r="AA36" s="35">
        <f t="shared" si="11"/>
        <v>3786405.0446840255</v>
      </c>
      <c r="AB36" s="35">
        <f t="shared" si="11"/>
        <v>3355477.9858921273</v>
      </c>
      <c r="AC36" s="35">
        <f t="shared" si="11"/>
        <v>2968096.1968122926</v>
      </c>
      <c r="AD36" s="35">
        <f t="shared" si="11"/>
        <v>2619760.644778322</v>
      </c>
      <c r="AE36" s="35">
        <f t="shared" si="11"/>
        <v>2306435.1319734668</v>
      </c>
      <c r="AF36" s="35">
        <f t="shared" si="11"/>
        <v>2024498.6420686657</v>
      </c>
      <c r="AG36" s="35">
        <f t="shared" si="11"/>
        <v>7397718.7499462701</v>
      </c>
    </row>
    <row r="37" spans="2:33" x14ac:dyDescent="0.25">
      <c r="B37" s="18" t="s">
        <v>70</v>
      </c>
      <c r="C37" s="35">
        <f>C33</f>
        <v>241602163.99200001</v>
      </c>
      <c r="D37" s="35">
        <f>D10/((1+$C$42)^D9)</f>
        <v>146201693.63809252</v>
      </c>
      <c r="E37" s="35">
        <f t="shared" ref="E37:AG37" si="12">E10/((1+$C$42)^E9)</f>
        <v>131150824.96509789</v>
      </c>
      <c r="F37" s="35">
        <f t="shared" si="12"/>
        <v>117649381.89843366</v>
      </c>
      <c r="G37" s="35">
        <f t="shared" si="12"/>
        <v>105537857.38493817</v>
      </c>
      <c r="H37" s="35">
        <f t="shared" si="12"/>
        <v>94673164.972674087</v>
      </c>
      <c r="I37" s="35">
        <f t="shared" si="12"/>
        <v>84926948.376936823</v>
      </c>
      <c r="J37" s="35">
        <f t="shared" si="12"/>
        <v>76184065.069554731</v>
      </c>
      <c r="K37" s="35">
        <f t="shared" si="12"/>
        <v>68341225.976492479</v>
      </c>
      <c r="L37" s="35">
        <f t="shared" si="12"/>
        <v>61305775.213043593</v>
      </c>
      <c r="M37" s="35">
        <f t="shared" si="12"/>
        <v>54994595.44031325</v>
      </c>
      <c r="N37" s="35">
        <f t="shared" si="12"/>
        <v>49333125.91079089</v>
      </c>
      <c r="O37" s="35">
        <f t="shared" si="12"/>
        <v>44254481.602130413</v>
      </c>
      <c r="P37" s="35">
        <f t="shared" si="12"/>
        <v>39698663.032518581</v>
      </c>
      <c r="Q37" s="35">
        <f t="shared" si="12"/>
        <v>35611847.422331788</v>
      </c>
      <c r="R37" s="35">
        <f t="shared" si="12"/>
        <v>31945752.827812076</v>
      </c>
      <c r="S37" s="35">
        <f t="shared" si="12"/>
        <v>28657067.734590482</v>
      </c>
      <c r="T37" s="35">
        <f t="shared" si="12"/>
        <v>25706939.372233018</v>
      </c>
      <c r="U37" s="35">
        <f t="shared" si="12"/>
        <v>23060514.704719424</v>
      </c>
      <c r="V37" s="35">
        <f t="shared" si="12"/>
        <v>20686528.674081795</v>
      </c>
      <c r="W37" s="35">
        <f t="shared" si="12"/>
        <v>18556934.83268309</v>
      </c>
      <c r="X37" s="35">
        <f t="shared" si="12"/>
        <v>16646574.000397475</v>
      </c>
      <c r="Y37" s="35">
        <f t="shared" si="12"/>
        <v>14932877.032184036</v>
      </c>
      <c r="Z37" s="35">
        <f t="shared" si="12"/>
        <v>13395598.184527645</v>
      </c>
      <c r="AA37" s="35">
        <f t="shared" si="12"/>
        <v>12016575.930718403</v>
      </c>
      <c r="AB37" s="35">
        <f t="shared" si="12"/>
        <v>10779518.399223514</v>
      </c>
      <c r="AC37" s="35">
        <f t="shared" si="12"/>
        <v>9669810.9003045615</v>
      </c>
      <c r="AD37" s="35">
        <f t="shared" si="12"/>
        <v>8674343.266985327</v>
      </c>
      <c r="AE37" s="35">
        <f t="shared" si="12"/>
        <v>7781354.9705634657</v>
      </c>
      <c r="AF37" s="35">
        <f t="shared" si="12"/>
        <v>6980296.1808492104</v>
      </c>
      <c r="AG37" s="35">
        <f t="shared" si="12"/>
        <v>6261703.1296863994</v>
      </c>
    </row>
    <row r="38" spans="2:33" x14ac:dyDescent="0.25">
      <c r="B38" s="18" t="s">
        <v>71</v>
      </c>
      <c r="C38" s="35">
        <f>SUM(C29:C32)</f>
        <v>604005409.98000002</v>
      </c>
      <c r="D38" s="35">
        <f>(D11+D19+D21)/((1+$C$42)^D9)</f>
        <v>106520816.21346663</v>
      </c>
      <c r="E38" s="35">
        <f t="shared" ref="E38:AG38" si="13">(E11+E19+E21)/((1+$C$42)^E9)</f>
        <v>95581098.372317955</v>
      </c>
      <c r="F38" s="35">
        <f t="shared" si="13"/>
        <v>85768099.590536892</v>
      </c>
      <c r="G38" s="35">
        <f t="shared" si="13"/>
        <v>76965839.052948847</v>
      </c>
      <c r="H38" s="35">
        <f t="shared" si="13"/>
        <v>69070275.901735142</v>
      </c>
      <c r="I38" s="35">
        <f t="shared" si="13"/>
        <v>61988080.070543014</v>
      </c>
      <c r="J38" s="35">
        <f t="shared" si="13"/>
        <v>55635529.656296365</v>
      </c>
      <c r="K38" s="35">
        <f t="shared" si="13"/>
        <v>49937521.802168764</v>
      </c>
      <c r="L38" s="35">
        <f t="shared" si="13"/>
        <v>44826685.406208292</v>
      </c>
      <c r="M38" s="35">
        <f t="shared" si="13"/>
        <v>40242585.173080035</v>
      </c>
      <c r="N38" s="35">
        <f t="shared" si="13"/>
        <v>36131007.605526127</v>
      </c>
      <c r="O38" s="35">
        <f t="shared" si="13"/>
        <v>32443320.500185087</v>
      </c>
      <c r="P38" s="35">
        <f t="shared" si="13"/>
        <v>29135898.380797766</v>
      </c>
      <c r="Q38" s="35">
        <f t="shared" si="13"/>
        <v>26169607.080816586</v>
      </c>
      <c r="R38" s="35">
        <f t="shared" si="13"/>
        <v>23509341.386229716</v>
      </c>
      <c r="S38" s="35">
        <f t="shared" si="13"/>
        <v>21123610.276269201</v>
      </c>
      <c r="T38" s="35">
        <f t="shared" si="13"/>
        <v>18984164.861996699</v>
      </c>
      <c r="U38" s="35">
        <f t="shared" si="13"/>
        <v>17065664.627196293</v>
      </c>
      <c r="V38" s="35">
        <f t="shared" si="13"/>
        <v>15345378.028509848</v>
      </c>
      <c r="W38" s="35">
        <f t="shared" si="13"/>
        <v>13802913.917673029</v>
      </c>
      <c r="X38" s="35">
        <f t="shared" si="13"/>
        <v>12419980.612844238</v>
      </c>
      <c r="Y38" s="35">
        <f t="shared" si="13"/>
        <v>11180169.772667253</v>
      </c>
      <c r="Z38" s="35">
        <f t="shared" si="13"/>
        <v>10068762.519729251</v>
      </c>
      <c r="AA38" s="35">
        <f t="shared" si="13"/>
        <v>9072555.5229318757</v>
      </c>
      <c r="AB38" s="35">
        <f t="shared" si="13"/>
        <v>8179704.9840887673</v>
      </c>
      <c r="AC38" s="35">
        <f t="shared" si="13"/>
        <v>7379586.6855847212</v>
      </c>
      <c r="AD38" s="35">
        <f t="shared" si="13"/>
        <v>6662670.4456779333</v>
      </c>
      <c r="AE38" s="35">
        <f t="shared" si="13"/>
        <v>6020407.4982395452</v>
      </c>
      <c r="AF38" s="35">
        <f t="shared" si="13"/>
        <v>5445129.466414785</v>
      </c>
      <c r="AG38" s="35">
        <f t="shared" si="13"/>
        <v>4929957.7366611706</v>
      </c>
    </row>
    <row r="39" spans="2:33" x14ac:dyDescent="0.25">
      <c r="B39" s="18" t="s">
        <v>72</v>
      </c>
      <c r="C39" s="35">
        <f>SUM(C29:C32)</f>
        <v>604005409.98000002</v>
      </c>
      <c r="D39" s="13">
        <f>D11/((1+$C$42) ^D9)</f>
        <v>86012830.943436086</v>
      </c>
      <c r="E39" s="13">
        <f t="shared" ref="E39:AF39" si="14">E11/((1+$C$42) ^E9)</f>
        <v>77078869.003126591</v>
      </c>
      <c r="F39" s="13">
        <f t="shared" si="14"/>
        <v>69063047.254097998</v>
      </c>
      <c r="G39" s="13">
        <f t="shared" si="14"/>
        <v>61870815.627997667</v>
      </c>
      <c r="H39" s="13">
        <f t="shared" si="14"/>
        <v>55417356.979596645</v>
      </c>
      <c r="I39" s="13">
        <f t="shared" si="14"/>
        <v>49626585.10967306</v>
      </c>
      <c r="J39" s="13">
        <f t="shared" si="14"/>
        <v>44430245.93711216</v>
      </c>
      <c r="K39" s="13">
        <f t="shared" si="14"/>
        <v>39767111.201426506</v>
      </c>
      <c r="L39" s="13">
        <f t="shared" si="14"/>
        <v>35582255.17006176</v>
      </c>
      <c r="M39" s="13">
        <f t="shared" si="14"/>
        <v>31826405.80547839</v>
      </c>
      <c r="N39" s="13">
        <f t="shared" si="14"/>
        <v>28455362.726673603</v>
      </c>
      <c r="O39" s="13">
        <f t="shared" si="14"/>
        <v>25429475.088922784</v>
      </c>
      <c r="P39" s="13">
        <f t="shared" si="14"/>
        <v>22713173.213398539</v>
      </c>
      <c r="Q39" s="13">
        <f t="shared" si="14"/>
        <v>20274548.433330916</v>
      </c>
      <c r="R39" s="13">
        <f t="shared" si="14"/>
        <v>18084976.193006765</v>
      </c>
      <c r="S39" s="13">
        <f t="shared" si="14"/>
        <v>16118777.946899015</v>
      </c>
      <c r="T39" s="13">
        <f t="shared" si="14"/>
        <v>14352917.864604736</v>
      </c>
      <c r="U39" s="13">
        <f t="shared" si="14"/>
        <v>12766730.758469896</v>
      </c>
      <c r="V39" s="13">
        <f t="shared" si="14"/>
        <v>11341678.019646352</v>
      </c>
      <c r="W39" s="13">
        <f t="shared" si="14"/>
        <v>10061128.679220974</v>
      </c>
      <c r="X39" s="13">
        <f t="shared" si="14"/>
        <v>8910163.0078867599</v>
      </c>
      <c r="Y39" s="13">
        <f t="shared" si="14"/>
        <v>7875396.3338985424</v>
      </c>
      <c r="Z39" s="13">
        <f t="shared" si="14"/>
        <v>6944820.9979166361</v>
      </c>
      <c r="AA39" s="13">
        <f t="shared" si="14"/>
        <v>6107664.5776131339</v>
      </c>
      <c r="AB39" s="13">
        <f t="shared" si="14"/>
        <v>5354262.7071282025</v>
      </c>
      <c r="AC39" s="13">
        <f t="shared" si="14"/>
        <v>4675944.9888891699</v>
      </c>
      <c r="AD39" s="13">
        <f t="shared" si="14"/>
        <v>4064932.6499798731</v>
      </c>
      <c r="AE39" s="13">
        <f t="shared" si="14"/>
        <v>3514246.7339994842</v>
      </c>
      <c r="AF39" s="13">
        <f t="shared" si="14"/>
        <v>3017625.7438177457</v>
      </c>
      <c r="AG39" s="13">
        <f>(AG11/((1+$C$42) ^AG9))-((AG24+AG26)/((1+C42)^AG9))</f>
        <v>-3057564.3952053157</v>
      </c>
    </row>
    <row r="40" spans="2:33" x14ac:dyDescent="0.25">
      <c r="B40" s="18" t="s">
        <v>73</v>
      </c>
      <c r="C40" s="35">
        <f>SUM(C39:AG39)</f>
        <v>1381687195.2821045</v>
      </c>
    </row>
    <row r="41" spans="2:33" x14ac:dyDescent="0.25">
      <c r="C41" s="3"/>
    </row>
    <row r="42" spans="2:33" x14ac:dyDescent="0.25">
      <c r="B42" s="19" t="s">
        <v>62</v>
      </c>
      <c r="C42" s="39">
        <f>(0.4*C1)+(0.6*0.1)</f>
        <v>0.11476</v>
      </c>
    </row>
    <row r="43" spans="2:33" x14ac:dyDescent="0.25">
      <c r="B43" s="19" t="s">
        <v>63</v>
      </c>
      <c r="C43" s="37">
        <f>SUM(C36:AG36)</f>
        <v>102965708.19552471</v>
      </c>
    </row>
    <row r="44" spans="2:33" x14ac:dyDescent="0.25">
      <c r="B44" s="19" t="s">
        <v>66</v>
      </c>
      <c r="C44" s="38">
        <f>IRR(C35:AG35,0.2)</f>
        <v>0.15068208766398072</v>
      </c>
    </row>
    <row r="45" spans="2:33" x14ac:dyDescent="0.25">
      <c r="B45" s="18" t="s">
        <v>69</v>
      </c>
      <c r="C45" s="19">
        <f>SUM(C37:AG37)/SUM(C38:AG38)</f>
        <v>1.0010005107924917</v>
      </c>
    </row>
    <row r="46" spans="2:33" x14ac:dyDescent="0.25">
      <c r="B46" s="18" t="s">
        <v>74</v>
      </c>
      <c r="C46" s="14">
        <f>PMT(C42,30,C40)</f>
        <v>-164897816.06353664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9"/>
  <sheetViews>
    <sheetView workbookViewId="0">
      <selection activeCell="C7" sqref="C7"/>
    </sheetView>
  </sheetViews>
  <sheetFormatPr baseColWidth="10" defaultRowHeight="15" x14ac:dyDescent="0.25"/>
  <cols>
    <col min="2" max="2" width="29.140625" bestFit="1" customWidth="1"/>
    <col min="3" max="3" width="33.140625" bestFit="1" customWidth="1"/>
    <col min="4" max="5" width="14" bestFit="1" customWidth="1"/>
    <col min="6" max="6" width="15.140625" bestFit="1" customWidth="1"/>
    <col min="8" max="8" width="19.140625" bestFit="1" customWidth="1"/>
    <col min="9" max="9" width="15.140625" bestFit="1" customWidth="1"/>
  </cols>
  <sheetData>
    <row r="1" spans="2:9" ht="15.75" thickBot="1" x14ac:dyDescent="0.3"/>
    <row r="2" spans="2:9" ht="15.75" thickBot="1" x14ac:dyDescent="0.3">
      <c r="B2" s="1" t="s">
        <v>26</v>
      </c>
      <c r="C2" s="1" t="s">
        <v>27</v>
      </c>
      <c r="D2" s="1" t="s">
        <v>28</v>
      </c>
      <c r="E2" s="1" t="s">
        <v>29</v>
      </c>
      <c r="F2" s="2" t="s">
        <v>30</v>
      </c>
      <c r="H2" s="12" t="s">
        <v>67</v>
      </c>
      <c r="I2" s="12" t="s">
        <v>30</v>
      </c>
    </row>
    <row r="3" spans="2:9" ht="15.75" thickBot="1" x14ac:dyDescent="0.3">
      <c r="B3" s="22" t="s">
        <v>22</v>
      </c>
      <c r="C3" s="22" t="s">
        <v>31</v>
      </c>
      <c r="D3" s="24">
        <v>108.29</v>
      </c>
      <c r="E3" s="24">
        <f>D3*3161.65</f>
        <v>342375.0785</v>
      </c>
      <c r="F3" s="5">
        <f>E3*120</f>
        <v>41085009.420000002</v>
      </c>
      <c r="H3" s="13" t="s">
        <v>22</v>
      </c>
      <c r="I3" s="14">
        <f>F3</f>
        <v>41085009.420000002</v>
      </c>
    </row>
    <row r="4" spans="2:9" x14ac:dyDescent="0.25">
      <c r="B4" s="44" t="s">
        <v>25</v>
      </c>
      <c r="C4" s="8" t="s">
        <v>32</v>
      </c>
      <c r="D4" s="25">
        <v>26.42</v>
      </c>
      <c r="E4" s="25">
        <f t="shared" ref="E4:E19" si="0">D4*3161.65</f>
        <v>83530.793000000005</v>
      </c>
      <c r="F4" s="30">
        <f t="shared" ref="F4:F15" si="1">E4*120</f>
        <v>10023695.16</v>
      </c>
      <c r="H4" s="13" t="s">
        <v>54</v>
      </c>
      <c r="I4" s="14">
        <f>F12</f>
        <v>301670731.74000001</v>
      </c>
    </row>
    <row r="5" spans="2:9" x14ac:dyDescent="0.25">
      <c r="B5" s="46"/>
      <c r="C5" s="9" t="s">
        <v>33</v>
      </c>
      <c r="D5" s="26">
        <v>19.350000000000001</v>
      </c>
      <c r="E5" s="26">
        <f t="shared" si="0"/>
        <v>61177.927500000005</v>
      </c>
      <c r="F5" s="31">
        <f t="shared" si="1"/>
        <v>7341351.3000000007</v>
      </c>
      <c r="H5" s="13" t="s">
        <v>24</v>
      </c>
      <c r="I5" s="14">
        <f>SUM(F13:F14)</f>
        <v>116293074.96000001</v>
      </c>
    </row>
    <row r="6" spans="2:9" x14ac:dyDescent="0.25">
      <c r="B6" s="46"/>
      <c r="C6" s="9" t="s">
        <v>34</v>
      </c>
      <c r="D6" s="26">
        <v>30.62</v>
      </c>
      <c r="E6" s="26">
        <f t="shared" si="0"/>
        <v>96809.723000000013</v>
      </c>
      <c r="F6" s="31">
        <f t="shared" si="1"/>
        <v>11617166.760000002</v>
      </c>
      <c r="H6" s="13" t="s">
        <v>52</v>
      </c>
      <c r="I6" s="14">
        <f>SUM(F4:F11)</f>
        <v>144956593.86000001</v>
      </c>
    </row>
    <row r="7" spans="2:9" x14ac:dyDescent="0.25">
      <c r="B7" s="46"/>
      <c r="C7" s="9" t="s">
        <v>35</v>
      </c>
      <c r="D7" s="26">
        <v>8.1</v>
      </c>
      <c r="E7" s="26">
        <f t="shared" si="0"/>
        <v>25609.364999999998</v>
      </c>
      <c r="F7" s="31">
        <f t="shared" si="1"/>
        <v>3073123.8</v>
      </c>
    </row>
    <row r="8" spans="2:9" x14ac:dyDescent="0.25">
      <c r="B8" s="46"/>
      <c r="C8" s="9" t="s">
        <v>36</v>
      </c>
      <c r="D8" s="26">
        <v>90.87</v>
      </c>
      <c r="E8" s="26">
        <f t="shared" si="0"/>
        <v>287299.13550000003</v>
      </c>
      <c r="F8" s="31">
        <f t="shared" si="1"/>
        <v>34475896.260000005</v>
      </c>
    </row>
    <row r="9" spans="2:9" ht="15.75" thickBot="1" x14ac:dyDescent="0.3">
      <c r="B9" s="45"/>
      <c r="C9" s="10" t="s">
        <v>37</v>
      </c>
      <c r="D9" s="27">
        <v>59.08</v>
      </c>
      <c r="E9" s="27">
        <f t="shared" si="0"/>
        <v>186790.28200000001</v>
      </c>
      <c r="F9" s="32">
        <f t="shared" si="1"/>
        <v>22414833.84</v>
      </c>
    </row>
    <row r="10" spans="2:9" x14ac:dyDescent="0.25">
      <c r="B10" s="46" t="s">
        <v>38</v>
      </c>
      <c r="C10" s="8" t="s">
        <v>39</v>
      </c>
      <c r="D10" s="25">
        <v>101.76</v>
      </c>
      <c r="E10" s="25">
        <f t="shared" si="0"/>
        <v>321729.50400000002</v>
      </c>
      <c r="F10" s="30">
        <f t="shared" si="1"/>
        <v>38607540.480000004</v>
      </c>
    </row>
    <row r="11" spans="2:9" ht="15.75" thickBot="1" x14ac:dyDescent="0.3">
      <c r="B11" s="46"/>
      <c r="C11" s="10" t="s">
        <v>40</v>
      </c>
      <c r="D11" s="27">
        <v>45.87</v>
      </c>
      <c r="E11" s="27">
        <f t="shared" si="0"/>
        <v>145024.8855</v>
      </c>
      <c r="F11" s="32">
        <f t="shared" si="1"/>
        <v>17402986.260000002</v>
      </c>
    </row>
    <row r="12" spans="2:9" ht="15.75" thickBot="1" x14ac:dyDescent="0.3">
      <c r="B12" s="11" t="s">
        <v>54</v>
      </c>
      <c r="C12" s="4" t="s">
        <v>41</v>
      </c>
      <c r="D12" s="28">
        <v>795.13</v>
      </c>
      <c r="E12" s="28">
        <f t="shared" si="0"/>
        <v>2513922.7645</v>
      </c>
      <c r="F12" s="23">
        <f t="shared" si="1"/>
        <v>301670731.74000001</v>
      </c>
    </row>
    <row r="13" spans="2:9" x14ac:dyDescent="0.25">
      <c r="B13" s="44" t="s">
        <v>24</v>
      </c>
      <c r="C13" s="8" t="s">
        <v>42</v>
      </c>
      <c r="D13" s="25">
        <v>295.02</v>
      </c>
      <c r="E13" s="25">
        <f t="shared" si="0"/>
        <v>932749.98300000001</v>
      </c>
      <c r="F13" s="30">
        <f t="shared" si="1"/>
        <v>111929997.96000001</v>
      </c>
    </row>
    <row r="14" spans="2:9" ht="15.75" thickBot="1" x14ac:dyDescent="0.3">
      <c r="B14" s="45"/>
      <c r="C14" s="10" t="s">
        <v>43</v>
      </c>
      <c r="D14" s="27">
        <v>11.5</v>
      </c>
      <c r="E14" s="27">
        <f t="shared" si="0"/>
        <v>36358.974999999999</v>
      </c>
      <c r="F14" s="32">
        <f t="shared" si="1"/>
        <v>4363077</v>
      </c>
    </row>
    <row r="15" spans="2:9" ht="15.75" thickBot="1" x14ac:dyDescent="0.3">
      <c r="B15" s="42" t="s">
        <v>44</v>
      </c>
      <c r="C15" s="43"/>
      <c r="D15" s="29">
        <f>SUM(D3:D14)</f>
        <v>1592.01</v>
      </c>
      <c r="E15" s="29">
        <f t="shared" si="0"/>
        <v>5033378.4165000003</v>
      </c>
      <c r="F15" s="6">
        <f t="shared" si="1"/>
        <v>604005409.98000002</v>
      </c>
    </row>
    <row r="16" spans="2:9" ht="15.75" thickBot="1" x14ac:dyDescent="0.3">
      <c r="B16" s="22" t="s">
        <v>45</v>
      </c>
      <c r="C16" s="22" t="s">
        <v>46</v>
      </c>
      <c r="D16" s="24">
        <v>78.87</v>
      </c>
      <c r="E16" s="24">
        <f t="shared" si="0"/>
        <v>249359.33550000002</v>
      </c>
      <c r="F16" s="5">
        <f t="shared" ref="F16:F19" si="2">E16*100</f>
        <v>24935933.550000001</v>
      </c>
    </row>
    <row r="17" spans="2:6" ht="15.75" thickBot="1" x14ac:dyDescent="0.3">
      <c r="B17" s="22" t="s">
        <v>47</v>
      </c>
      <c r="C17" s="22" t="s">
        <v>48</v>
      </c>
      <c r="D17" s="24">
        <v>54.35</v>
      </c>
      <c r="E17" s="24">
        <f t="shared" si="0"/>
        <v>171835.67750000002</v>
      </c>
      <c r="F17" s="5">
        <f t="shared" si="2"/>
        <v>17183567.750000004</v>
      </c>
    </row>
    <row r="18" spans="2:6" x14ac:dyDescent="0.25">
      <c r="B18" s="44" t="s">
        <v>49</v>
      </c>
      <c r="C18" s="8" t="s">
        <v>50</v>
      </c>
      <c r="D18" s="25">
        <v>21.34</v>
      </c>
      <c r="E18" s="25">
        <f t="shared" si="0"/>
        <v>67469.611000000004</v>
      </c>
      <c r="F18" s="30">
        <f t="shared" si="2"/>
        <v>6746961.1000000006</v>
      </c>
    </row>
    <row r="19" spans="2:6" ht="15.75" thickBot="1" x14ac:dyDescent="0.3">
      <c r="B19" s="45"/>
      <c r="C19" s="10" t="s">
        <v>51</v>
      </c>
      <c r="D19" s="27">
        <v>7.96</v>
      </c>
      <c r="E19" s="27">
        <f t="shared" si="0"/>
        <v>25166.734</v>
      </c>
      <c r="F19" s="32">
        <f t="shared" si="2"/>
        <v>2516673.4</v>
      </c>
    </row>
  </sheetData>
  <mergeCells count="5">
    <mergeCell ref="B15:C15"/>
    <mergeCell ref="B18:B19"/>
    <mergeCell ref="B13:B14"/>
    <mergeCell ref="B10:B11"/>
    <mergeCell ref="B4:B9"/>
  </mergeCells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3"/>
  <sheetViews>
    <sheetView topLeftCell="A13" workbookViewId="0">
      <selection activeCell="D10" sqref="D10"/>
    </sheetView>
  </sheetViews>
  <sheetFormatPr baseColWidth="10" defaultRowHeight="15" x14ac:dyDescent="0.25"/>
  <cols>
    <col min="3" max="3" width="14.85546875" bestFit="1" customWidth="1"/>
    <col min="4" max="4" width="14.140625" bestFit="1" customWidth="1"/>
    <col min="5" max="5" width="14.85546875" bestFit="1" customWidth="1"/>
    <col min="6" max="6" width="15.140625" bestFit="1" customWidth="1"/>
  </cols>
  <sheetData>
    <row r="1" spans="2:6" x14ac:dyDescent="0.25">
      <c r="B1" t="s">
        <v>61</v>
      </c>
      <c r="C1">
        <v>30</v>
      </c>
      <c r="D1" t="s">
        <v>60</v>
      </c>
      <c r="E1" s="7">
        <f>'Flujo de Caja'!C1</f>
        <v>0.13689999999999999</v>
      </c>
    </row>
    <row r="2" spans="2:6" x14ac:dyDescent="0.25">
      <c r="B2" s="19" t="s">
        <v>55</v>
      </c>
      <c r="C2" s="19" t="s">
        <v>56</v>
      </c>
      <c r="D2" s="19" t="s">
        <v>57</v>
      </c>
      <c r="E2" s="19" t="s">
        <v>58</v>
      </c>
      <c r="F2" s="19" t="s">
        <v>59</v>
      </c>
    </row>
    <row r="3" spans="2:6" x14ac:dyDescent="0.25">
      <c r="B3" s="19">
        <v>0</v>
      </c>
      <c r="C3" s="13"/>
      <c r="D3" s="13"/>
      <c r="E3" s="13"/>
      <c r="F3" s="14">
        <f>'Flujo de Caja'!C33</f>
        <v>241602163.99200001</v>
      </c>
    </row>
    <row r="4" spans="2:6" x14ac:dyDescent="0.25">
      <c r="B4" s="19">
        <v>1</v>
      </c>
      <c r="C4" s="14">
        <f>-PMT(E$1,$C$1,$F$3)</f>
        <v>33795092.839550629</v>
      </c>
      <c r="D4" s="14">
        <f>F3*$E$1</f>
        <v>33075336.250504799</v>
      </c>
      <c r="E4" s="14">
        <f>C4-D4</f>
        <v>719756.58904583007</v>
      </c>
      <c r="F4" s="14">
        <f>F3-E4</f>
        <v>240882407.40295419</v>
      </c>
    </row>
    <row r="5" spans="2:6" x14ac:dyDescent="0.25">
      <c r="B5" s="19">
        <v>2</v>
      </c>
      <c r="C5" s="14">
        <f t="shared" ref="C5:C33" si="0">-PMT(E$1,$C$1,$F$3)</f>
        <v>33795092.839550629</v>
      </c>
      <c r="D5" s="14">
        <f t="shared" ref="D5:D33" si="1">F4*$E$1</f>
        <v>32976801.573464427</v>
      </c>
      <c r="E5" s="14">
        <f t="shared" ref="E5:E33" si="2">C5-D5</f>
        <v>818291.26608620211</v>
      </c>
      <c r="F5" s="14">
        <f t="shared" ref="F5:F33" si="3">F4-E5</f>
        <v>240064116.136868</v>
      </c>
    </row>
    <row r="6" spans="2:6" x14ac:dyDescent="0.25">
      <c r="B6" s="19">
        <v>3</v>
      </c>
      <c r="C6" s="14">
        <f t="shared" si="0"/>
        <v>33795092.839550629</v>
      </c>
      <c r="D6" s="14">
        <f t="shared" si="1"/>
        <v>32864777.499137226</v>
      </c>
      <c r="E6" s="14">
        <f t="shared" si="2"/>
        <v>930315.34041340277</v>
      </c>
      <c r="F6" s="14">
        <f t="shared" si="3"/>
        <v>239133800.79645461</v>
      </c>
    </row>
    <row r="7" spans="2:6" x14ac:dyDescent="0.25">
      <c r="B7" s="19">
        <v>4</v>
      </c>
      <c r="C7" s="14">
        <f t="shared" si="0"/>
        <v>33795092.839550629</v>
      </c>
      <c r="D7" s="14">
        <f t="shared" si="1"/>
        <v>32737417.329034634</v>
      </c>
      <c r="E7" s="14">
        <f t="shared" si="2"/>
        <v>1057675.5105159953</v>
      </c>
      <c r="F7" s="14">
        <f t="shared" si="3"/>
        <v>238076125.28593862</v>
      </c>
    </row>
    <row r="8" spans="2:6" x14ac:dyDescent="0.25">
      <c r="B8" s="19">
        <v>5</v>
      </c>
      <c r="C8" s="14">
        <f t="shared" si="0"/>
        <v>33795092.839550629</v>
      </c>
      <c r="D8" s="14">
        <f t="shared" si="1"/>
        <v>32592621.551644996</v>
      </c>
      <c r="E8" s="14">
        <f t="shared" si="2"/>
        <v>1202471.2879056334</v>
      </c>
      <c r="F8" s="14">
        <f t="shared" si="3"/>
        <v>236873653.99803299</v>
      </c>
    </row>
    <row r="9" spans="2:6" x14ac:dyDescent="0.25">
      <c r="B9" s="19">
        <v>6</v>
      </c>
      <c r="C9" s="14">
        <f t="shared" si="0"/>
        <v>33795092.839550629</v>
      </c>
      <c r="D9" s="14">
        <f t="shared" si="1"/>
        <v>32428003.232330713</v>
      </c>
      <c r="E9" s="14">
        <f t="shared" si="2"/>
        <v>1367089.6072199158</v>
      </c>
      <c r="F9" s="14">
        <f t="shared" si="3"/>
        <v>235506564.39081308</v>
      </c>
    </row>
    <row r="10" spans="2:6" x14ac:dyDescent="0.25">
      <c r="B10" s="19">
        <v>7</v>
      </c>
      <c r="C10" s="14">
        <f t="shared" si="0"/>
        <v>33795092.839550629</v>
      </c>
      <c r="D10" s="14">
        <f t="shared" si="1"/>
        <v>32240848.66510231</v>
      </c>
      <c r="E10" s="14">
        <f t="shared" si="2"/>
        <v>1554244.1744483188</v>
      </c>
      <c r="F10" s="14">
        <f t="shared" si="3"/>
        <v>233952320.21636477</v>
      </c>
    </row>
    <row r="11" spans="2:6" x14ac:dyDescent="0.25">
      <c r="B11" s="19">
        <v>8</v>
      </c>
      <c r="C11" s="14">
        <f t="shared" si="0"/>
        <v>33795092.839550629</v>
      </c>
      <c r="D11" s="14">
        <f t="shared" si="1"/>
        <v>32028072.637620337</v>
      </c>
      <c r="E11" s="14">
        <f t="shared" si="2"/>
        <v>1767020.201930292</v>
      </c>
      <c r="F11" s="14">
        <f t="shared" si="3"/>
        <v>232185300.01443449</v>
      </c>
    </row>
    <row r="12" spans="2:6" x14ac:dyDescent="0.25">
      <c r="B12" s="19">
        <v>9</v>
      </c>
      <c r="C12" s="14">
        <f t="shared" si="0"/>
        <v>33795092.839550629</v>
      </c>
      <c r="D12" s="14">
        <f t="shared" si="1"/>
        <v>31786167.571976081</v>
      </c>
      <c r="E12" s="14">
        <f t="shared" si="2"/>
        <v>2008925.2675745487</v>
      </c>
      <c r="F12" s="14">
        <f t="shared" si="3"/>
        <v>230176374.74685994</v>
      </c>
    </row>
    <row r="13" spans="2:6" x14ac:dyDescent="0.25">
      <c r="B13" s="19">
        <v>10</v>
      </c>
      <c r="C13" s="14">
        <f t="shared" si="0"/>
        <v>33795092.839550629</v>
      </c>
      <c r="D13" s="14">
        <f t="shared" si="1"/>
        <v>31511145.702845123</v>
      </c>
      <c r="E13" s="14">
        <f t="shared" si="2"/>
        <v>2283947.1367055066</v>
      </c>
      <c r="F13" s="14">
        <f t="shared" si="3"/>
        <v>227892427.61015442</v>
      </c>
    </row>
    <row r="14" spans="2:6" x14ac:dyDescent="0.25">
      <c r="B14" s="19">
        <v>11</v>
      </c>
      <c r="C14" s="14">
        <f t="shared" si="0"/>
        <v>33795092.839550629</v>
      </c>
      <c r="D14" s="14">
        <f t="shared" si="1"/>
        <v>31198473.339830138</v>
      </c>
      <c r="E14" s="14">
        <f t="shared" si="2"/>
        <v>2596619.4997204915</v>
      </c>
      <c r="F14" s="14">
        <f t="shared" si="3"/>
        <v>225295808.11043394</v>
      </c>
    </row>
    <row r="15" spans="2:6" x14ac:dyDescent="0.25">
      <c r="B15" s="19">
        <v>12</v>
      </c>
      <c r="C15" s="14">
        <f t="shared" si="0"/>
        <v>33795092.839550629</v>
      </c>
      <c r="D15" s="14">
        <f t="shared" si="1"/>
        <v>30842996.130318403</v>
      </c>
      <c r="E15" s="14">
        <f t="shared" si="2"/>
        <v>2952096.709232226</v>
      </c>
      <c r="F15" s="14">
        <f t="shared" si="3"/>
        <v>222343711.40120173</v>
      </c>
    </row>
    <row r="16" spans="2:6" x14ac:dyDescent="0.25">
      <c r="B16" s="19">
        <v>13</v>
      </c>
      <c r="C16" s="14">
        <f t="shared" si="0"/>
        <v>33795092.839550629</v>
      </c>
      <c r="D16" s="14">
        <f t="shared" si="1"/>
        <v>30438854.090824515</v>
      </c>
      <c r="E16" s="14">
        <f t="shared" si="2"/>
        <v>3356238.7487261146</v>
      </c>
      <c r="F16" s="14">
        <f t="shared" si="3"/>
        <v>218987472.6524756</v>
      </c>
    </row>
    <row r="17" spans="2:6" x14ac:dyDescent="0.25">
      <c r="B17" s="19">
        <v>14</v>
      </c>
      <c r="C17" s="14">
        <f t="shared" si="0"/>
        <v>33795092.839550629</v>
      </c>
      <c r="D17" s="14">
        <f t="shared" si="1"/>
        <v>29979385.006123908</v>
      </c>
      <c r="E17" s="14">
        <f t="shared" si="2"/>
        <v>3815707.8334267214</v>
      </c>
      <c r="F17" s="14">
        <f t="shared" si="3"/>
        <v>215171764.81904888</v>
      </c>
    </row>
    <row r="18" spans="2:6" x14ac:dyDescent="0.25">
      <c r="B18" s="19">
        <v>15</v>
      </c>
      <c r="C18" s="14">
        <f t="shared" si="0"/>
        <v>33795092.839550629</v>
      </c>
      <c r="D18" s="14">
        <f t="shared" si="1"/>
        <v>29457014.603727791</v>
      </c>
      <c r="E18" s="14">
        <f t="shared" si="2"/>
        <v>4338078.2358228378</v>
      </c>
      <c r="F18" s="14">
        <f t="shared" si="3"/>
        <v>210833686.58322605</v>
      </c>
    </row>
    <row r="19" spans="2:6" x14ac:dyDescent="0.25">
      <c r="B19" s="19">
        <v>16</v>
      </c>
      <c r="C19" s="14">
        <f t="shared" si="0"/>
        <v>33795092.839550629</v>
      </c>
      <c r="D19" s="14">
        <f t="shared" si="1"/>
        <v>28863131.693243645</v>
      </c>
      <c r="E19" s="14">
        <f t="shared" si="2"/>
        <v>4931961.1463069841</v>
      </c>
      <c r="F19" s="14">
        <f t="shared" si="3"/>
        <v>205901725.43691906</v>
      </c>
    </row>
    <row r="20" spans="2:6" x14ac:dyDescent="0.25">
      <c r="B20" s="19">
        <v>17</v>
      </c>
      <c r="C20" s="14">
        <f t="shared" si="0"/>
        <v>33795092.839550629</v>
      </c>
      <c r="D20" s="14">
        <f t="shared" si="1"/>
        <v>28187946.212314218</v>
      </c>
      <c r="E20" s="14">
        <f t="shared" si="2"/>
        <v>5607146.627236411</v>
      </c>
      <c r="F20" s="14">
        <f t="shared" si="3"/>
        <v>200294578.80968267</v>
      </c>
    </row>
    <row r="21" spans="2:6" x14ac:dyDescent="0.25">
      <c r="B21" s="19">
        <v>18</v>
      </c>
      <c r="C21" s="14">
        <f t="shared" si="0"/>
        <v>33795092.839550629</v>
      </c>
      <c r="D21" s="14">
        <f t="shared" si="1"/>
        <v>27420327.839045554</v>
      </c>
      <c r="E21" s="14">
        <f t="shared" si="2"/>
        <v>6374765.0005050749</v>
      </c>
      <c r="F21" s="14">
        <f t="shared" si="3"/>
        <v>193919813.80917758</v>
      </c>
    </row>
    <row r="22" spans="2:6" x14ac:dyDescent="0.25">
      <c r="B22" s="19">
        <v>19</v>
      </c>
      <c r="C22" s="14">
        <f t="shared" si="0"/>
        <v>33795092.839550629</v>
      </c>
      <c r="D22" s="14">
        <f t="shared" si="1"/>
        <v>26547622.51047641</v>
      </c>
      <c r="E22" s="14">
        <f t="shared" si="2"/>
        <v>7247470.3290742189</v>
      </c>
      <c r="F22" s="14">
        <f t="shared" si="3"/>
        <v>186672343.48010337</v>
      </c>
    </row>
    <row r="23" spans="2:6" x14ac:dyDescent="0.25">
      <c r="B23" s="19">
        <v>20</v>
      </c>
      <c r="C23" s="14">
        <f t="shared" si="0"/>
        <v>33795092.839550629</v>
      </c>
      <c r="D23" s="14">
        <f t="shared" si="1"/>
        <v>25555443.822426151</v>
      </c>
      <c r="E23" s="14">
        <f t="shared" si="2"/>
        <v>8239649.0171244778</v>
      </c>
      <c r="F23" s="14">
        <f t="shared" si="3"/>
        <v>178432694.4629789</v>
      </c>
    </row>
    <row r="24" spans="2:6" x14ac:dyDescent="0.25">
      <c r="B24" s="19">
        <v>21</v>
      </c>
      <c r="C24" s="14">
        <f t="shared" si="0"/>
        <v>33795092.839550629</v>
      </c>
      <c r="D24" s="14">
        <f t="shared" si="1"/>
        <v>24427435.871981811</v>
      </c>
      <c r="E24" s="14">
        <f t="shared" si="2"/>
        <v>9367656.9675688185</v>
      </c>
      <c r="F24" s="14">
        <f t="shared" si="3"/>
        <v>169065037.49541008</v>
      </c>
    </row>
    <row r="25" spans="2:6" x14ac:dyDescent="0.25">
      <c r="B25" s="19">
        <v>22</v>
      </c>
      <c r="C25" s="14">
        <f t="shared" si="0"/>
        <v>33795092.839550629</v>
      </c>
      <c r="D25" s="14">
        <f t="shared" si="1"/>
        <v>23145003.633121639</v>
      </c>
      <c r="E25" s="14">
        <f t="shared" si="2"/>
        <v>10650089.20642899</v>
      </c>
      <c r="F25" s="14">
        <f t="shared" si="3"/>
        <v>158414948.28898108</v>
      </c>
    </row>
    <row r="26" spans="2:6" x14ac:dyDescent="0.25">
      <c r="B26" s="19">
        <v>23</v>
      </c>
      <c r="C26" s="14">
        <f t="shared" si="0"/>
        <v>33795092.839550629</v>
      </c>
      <c r="D26" s="14">
        <f t="shared" si="1"/>
        <v>21687006.420761511</v>
      </c>
      <c r="E26" s="14">
        <f t="shared" si="2"/>
        <v>12108086.418789119</v>
      </c>
      <c r="F26" s="14">
        <f t="shared" si="3"/>
        <v>146306861.87019196</v>
      </c>
    </row>
    <row r="27" spans="2:6" x14ac:dyDescent="0.25">
      <c r="B27" s="19">
        <v>24</v>
      </c>
      <c r="C27" s="14">
        <f t="shared" si="0"/>
        <v>33795092.839550629</v>
      </c>
      <c r="D27" s="14">
        <f t="shared" si="1"/>
        <v>20029409.390029278</v>
      </c>
      <c r="E27" s="14">
        <f t="shared" si="2"/>
        <v>13765683.449521352</v>
      </c>
      <c r="F27" s="14">
        <f t="shared" si="3"/>
        <v>132541178.42067061</v>
      </c>
    </row>
    <row r="28" spans="2:6" x14ac:dyDescent="0.25">
      <c r="B28" s="19">
        <v>25</v>
      </c>
      <c r="C28" s="14">
        <f t="shared" si="0"/>
        <v>33795092.839550629</v>
      </c>
      <c r="D28" s="14">
        <f t="shared" si="1"/>
        <v>18144887.325789806</v>
      </c>
      <c r="E28" s="14">
        <f t="shared" si="2"/>
        <v>15650205.513760824</v>
      </c>
      <c r="F28" s="14">
        <f t="shared" si="3"/>
        <v>116890972.90690979</v>
      </c>
    </row>
    <row r="29" spans="2:6" x14ac:dyDescent="0.25">
      <c r="B29" s="19">
        <v>26</v>
      </c>
      <c r="C29" s="14">
        <f t="shared" si="0"/>
        <v>33795092.839550629</v>
      </c>
      <c r="D29" s="14">
        <f t="shared" si="1"/>
        <v>16002374.19095595</v>
      </c>
      <c r="E29" s="14">
        <f t="shared" si="2"/>
        <v>17792718.648594677</v>
      </c>
      <c r="F29" s="14">
        <f t="shared" si="3"/>
        <v>99098254.258315116</v>
      </c>
    </row>
    <row r="30" spans="2:6" x14ac:dyDescent="0.25">
      <c r="B30" s="19">
        <v>27</v>
      </c>
      <c r="C30" s="14">
        <f t="shared" si="0"/>
        <v>33795092.839550629</v>
      </c>
      <c r="D30" s="14">
        <f t="shared" si="1"/>
        <v>13566551.007963339</v>
      </c>
      <c r="E30" s="14">
        <f t="shared" si="2"/>
        <v>20228541.831587292</v>
      </c>
      <c r="F30" s="14">
        <f t="shared" si="3"/>
        <v>78869712.426727831</v>
      </c>
    </row>
    <row r="31" spans="2:6" x14ac:dyDescent="0.25">
      <c r="B31" s="19">
        <v>28</v>
      </c>
      <c r="C31" s="14">
        <f t="shared" si="0"/>
        <v>33795092.839550629</v>
      </c>
      <c r="D31" s="14">
        <f t="shared" si="1"/>
        <v>10797263.631219039</v>
      </c>
      <c r="E31" s="14">
        <f t="shared" si="2"/>
        <v>22997829.208331592</v>
      </c>
      <c r="F31" s="14">
        <f t="shared" si="3"/>
        <v>55871883.218396239</v>
      </c>
    </row>
    <row r="32" spans="2:6" x14ac:dyDescent="0.25">
      <c r="B32" s="19">
        <v>29</v>
      </c>
      <c r="C32" s="14">
        <f t="shared" si="0"/>
        <v>33795092.839550629</v>
      </c>
      <c r="D32" s="14">
        <f t="shared" si="1"/>
        <v>7648860.8125984445</v>
      </c>
      <c r="E32" s="14">
        <f t="shared" si="2"/>
        <v>26146232.026952185</v>
      </c>
      <c r="F32" s="14">
        <f t="shared" si="3"/>
        <v>29725651.191444054</v>
      </c>
    </row>
    <row r="33" spans="2:6" x14ac:dyDescent="0.25">
      <c r="B33" s="19">
        <v>30</v>
      </c>
      <c r="C33" s="14">
        <f t="shared" si="0"/>
        <v>33795092.839550629</v>
      </c>
      <c r="D33" s="14">
        <f t="shared" si="1"/>
        <v>4069441.648108691</v>
      </c>
      <c r="E33" s="14">
        <f t="shared" si="2"/>
        <v>29725651.191441938</v>
      </c>
      <c r="F33" s="14">
        <f t="shared" si="3"/>
        <v>2.1159648895263672E-6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Flujo de Caja</vt:lpstr>
      <vt:lpstr>Costos</vt:lpstr>
      <vt:lpstr>Amortización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Mc3 Corp.</dc:creator>
  <cp:lastModifiedBy>Mc3 Corp.</cp:lastModifiedBy>
  <dcterms:created xsi:type="dcterms:W3CDTF">2018-12-11T02:31:04Z</dcterms:created>
  <dcterms:modified xsi:type="dcterms:W3CDTF">2019-02-16T20:05:29Z</dcterms:modified>
</cp:coreProperties>
</file>