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harts/chart1.xml" ContentType="application/vnd.openxmlformats-officedocument.drawingml.chart+xml"/>
  <Override PartName="/xl/tables/table2.xml" ContentType="application/vnd.openxmlformats-officedocument.spreadsheetml.table+xml"/>
  <Override PartName="/xl/drawings/drawing2.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2.xml" ContentType="application/vnd.openxmlformats-officedocument.spreadsheetml.comments+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Personal Maria Cruz\Maria Cruz Avila\Especializacion\Proyecto Grado\"/>
    </mc:Choice>
  </mc:AlternateContent>
  <bookViews>
    <workbookView xWindow="0" yWindow="0" windowWidth="20490" windowHeight="7755" activeTab="2"/>
  </bookViews>
  <sheets>
    <sheet name="Nomina y Costos" sheetId="2" r:id="rId1"/>
    <sheet name="Ing_egre" sheetId="4" r:id="rId2"/>
    <sheet name="Flujo_Caja" sheetId="3" r:id="rId3"/>
  </sheets>
  <calcPr calcId="152511"/>
</workbook>
</file>

<file path=xl/calcChain.xml><?xml version="1.0" encoding="utf-8"?>
<calcChain xmlns="http://schemas.openxmlformats.org/spreadsheetml/2006/main">
  <c r="C41" i="3" l="1"/>
  <c r="D25" i="3"/>
  <c r="C18" i="3"/>
  <c r="B9" i="4"/>
  <c r="B8" i="4"/>
  <c r="B7" i="4"/>
  <c r="B6" i="4"/>
  <c r="B5" i="4"/>
  <c r="B4" i="4"/>
  <c r="E4" i="4"/>
  <c r="C4" i="4"/>
  <c r="B59" i="2" l="1"/>
  <c r="F35" i="2" l="1"/>
  <c r="D19" i="2" l="1"/>
  <c r="F19" i="2" s="1"/>
  <c r="U18" i="3" l="1"/>
  <c r="O18" i="3" l="1"/>
  <c r="E108" i="3" l="1"/>
  <c r="B49" i="3"/>
  <c r="F27" i="2"/>
  <c r="F26" i="2"/>
  <c r="F25" i="2"/>
  <c r="F24" i="2"/>
  <c r="F23" i="2"/>
  <c r="F22" i="2"/>
  <c r="F21" i="2"/>
  <c r="F20" i="2"/>
  <c r="F28" i="2" l="1"/>
  <c r="D50" i="3"/>
  <c r="H49" i="3" s="1"/>
  <c r="D51" i="3"/>
  <c r="C50" i="3"/>
  <c r="D32" i="3" s="1"/>
  <c r="E5" i="4" l="1"/>
  <c r="E6" i="4" s="1"/>
  <c r="E7" i="4" s="1"/>
  <c r="E8" i="4" s="1"/>
  <c r="E9" i="4" s="1"/>
  <c r="E50" i="3"/>
  <c r="D54" i="3"/>
  <c r="D53" i="3"/>
  <c r="D52" i="3"/>
  <c r="B50" i="3" l="1"/>
  <c r="C51" i="3" s="1"/>
  <c r="D37" i="3"/>
  <c r="E51" i="3" l="1"/>
  <c r="E32" i="3"/>
  <c r="B51" i="3" l="1"/>
  <c r="E37" i="3"/>
  <c r="C52" i="3" l="1"/>
  <c r="E52" i="3" l="1"/>
  <c r="F32" i="3"/>
  <c r="F37" i="3" l="1"/>
  <c r="B52" i="3"/>
  <c r="C53" i="3" l="1"/>
  <c r="C9" i="2"/>
  <c r="E3" i="2"/>
  <c r="F3" i="2" s="1"/>
  <c r="G3" i="2" s="1"/>
  <c r="E4" i="2"/>
  <c r="F4" i="2" s="1"/>
  <c r="G4" i="2" s="1"/>
  <c r="E5" i="2"/>
  <c r="F5" i="2" s="1"/>
  <c r="G5" i="2" s="1"/>
  <c r="E6" i="2"/>
  <c r="F6" i="2" s="1"/>
  <c r="G6" i="2" s="1"/>
  <c r="E7" i="2"/>
  <c r="F7" i="2" s="1"/>
  <c r="G7" i="2" s="1"/>
  <c r="E8" i="2"/>
  <c r="F8" i="2" s="1"/>
  <c r="G8" i="2" s="1"/>
  <c r="B54" i="2"/>
  <c r="F30" i="2"/>
  <c r="D4" i="4" l="1"/>
  <c r="D5" i="4" s="1"/>
  <c r="B25" i="3"/>
  <c r="B3" i="3"/>
  <c r="E53" i="3"/>
  <c r="G32" i="3"/>
  <c r="G9" i="2"/>
  <c r="D6" i="4" l="1"/>
  <c r="G37" i="3"/>
  <c r="B53" i="3"/>
  <c r="C54" i="3" s="1"/>
  <c r="G10" i="2"/>
  <c r="G11" i="2"/>
  <c r="G12" i="2" l="1"/>
  <c r="G15" i="2" s="1"/>
  <c r="F34" i="2" s="1"/>
  <c r="F36" i="2" s="1"/>
  <c r="F37" i="2" s="1"/>
  <c r="D7" i="4"/>
  <c r="H32" i="3"/>
  <c r="E54" i="3"/>
  <c r="F38" i="2" l="1"/>
  <c r="F39" i="2"/>
  <c r="F4" i="4"/>
  <c r="D8" i="4"/>
  <c r="B54" i="3"/>
  <c r="H37" i="3"/>
  <c r="F42" i="2" l="1"/>
  <c r="F44" i="2" s="1"/>
  <c r="F45" i="2" s="1"/>
  <c r="C5" i="4"/>
  <c r="C6" i="4" s="1"/>
  <c r="D9" i="4"/>
  <c r="F5" i="4" l="1"/>
  <c r="D7" i="3" s="1"/>
  <c r="C7" i="4"/>
  <c r="F6" i="4"/>
  <c r="D30" i="3" l="1"/>
  <c r="E7" i="3"/>
  <c r="E30" i="3"/>
  <c r="C8" i="4"/>
  <c r="F7" i="4"/>
  <c r="C59" i="2"/>
  <c r="D3" i="3"/>
  <c r="D6" i="3" s="1"/>
  <c r="F7" i="3" l="1"/>
  <c r="F30" i="3"/>
  <c r="C9" i="4"/>
  <c r="F9" i="4" s="1"/>
  <c r="F8" i="4"/>
  <c r="D28" i="3"/>
  <c r="E25" i="3"/>
  <c r="E3" i="3"/>
  <c r="D33" i="3" l="1"/>
  <c r="D34" i="3" s="1"/>
  <c r="D35" i="3" s="1"/>
  <c r="D41" i="3" s="1"/>
  <c r="H40" i="3"/>
  <c r="G7" i="3"/>
  <c r="G30" i="3"/>
  <c r="H7" i="3"/>
  <c r="H30" i="3"/>
  <c r="F3" i="3"/>
  <c r="E6" i="3"/>
  <c r="E10" i="3" s="1"/>
  <c r="E11" i="3" s="1"/>
  <c r="E12" i="3" s="1"/>
  <c r="E18" i="3" s="1"/>
  <c r="E28" i="3"/>
  <c r="E33" i="3" s="1"/>
  <c r="E34" i="3" s="1"/>
  <c r="E35" i="3" s="1"/>
  <c r="E41" i="3" s="1"/>
  <c r="F25" i="3"/>
  <c r="H17" i="3"/>
  <c r="D10" i="3"/>
  <c r="D11" i="3" l="1"/>
  <c r="D12" i="3" s="1"/>
  <c r="D18" i="3" s="1"/>
  <c r="G25" i="3"/>
  <c r="F28" i="3"/>
  <c r="F33" i="3" s="1"/>
  <c r="F34" i="3" s="1"/>
  <c r="F35" i="3" s="1"/>
  <c r="F41" i="3" s="1"/>
  <c r="G3" i="3"/>
  <c r="F6" i="3"/>
  <c r="F10" i="3" s="1"/>
  <c r="F11" i="3" s="1"/>
  <c r="F12" i="3" s="1"/>
  <c r="F18" i="3" s="1"/>
  <c r="H25" i="3" l="1"/>
  <c r="H28" i="3" s="1"/>
  <c r="H33" i="3" s="1"/>
  <c r="H34" i="3" s="1"/>
  <c r="H35" i="3" s="1"/>
  <c r="H41" i="3" s="1"/>
  <c r="G28" i="3"/>
  <c r="G33" i="3" s="1"/>
  <c r="G34" i="3" s="1"/>
  <c r="G35" i="3" s="1"/>
  <c r="G41" i="3" s="1"/>
  <c r="H3" i="3"/>
  <c r="H6" i="3" s="1"/>
  <c r="H10" i="3" s="1"/>
  <c r="H11" i="3" s="1"/>
  <c r="H12" i="3" s="1"/>
  <c r="H18" i="3" s="1"/>
  <c r="G6" i="3"/>
  <c r="G10" i="3" s="1"/>
  <c r="G11" i="3" s="1"/>
  <c r="G12" i="3" s="1"/>
  <c r="G18" i="3" s="1"/>
  <c r="C19" i="3" s="1"/>
  <c r="C21" i="3" l="1"/>
  <c r="C20" i="3"/>
  <c r="C108" i="3"/>
  <c r="C44" i="3"/>
  <c r="C42" i="3"/>
  <c r="C43" i="3" l="1"/>
  <c r="D108" i="3"/>
  <c r="B60" i="2" l="1"/>
  <c r="C60" i="2" s="1"/>
  <c r="B61" i="2" l="1"/>
  <c r="C61" i="2" s="1"/>
  <c r="B62" i="2" l="1"/>
  <c r="C62" i="2" s="1"/>
  <c r="B63" i="2" l="1"/>
  <c r="C63" i="2" s="1"/>
</calcChain>
</file>

<file path=xl/comments1.xml><?xml version="1.0" encoding="utf-8"?>
<comments xmlns="http://schemas.openxmlformats.org/spreadsheetml/2006/main">
  <authors>
    <author>Daniel Beltrán</author>
    <author>geovanni</author>
  </authors>
  <commentList>
    <comment ref="F19" authorId="0" shapeId="0">
      <text>
        <r>
          <rPr>
            <b/>
            <sz val="8"/>
            <color indexed="81"/>
            <rFont val="Tahoma"/>
            <family val="2"/>
          </rPr>
          <t>Daniel Beltrán:</t>
        </r>
        <r>
          <rPr>
            <sz val="8"/>
            <color indexed="81"/>
            <rFont val="Tahoma"/>
            <family val="2"/>
          </rPr>
          <t xml:space="preserve">
Se difiere la cuenta total en la duración del proyecto, sea para pago por compra o por renta de equipos.</t>
        </r>
      </text>
    </comment>
    <comment ref="G35" authorId="1" shapeId="0">
      <text>
        <r>
          <rPr>
            <b/>
            <sz val="9"/>
            <color indexed="81"/>
            <rFont val="Tahoma"/>
            <family val="2"/>
          </rPr>
          <t>Geovanni:</t>
        </r>
        <r>
          <rPr>
            <sz val="9"/>
            <color indexed="81"/>
            <rFont val="Tahoma"/>
            <family val="2"/>
          </rPr>
          <t xml:space="preserve">
Valor Arriendo 1.500.000 por 6 meses duración del proyecto</t>
        </r>
      </text>
    </comment>
  </commentList>
</comments>
</file>

<file path=xl/comments2.xml><?xml version="1.0" encoding="utf-8"?>
<comments xmlns="http://schemas.openxmlformats.org/spreadsheetml/2006/main">
  <authors>
    <author>Daniel Beltrán</author>
  </authors>
  <commentList>
    <comment ref="C3" authorId="0" shapeId="0">
      <text>
        <r>
          <rPr>
            <b/>
            <sz val="8"/>
            <color indexed="81"/>
            <rFont val="Tahoma"/>
            <family val="2"/>
          </rPr>
          <t>Daniel Beltrán:</t>
        </r>
        <r>
          <rPr>
            <sz val="8"/>
            <color indexed="81"/>
            <rFont val="Tahoma"/>
            <family val="2"/>
          </rPr>
          <t xml:space="preserve">
Agregamos esto para hacer el gradiente</t>
        </r>
      </text>
    </comment>
    <comment ref="A4" authorId="0" shapeId="0">
      <text>
        <r>
          <rPr>
            <b/>
            <sz val="8"/>
            <color indexed="81"/>
            <rFont val="Tahoma"/>
            <family val="2"/>
          </rPr>
          <t>Daniel Beltrán:</t>
        </r>
        <r>
          <rPr>
            <sz val="8"/>
            <color indexed="81"/>
            <rFont val="Tahoma"/>
            <family val="2"/>
          </rPr>
          <t xml:space="preserve">
Anualmente la cantidad de proyectos que se esperan vender crecera en proporcion de 2 anual</t>
        </r>
      </text>
    </comment>
    <comment ref="A8" authorId="0" shapeId="0">
      <text>
        <r>
          <rPr>
            <b/>
            <sz val="8"/>
            <color indexed="81"/>
            <rFont val="Tahoma"/>
            <family val="2"/>
          </rPr>
          <t>Geovanni:</t>
        </r>
        <r>
          <rPr>
            <sz val="8"/>
            <color indexed="81"/>
            <rFont val="Tahoma"/>
            <family val="2"/>
          </rPr>
          <t xml:space="preserve">
No se ve tan pertinente comprar equipos, sino alquilarlos, si es así, no habría depreciación de equipos pues eso lo asume quien no los renta.</t>
        </r>
      </text>
    </comment>
    <comment ref="A26" authorId="0" shapeId="0">
      <text>
        <r>
          <rPr>
            <b/>
            <sz val="8"/>
            <color indexed="81"/>
            <rFont val="Tahoma"/>
            <family val="2"/>
          </rPr>
          <t>Daniel Beltrán:</t>
        </r>
        <r>
          <rPr>
            <sz val="8"/>
            <color indexed="81"/>
            <rFont val="Tahoma"/>
            <family val="2"/>
          </rPr>
          <t xml:space="preserve">
Anualmente la cantidad de proyectos que se esperan vender crecera en proporcion de 2 anual</t>
        </r>
      </text>
    </comment>
    <comment ref="A31" authorId="0" shapeId="0">
      <text>
        <r>
          <rPr>
            <b/>
            <sz val="8"/>
            <color indexed="81"/>
            <rFont val="Tahoma"/>
            <family val="2"/>
          </rPr>
          <t>Geovanni:</t>
        </r>
        <r>
          <rPr>
            <sz val="8"/>
            <color indexed="81"/>
            <rFont val="Tahoma"/>
            <family val="2"/>
          </rPr>
          <t xml:space="preserve">
No se ve tan pertinente comprar equipos, sino alquilarlos, si es así, no habría depreciación de equipos pues eso lo asume quien no los renta.</t>
        </r>
      </text>
    </comment>
    <comment ref="C38" authorId="0" shapeId="0">
      <text>
        <r>
          <rPr>
            <b/>
            <sz val="8"/>
            <color indexed="81"/>
            <rFont val="Tahoma"/>
            <family val="2"/>
          </rPr>
          <t>Geovanni:</t>
        </r>
        <r>
          <rPr>
            <sz val="8"/>
            <color indexed="81"/>
            <rFont val="Tahoma"/>
            <family val="2"/>
          </rPr>
          <t xml:space="preserve">
Cambiando este valor se puede realizar analisis de sensibilidad.
Es decir con precio (sin prestamo, pesimista, realista), con precio optimista (alto), bajo(pesimista), medio(real)
sin prestamo, con prestamo 100%, y una porcio de prestamo</t>
        </r>
      </text>
    </comment>
  </commentList>
</comments>
</file>

<file path=xl/sharedStrings.xml><?xml version="1.0" encoding="utf-8"?>
<sst xmlns="http://schemas.openxmlformats.org/spreadsheetml/2006/main" count="162" uniqueCount="115">
  <si>
    <t>NOMINA</t>
  </si>
  <si>
    <t>CARGO</t>
  </si>
  <si>
    <t>CANTIDAD</t>
  </si>
  <si>
    <t>SALARIO</t>
  </si>
  <si>
    <t>PRESTACIONES</t>
  </si>
  <si>
    <t>COSTO</t>
  </si>
  <si>
    <t>COSTO MENSUAL</t>
  </si>
  <si>
    <t>Gerencia de proyecto</t>
  </si>
  <si>
    <t>Cantidad de personal</t>
  </si>
  <si>
    <t>TOTAL NOMINA COSTO MENSUAL</t>
  </si>
  <si>
    <t>INDEMNIZACIONES</t>
  </si>
  <si>
    <t>Horas extras</t>
  </si>
  <si>
    <t>CANTIDAD DE MESES A DIFEFIR</t>
  </si>
  <si>
    <t>MARGEN</t>
  </si>
  <si>
    <t>TRANSICIÓN - ENTREGA (meses)</t>
  </si>
  <si>
    <t>OTROS COSTOS</t>
  </si>
  <si>
    <t>ITEM</t>
  </si>
  <si>
    <t>COSTO UNITARIO</t>
  </si>
  <si>
    <t>COSTO TOTAL</t>
  </si>
  <si>
    <t>Equipos de Computo</t>
  </si>
  <si>
    <t>Internet</t>
  </si>
  <si>
    <t>Comunicaciones</t>
  </si>
  <si>
    <t>Servicios</t>
  </si>
  <si>
    <t>Papelería</t>
  </si>
  <si>
    <t>Insumos</t>
  </si>
  <si>
    <t>Fotocopias</t>
  </si>
  <si>
    <t>Impresiones</t>
  </si>
  <si>
    <t>TOTAL OTROS COSTOS MENSUAL</t>
  </si>
  <si>
    <t>OPCIONES DE VALOR</t>
  </si>
  <si>
    <t>Factor de Riesgo</t>
  </si>
  <si>
    <t>Pólizas</t>
  </si>
  <si>
    <t>ICA</t>
  </si>
  <si>
    <t>Timbre</t>
  </si>
  <si>
    <t>-</t>
  </si>
  <si>
    <t>Rete fuente</t>
  </si>
  <si>
    <t>TOTAL COSTO PROYECTO MENSUAL SIN IVA</t>
  </si>
  <si>
    <t>DEDICACIÓN MENSUAL</t>
  </si>
  <si>
    <t>Fuente: DANE, Banco de la republica</t>
  </si>
  <si>
    <t>Promedio</t>
  </si>
  <si>
    <t>Año</t>
  </si>
  <si>
    <t>IPC %</t>
  </si>
  <si>
    <t>PERSONAL REQUERIDO</t>
  </si>
  <si>
    <t>Ingresos por ventas</t>
  </si>
  <si>
    <t>Egresos</t>
  </si>
  <si>
    <t>(-)Depreciacion</t>
  </si>
  <si>
    <t>Intereses</t>
  </si>
  <si>
    <t>Flujo de caja antes de impuestos</t>
  </si>
  <si>
    <t>(-) impuestos 30%</t>
  </si>
  <si>
    <t>Flujo de caja despues impuesto</t>
  </si>
  <si>
    <t>(+}Depreciacion</t>
  </si>
  <si>
    <t>(-)Amortización</t>
  </si>
  <si>
    <t>(-) Inversión inicial</t>
  </si>
  <si>
    <t>recuperacion capital de trabajo</t>
  </si>
  <si>
    <t>Valor de salvamento</t>
  </si>
  <si>
    <t>Flujo de caja neto</t>
  </si>
  <si>
    <t>TIR</t>
  </si>
  <si>
    <t>VPN</t>
  </si>
  <si>
    <t>VPN con TIO</t>
  </si>
  <si>
    <t>TIO</t>
  </si>
  <si>
    <t>Saldo</t>
  </si>
  <si>
    <t>Pago</t>
  </si>
  <si>
    <t>Amortización</t>
  </si>
  <si>
    <t>Tasa</t>
  </si>
  <si>
    <t>IPC:</t>
  </si>
  <si>
    <t>Crecimiento anual Proyectos Vendidos</t>
  </si>
  <si>
    <t>Ingresos</t>
  </si>
  <si>
    <t>Nomina</t>
  </si>
  <si>
    <t>Puesto Trabajo</t>
  </si>
  <si>
    <t>Ingresos-Egresos por totalidad del proyecto genérico</t>
  </si>
  <si>
    <t>Total egresos</t>
  </si>
  <si>
    <t>Cantidad de proyectos</t>
  </si>
  <si>
    <t>Precio por proyecto</t>
  </si>
  <si>
    <t>El pago en esa cantidad de periodos, con esa tasa y al valor a financiar es:</t>
  </si>
  <si>
    <t>Precio Mensual Sin IVA - Proyecto Referente</t>
  </si>
  <si>
    <t>Precio Total proyecto Sin IVA - Proyecto Referente</t>
  </si>
  <si>
    <t>Tabla de amortización</t>
  </si>
  <si>
    <t>Interés</t>
  </si>
  <si>
    <t>La financiación se realiza para tener la base de arranque del negocio, (no es financiar por cada proyecto). Una vez se tienen los ingresos, estos se utilizan para pagar una parte al banco (Pago de la deuda amortizada) y reinvertir en el siguiente proyecto.</t>
  </si>
  <si>
    <t>Mejor Opción</t>
  </si>
  <si>
    <t>Bueno</t>
  </si>
  <si>
    <t>RESUMEN</t>
  </si>
  <si>
    <t>Observaciones TIR &gt; TIO</t>
  </si>
  <si>
    <t>A partir de IPC promedio de los últimos 5 años, se proyectan los precios (Ingresos) del proyecto aumentando el IPC, recordando que el valor del proyecto ya incluye margen del 20%</t>
  </si>
  <si>
    <t>Analista de Requerimientos y Pruebas</t>
  </si>
  <si>
    <t>Ingeniero de Desarrollo</t>
  </si>
  <si>
    <t>Ingeniero de Pruebas</t>
  </si>
  <si>
    <t>TOTAL NOMINA CON MARGEN 6 MESES</t>
  </si>
  <si>
    <t>Administración o Arriendo</t>
  </si>
  <si>
    <t>TOTAL  COSTO DEL PROYECTO CON MARGEN  6 MESES</t>
  </si>
  <si>
    <t>TOTAL OTROS COSTOS CON MARGEN 6 MESES</t>
  </si>
  <si>
    <t>Servidor Aplicaciones y de Base de datos Producción(con licencias)</t>
  </si>
  <si>
    <t>TOTAL  COSTO DEL PROYECTO CON MARGEN  Y OTROS COSTOS 6 MESES</t>
  </si>
  <si>
    <t>TOTAL COSTO PROYECTO  6 MESES</t>
  </si>
  <si>
    <t>Admin o Arriendo</t>
  </si>
  <si>
    <t>El proyecto planteado tiene un valor total de $ 267.774.134,64 correspondiente a la duración total del proyecto. Este precio crecerá proporcional al IPC del pais de origen del proyecto, para la proyección se ha utilizado un IPC del 4,42% determinado a partir del promedio de los últimos 5 años; es decir que se espera que el valor del proyecto crecerá el 4,42% anualmente. De la imsma maner, se espera que la cantidad de proyectos vendidos por año crezca en proporción de 2 veces respecto del año anterior durante los primeros 5 años. No se tiene en cuenta depreciación ya que los equipos y oficinas utilizadas serían alquilados dada la duración del proyecto. Si se desea financiar, hay un prestamo de 170'000000, que se va a cancelar bajo las siguientes condiciones, 5 pagos anuales iguales de R$ cada uno, y una tasa de interes del 25% EA. El inversionista manifiesta una TIO del 28%.</t>
  </si>
  <si>
    <t>Sin Financiación</t>
  </si>
  <si>
    <t>Con 170' Financiado</t>
  </si>
  <si>
    <t>Prestamos</t>
  </si>
  <si>
    <t>E. Realista</t>
  </si>
  <si>
    <t>E. Optimista</t>
  </si>
  <si>
    <t>E. Pesimista</t>
  </si>
  <si>
    <t>Q Vendidas</t>
  </si>
  <si>
    <t>Excelente</t>
  </si>
  <si>
    <t>Malo</t>
  </si>
  <si>
    <t>Ánalisis de Sensibilidad Con Financiación</t>
  </si>
  <si>
    <t>Ánalisis de Sensibilidad Sin financiación</t>
  </si>
  <si>
    <t>Coordinador de Desarrollo y Pruebas</t>
  </si>
  <si>
    <t>Líder de Diseño</t>
  </si>
  <si>
    <t>VECES AL AÑO</t>
  </si>
  <si>
    <t>FLUJO DE CAJA SIN FINANCIACIÓN</t>
  </si>
  <si>
    <t>IPC</t>
  </si>
  <si>
    <t>AÑO</t>
  </si>
  <si>
    <t>FLUJO DE CAJA CON FINANCIACIÓN 63%</t>
  </si>
  <si>
    <t>Periodo</t>
  </si>
  <si>
    <t>Observaciones
TIR &gt; TIO</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</si>
</sst>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5" formatCode="&quot;$&quot;#,##0;\-&quot;$&quot;#,##0"/>
    <numFmt numFmtId="41" formatCode="_-* #,##0_-;\-* #,##0_-;_-* &quot;-&quot;_-;_-@_-"/>
    <numFmt numFmtId="43" formatCode="_-* #,##0.00_-;\-* #,##0.00_-;_-* &quot;-&quot;??_-;_-@_-"/>
    <numFmt numFmtId="164" formatCode="&quot;$&quot;\ #,##0.00_);[Red]\(&quot;$&quot;\ #,##0.00\)"/>
    <numFmt numFmtId="165" formatCode="_(&quot;$&quot;\ * #,##0.00_);_(&quot;$&quot;\ * \(#,##0.00\);_(&quot;$&quot;\ * &quot;-&quot;??_);_(@_)"/>
    <numFmt numFmtId="166" formatCode="_(* #,##0.00_);_(* \(#,##0.00\);_(* &quot;-&quot;??_);_(@_)"/>
    <numFmt numFmtId="167" formatCode="&quot;$&quot;\ #,##0.00;&quot;$&quot;\ \-#,##0.00"/>
    <numFmt numFmtId="168" formatCode="_ &quot;$&quot;\ * #,##0.00_ ;_ &quot;$&quot;\ * \-#,##0.00_ ;_ &quot;$&quot;\ * &quot;-&quot;??_ ;_ @_ "/>
    <numFmt numFmtId="169" formatCode="_ * #,##0.00_ ;_ * \-#,##0.00_ ;_ * &quot;-&quot;??_ ;_ @_ "/>
    <numFmt numFmtId="170" formatCode="_(&quot;$&quot;* #,##0.00_);_(&quot;$&quot;* \(#,##0.00\);_(&quot;$&quot;* &quot;-&quot;??_);_(@_)"/>
    <numFmt numFmtId="171" formatCode="_ * #,##0_ ;_ * \-#,##0_ ;_ * &quot;-&quot;??_ ;_ @_ "/>
    <numFmt numFmtId="172" formatCode="&quot;Sí&quot;;&quot;Sí&quot;;&quot;No&quot;"/>
    <numFmt numFmtId="173" formatCode="0.0000000"/>
    <numFmt numFmtId="174" formatCode="_ [$€-2]\ * #,##0.00_ ;_ [$€-2]\ * \-#,##0.00_ ;_ [$€-2]\ * &quot;-&quot;??_ "/>
    <numFmt numFmtId="175" formatCode="_-* #,##0.00_-;\-* #,##0.00_-;_-* &quot;-&quot;_-;_-@_-"/>
    <numFmt numFmtId="176" formatCode="&quot;$&quot;#,##0"/>
    <numFmt numFmtId="177" formatCode="0.0%"/>
    <numFmt numFmtId="178" formatCode="[$$-240A]\ #,##0"/>
  </numFmts>
  <fonts count="34"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Helv"/>
    </font>
    <font>
      <b/>
      <sz val="10"/>
      <name val="Arial"/>
      <family val="2"/>
    </font>
    <font>
      <sz val="10"/>
      <name val="Arial"/>
      <family val="2"/>
    </font>
    <font>
      <b/>
      <sz val="8"/>
      <color indexed="81"/>
      <name val="Tahoma"/>
      <family val="2"/>
    </font>
    <font>
      <sz val="8"/>
      <color indexed="81"/>
      <name val="Tahoma"/>
      <family val="2"/>
    </font>
    <font>
      <sz val="11"/>
      <color indexed="8"/>
      <name val="Calibri"/>
      <family val="2"/>
    </font>
    <font>
      <u/>
      <sz val="11"/>
      <color indexed="12"/>
      <name val="Calibri"/>
      <family val="2"/>
    </font>
    <font>
      <b/>
      <sz val="11"/>
      <color theme="0"/>
      <name val="Calibri"/>
      <family val="2"/>
      <scheme val="minor"/>
    </font>
    <font>
      <sz val="11"/>
      <color theme="0"/>
      <name val="Calibri"/>
      <family val="2"/>
      <scheme val="minor"/>
    </font>
    <font>
      <sz val="9"/>
      <color indexed="81"/>
      <name val="Tahoma"/>
      <family val="2"/>
    </font>
    <font>
      <b/>
      <sz val="9"/>
      <color indexed="81"/>
      <name val="Tahoma"/>
      <family val="2"/>
    </font>
    <font>
      <sz val="11"/>
      <color rgb="FF9C6500"/>
      <name val="Calibri"/>
      <family val="2"/>
      <scheme val="minor"/>
    </font>
    <font>
      <sz val="11"/>
      <color rgb="FF3F3F76"/>
      <name val="Calibri"/>
      <family val="2"/>
      <scheme val="minor"/>
    </font>
    <font>
      <sz val="10"/>
      <color theme="1"/>
      <name val="Times New Roman"/>
      <family val="1"/>
    </font>
    <font>
      <b/>
      <sz val="11"/>
      <color rgb="FF3F3F76"/>
      <name val="Calibri"/>
      <family val="2"/>
      <scheme val="minor"/>
    </font>
    <font>
      <sz val="11"/>
      <color rgb="FF006100"/>
      <name val="Calibri"/>
      <family val="2"/>
      <scheme val="minor"/>
    </font>
    <font>
      <sz val="11"/>
      <color rgb="FF9C0006"/>
      <name val="Calibri"/>
      <family val="2"/>
      <scheme val="minor"/>
    </font>
    <font>
      <sz val="10"/>
      <color theme="1"/>
      <name val="Calibri"/>
      <family val="2"/>
      <scheme val="minor"/>
    </font>
    <font>
      <b/>
      <sz val="10"/>
      <color rgb="FFFFFFFF"/>
      <name val="Calibri"/>
      <family val="2"/>
      <scheme val="minor"/>
    </font>
    <font>
      <b/>
      <sz val="11"/>
      <color rgb="FFFF0000"/>
      <name val="Calibri"/>
      <family val="2"/>
      <scheme val="minor"/>
    </font>
    <font>
      <sz val="12"/>
      <color theme="1"/>
      <name val="Calibri"/>
      <family val="2"/>
      <scheme val="minor"/>
    </font>
    <font>
      <sz val="12"/>
      <color theme="0"/>
      <name val="Calibri"/>
      <family val="2"/>
      <scheme val="minor"/>
    </font>
    <font>
      <sz val="12"/>
      <color rgb="FFFF0000"/>
      <name val="Calibri"/>
      <family val="2"/>
      <scheme val="minor"/>
    </font>
    <font>
      <sz val="12"/>
      <color rgb="FF9C6500"/>
      <name val="Calibri"/>
      <family val="2"/>
      <scheme val="minor"/>
    </font>
    <font>
      <sz val="12"/>
      <color rgb="FF006100"/>
      <name val="Calibri"/>
      <family val="2"/>
      <scheme val="minor"/>
    </font>
    <font>
      <sz val="12"/>
      <color rgb="FF9C0006"/>
      <name val="Calibri"/>
      <family val="2"/>
      <scheme val="minor"/>
    </font>
    <font>
      <b/>
      <sz val="12"/>
      <color theme="0"/>
      <name val="Calibri"/>
      <family val="2"/>
      <scheme val="minor"/>
    </font>
    <font>
      <b/>
      <sz val="12"/>
      <color theme="1"/>
      <name val="Calibri"/>
      <family val="2"/>
      <scheme val="minor"/>
    </font>
    <font>
      <b/>
      <sz val="12"/>
      <color rgb="FF9C6500"/>
      <name val="Calibri"/>
      <family val="2"/>
      <scheme val="minor"/>
    </font>
    <font>
      <b/>
      <sz val="12"/>
      <color rgb="FF006100"/>
      <name val="Calibri"/>
      <family val="2"/>
      <scheme val="minor"/>
    </font>
  </fonts>
  <fills count="21">
    <fill>
      <patternFill patternType="none"/>
    </fill>
    <fill>
      <patternFill patternType="gray125"/>
    </fill>
    <fill>
      <patternFill patternType="solid">
        <fgColor indexed="44"/>
      </patternFill>
    </fill>
    <fill>
      <patternFill patternType="solid">
        <fgColor theme="8"/>
      </patternFill>
    </fill>
    <fill>
      <patternFill patternType="solid">
        <fgColor theme="0" tint="-0.14999847407452621"/>
        <bgColor theme="0" tint="-0.14999847407452621"/>
      </patternFill>
    </fill>
    <fill>
      <patternFill patternType="solid">
        <fgColor rgb="FFFFEB9C"/>
      </patternFill>
    </fill>
    <fill>
      <patternFill patternType="solid">
        <fgColor rgb="FFFFCC99"/>
      </patternFill>
    </fill>
    <fill>
      <patternFill patternType="solid">
        <fgColor rgb="FFC6EFCE"/>
      </patternFill>
    </fill>
    <fill>
      <patternFill patternType="solid">
        <fgColor rgb="FFFFC7CE"/>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0"/>
        <bgColor indexed="64"/>
      </patternFill>
    </fill>
    <fill>
      <patternFill patternType="solid">
        <fgColor rgb="FFFFFF66"/>
        <bgColor indexed="64"/>
      </patternFill>
    </fill>
    <fill>
      <patternFill patternType="solid">
        <fgColor rgb="FFCCFF99"/>
        <bgColor indexed="64"/>
      </patternFill>
    </fill>
    <fill>
      <patternFill patternType="solid">
        <fgColor theme="8" tint="0.59999389629810485"/>
        <bgColor indexed="64"/>
      </patternFill>
    </fill>
    <fill>
      <patternFill patternType="solid">
        <fgColor rgb="FFFFFFFF"/>
        <bgColor indexed="64"/>
      </patternFill>
    </fill>
    <fill>
      <patternFill patternType="solid">
        <fgColor theme="0" tint="-0.14999847407452621"/>
        <bgColor indexed="64"/>
      </patternFill>
    </fill>
  </fills>
  <borders count="28">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right/>
      <top style="thin">
        <color rgb="FF7F7F7F"/>
      </top>
      <bottom style="thin">
        <color rgb="FF7F7F7F"/>
      </bottom>
      <diagonal/>
    </border>
    <border>
      <left/>
      <right style="thin">
        <color rgb="FF7F7F7F"/>
      </right>
      <top style="thin">
        <color rgb="FF7F7F7F"/>
      </top>
      <bottom/>
      <diagonal/>
    </border>
    <border>
      <left/>
      <right style="thin">
        <color rgb="FF7F7F7F"/>
      </right>
      <top/>
      <bottom style="thin">
        <color rgb="FF7F7F7F"/>
      </bottom>
      <diagonal/>
    </border>
    <border>
      <left style="thin">
        <color rgb="FF7F7F7F"/>
      </left>
      <right/>
      <top/>
      <bottom style="thin">
        <color rgb="FF7F7F7F"/>
      </bottom>
      <diagonal/>
    </border>
    <border>
      <left style="thin">
        <color rgb="FF7F7F7F"/>
      </left>
      <right/>
      <top style="thin">
        <color rgb="FF7F7F7F"/>
      </top>
      <bottom/>
      <diagonal/>
    </border>
    <border>
      <left style="thin">
        <color indexed="64"/>
      </left>
      <right/>
      <top style="thin">
        <color indexed="64"/>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rgb="FF7F7F7F"/>
      </left>
      <right style="thin">
        <color rgb="FF7F7F7F"/>
      </right>
      <top style="thin">
        <color rgb="FF7F7F7F"/>
      </top>
      <bottom style="thin">
        <color theme="1" tint="0.499984740745262"/>
      </bottom>
      <diagonal/>
    </border>
    <border>
      <left style="thin">
        <color theme="3" tint="0.59999389629810485"/>
      </left>
      <right/>
      <top style="thin">
        <color theme="3" tint="0.59999389629810485"/>
      </top>
      <bottom style="thin">
        <color theme="3" tint="0.59999389629810485"/>
      </bottom>
      <diagonal/>
    </border>
    <border>
      <left/>
      <right/>
      <top style="thin">
        <color theme="3" tint="0.59999389629810485"/>
      </top>
      <bottom style="thin">
        <color theme="3" tint="0.59999389629810485"/>
      </bottom>
      <diagonal/>
    </border>
    <border>
      <left/>
      <right style="thin">
        <color theme="3" tint="0.59999389629810485"/>
      </right>
      <top style="thin">
        <color theme="3" tint="0.59999389629810485"/>
      </top>
      <bottom style="thin">
        <color theme="3" tint="0.59999389629810485"/>
      </bottom>
      <diagonal/>
    </border>
  </borders>
  <cellStyleXfs count="51">
    <xf numFmtId="0" fontId="0" fillId="0" borderId="0"/>
    <xf numFmtId="9" fontId="1" fillId="0" borderId="0" applyFont="0" applyFill="0" applyBorder="0" applyAlignment="0" applyProtection="0"/>
    <xf numFmtId="0" fontId="3" fillId="0" borderId="0"/>
    <xf numFmtId="0" fontId="6" fillId="0" borderId="0"/>
    <xf numFmtId="0" fontId="5" fillId="2" borderId="1">
      <alignment vertical="top" wrapText="1"/>
    </xf>
    <xf numFmtId="169" fontId="6" fillId="0" borderId="0" applyFont="0" applyFill="0" applyBorder="0" applyAlignment="0" applyProtection="0"/>
    <xf numFmtId="169" fontId="6" fillId="0" borderId="0" applyFont="0" applyFill="0" applyBorder="0" applyAlignment="0" applyProtection="0"/>
    <xf numFmtId="0" fontId="4" fillId="0" borderId="0"/>
    <xf numFmtId="174" fontId="6" fillId="0" borderId="0" applyFont="0" applyFill="0" applyBorder="0" applyAlignment="0" applyProtection="0"/>
    <xf numFmtId="0" fontId="10" fillId="0" borderId="0" applyNumberFormat="0" applyFill="0" applyBorder="0" applyAlignment="0" applyProtection="0">
      <alignment vertical="top"/>
      <protection locked="0"/>
    </xf>
    <xf numFmtId="169" fontId="3" fillId="0" borderId="0" applyFont="0" applyFill="0" applyBorder="0" applyAlignment="0" applyProtection="0"/>
    <xf numFmtId="167"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7"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6" fontId="9" fillId="0" borderId="0" applyFont="0" applyFill="0" applyBorder="0" applyAlignment="0" applyProtection="0"/>
    <xf numFmtId="43" fontId="6" fillId="0" borderId="0" applyFont="0" applyFill="0" applyBorder="0" applyAlignment="0" applyProtection="0"/>
    <xf numFmtId="166" fontId="9" fillId="0" borderId="0" applyFont="0" applyFill="0" applyBorder="0" applyAlignment="0" applyProtection="0"/>
    <xf numFmtId="173" fontId="6" fillId="0" borderId="0" applyFont="0" applyFill="0" applyBorder="0" applyAlignment="0" applyProtection="0"/>
    <xf numFmtId="172" fontId="6" fillId="0" borderId="0" applyFont="0" applyFill="0" applyBorder="0" applyAlignment="0" applyProtection="0"/>
    <xf numFmtId="170" fontId="9"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68" fontId="6" fillId="0" borderId="0" applyFont="0" applyFill="0" applyBorder="0" applyAlignment="0" applyProtection="0"/>
    <xf numFmtId="0" fontId="6" fillId="0" borderId="0"/>
    <xf numFmtId="0" fontId="6" fillId="0" borderId="0"/>
    <xf numFmtId="0" fontId="9" fillId="0" borderId="0"/>
    <xf numFmtId="0" fontId="6" fillId="0" borderId="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 fillId="0" borderId="0"/>
    <xf numFmtId="0" fontId="6" fillId="0" borderId="0" applyFont="0" applyFill="0" applyBorder="0" applyAlignment="0" applyProtection="0"/>
    <xf numFmtId="165" fontId="1" fillId="0" borderId="0" applyFont="0" applyFill="0" applyBorder="0" applyAlignment="0" applyProtection="0"/>
    <xf numFmtId="0" fontId="12" fillId="3" borderId="0" applyNumberFormat="0" applyBorder="0" applyAlignment="0" applyProtection="0"/>
    <xf numFmtId="41" fontId="1" fillId="0" borderId="0" applyFont="0" applyFill="0" applyBorder="0" applyAlignment="0" applyProtection="0"/>
    <xf numFmtId="0" fontId="15" fillId="5" borderId="0" applyNumberFormat="0" applyBorder="0" applyAlignment="0" applyProtection="0"/>
    <xf numFmtId="0" fontId="16" fillId="6" borderId="10" applyNumberFormat="0" applyAlignment="0" applyProtection="0"/>
    <xf numFmtId="0" fontId="19" fillId="7" borderId="0" applyNumberFormat="0" applyBorder="0" applyAlignment="0" applyProtection="0"/>
    <xf numFmtId="0" fontId="20"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2" fillId="14" borderId="0" applyNumberFormat="0" applyBorder="0" applyAlignment="0" applyProtection="0"/>
  </cellStyleXfs>
  <cellXfs count="150">
    <xf numFmtId="0" fontId="0" fillId="0" borderId="0" xfId="0"/>
    <xf numFmtId="164" fontId="0" fillId="0" borderId="0" xfId="0" applyNumberFormat="1"/>
    <xf numFmtId="0" fontId="0" fillId="0" borderId="0" xfId="0" applyAlignment="1">
      <alignment vertical="center" wrapText="1"/>
    </xf>
    <xf numFmtId="0" fontId="0" fillId="0" borderId="0" xfId="0" applyAlignment="1">
      <alignment vertical="center"/>
    </xf>
    <xf numFmtId="0" fontId="0" fillId="0" borderId="0" xfId="0" applyAlignment="1">
      <alignment horizontal="center" vertical="center"/>
    </xf>
    <xf numFmtId="9" fontId="11" fillId="3" borderId="0" xfId="39" applyNumberFormat="1" applyFont="1" applyAlignment="1">
      <alignment horizontal="center" vertical="center"/>
    </xf>
    <xf numFmtId="165" fontId="0" fillId="0" borderId="0" xfId="0" applyNumberFormat="1" applyBorder="1" applyAlignment="1">
      <alignment horizontal="center" vertical="center"/>
    </xf>
    <xf numFmtId="0" fontId="0" fillId="0" borderId="0" xfId="0" applyBorder="1" applyAlignment="1">
      <alignment horizontal="center" vertical="center"/>
    </xf>
    <xf numFmtId="0" fontId="0" fillId="0" borderId="0" xfId="0" applyAlignment="1">
      <alignment horizontal="center" vertical="center" wrapText="1"/>
    </xf>
    <xf numFmtId="0" fontId="11" fillId="3" borderId="0" xfId="39" applyFont="1" applyBorder="1" applyAlignment="1">
      <alignment horizontal="center" vertical="center"/>
    </xf>
    <xf numFmtId="9" fontId="16" fillId="6" borderId="15" xfId="1" applyFont="1" applyFill="1" applyBorder="1" applyAlignment="1">
      <alignment horizontal="center" vertical="center" wrapText="1"/>
    </xf>
    <xf numFmtId="0" fontId="18" fillId="6" borderId="10" xfId="42" applyFont="1" applyAlignment="1">
      <alignment horizontal="center" vertical="center" wrapText="1"/>
    </xf>
    <xf numFmtId="176" fontId="18" fillId="0" borderId="10" xfId="42" applyNumberFormat="1" applyFont="1" applyFill="1" applyAlignment="1">
      <alignment horizontal="center" vertical="center" wrapText="1"/>
    </xf>
    <xf numFmtId="0" fontId="16" fillId="0" borderId="10" xfId="1" applyNumberFormat="1" applyFont="1" applyFill="1" applyBorder="1" applyAlignment="1">
      <alignment horizontal="center" vertical="center" wrapText="1"/>
    </xf>
    <xf numFmtId="0" fontId="17" fillId="0" borderId="0" xfId="0" applyFont="1" applyAlignment="1">
      <alignment vertical="center"/>
    </xf>
    <xf numFmtId="9" fontId="16" fillId="0" borderId="10" xfId="1" applyFont="1" applyFill="1" applyBorder="1" applyAlignment="1">
      <alignment horizontal="right" vertical="center" wrapText="1"/>
    </xf>
    <xf numFmtId="9" fontId="16" fillId="0" borderId="10" xfId="1" applyFont="1" applyFill="1" applyBorder="1" applyAlignment="1">
      <alignment horizontal="center" vertical="center" wrapText="1"/>
    </xf>
    <xf numFmtId="177" fontId="16" fillId="0" borderId="10" xfId="1" applyNumberFormat="1" applyFont="1" applyFill="1" applyBorder="1" applyAlignment="1">
      <alignment horizontal="center" vertical="center" wrapText="1"/>
    </xf>
    <xf numFmtId="10" fontId="18" fillId="6" borderId="10" xfId="1" applyNumberFormat="1" applyFont="1" applyFill="1" applyBorder="1" applyAlignment="1">
      <alignment horizontal="center" vertical="center" wrapText="1"/>
    </xf>
    <xf numFmtId="0" fontId="21" fillId="0" borderId="0" xfId="0" applyFont="1"/>
    <xf numFmtId="0" fontId="21" fillId="0" borderId="0" xfId="0" applyFont="1" applyAlignment="1">
      <alignment horizontal="left" vertical="center"/>
    </xf>
    <xf numFmtId="0" fontId="16" fillId="6" borderId="10" xfId="42" applyAlignment="1">
      <alignment horizontal="center" vertical="center"/>
    </xf>
    <xf numFmtId="0" fontId="18" fillId="6" borderId="10" xfId="42" applyFont="1" applyAlignment="1">
      <alignment horizontal="center" vertical="center"/>
    </xf>
    <xf numFmtId="0" fontId="18" fillId="6" borderId="11" xfId="42" applyFont="1" applyBorder="1" applyAlignment="1">
      <alignment horizontal="center" vertical="center"/>
    </xf>
    <xf numFmtId="0" fontId="18" fillId="6" borderId="14" xfId="42" applyFont="1" applyBorder="1" applyAlignment="1">
      <alignment horizontal="center" vertical="center"/>
    </xf>
    <xf numFmtId="0" fontId="16" fillId="6" borderId="11" xfId="42" applyBorder="1" applyAlignment="1">
      <alignment horizontal="center" vertical="center"/>
    </xf>
    <xf numFmtId="176" fontId="18" fillId="0" borderId="18" xfId="42" applyNumberFormat="1" applyFont="1" applyFill="1" applyBorder="1" applyAlignment="1">
      <alignment horizontal="center" vertical="center"/>
    </xf>
    <xf numFmtId="176" fontId="18" fillId="0" borderId="15" xfId="42" applyNumberFormat="1" applyFont="1" applyFill="1" applyBorder="1" applyAlignment="1">
      <alignment horizontal="center" vertical="center"/>
    </xf>
    <xf numFmtId="176" fontId="18" fillId="0" borderId="19" xfId="42" applyNumberFormat="1" applyFont="1" applyFill="1" applyBorder="1" applyAlignment="1">
      <alignment horizontal="center" vertical="center"/>
    </xf>
    <xf numFmtId="176" fontId="18" fillId="0" borderId="12" xfId="42" applyNumberFormat="1" applyFont="1" applyFill="1" applyBorder="1" applyAlignment="1">
      <alignment horizontal="center" vertical="center"/>
    </xf>
    <xf numFmtId="176" fontId="18" fillId="0" borderId="10" xfId="42" applyNumberFormat="1" applyFont="1" applyFill="1" applyBorder="1" applyAlignment="1">
      <alignment horizontal="center" vertical="center"/>
    </xf>
    <xf numFmtId="176" fontId="18" fillId="0" borderId="11" xfId="42" applyNumberFormat="1" applyFont="1" applyFill="1" applyBorder="1" applyAlignment="1">
      <alignment horizontal="center" vertical="center"/>
    </xf>
    <xf numFmtId="176" fontId="18" fillId="0" borderId="17" xfId="42" applyNumberFormat="1" applyFont="1" applyFill="1" applyBorder="1" applyAlignment="1">
      <alignment horizontal="center" vertical="center"/>
    </xf>
    <xf numFmtId="176" fontId="18" fillId="0" borderId="14" xfId="42" applyNumberFormat="1" applyFont="1" applyFill="1" applyBorder="1" applyAlignment="1">
      <alignment horizontal="center" vertical="center"/>
    </xf>
    <xf numFmtId="176" fontId="18" fillId="0" borderId="20" xfId="42" applyNumberFormat="1" applyFont="1" applyFill="1" applyBorder="1" applyAlignment="1">
      <alignment horizontal="center" vertical="center"/>
    </xf>
    <xf numFmtId="0" fontId="16" fillId="6" borderId="10" xfId="42" applyFont="1" applyAlignment="1">
      <alignment horizontal="left" vertical="center" wrapText="1"/>
    </xf>
    <xf numFmtId="9" fontId="16" fillId="0" borderId="10" xfId="42" applyNumberFormat="1" applyFont="1" applyFill="1" applyAlignment="1">
      <alignment horizontal="center" vertical="center" wrapText="1"/>
    </xf>
    <xf numFmtId="3" fontId="16" fillId="0" borderId="10" xfId="42" applyNumberFormat="1" applyFont="1" applyFill="1" applyAlignment="1">
      <alignment horizontal="center" vertical="center" wrapText="1"/>
    </xf>
    <xf numFmtId="176" fontId="16" fillId="0" borderId="10" xfId="42" applyNumberFormat="1" applyFont="1" applyFill="1" applyAlignment="1">
      <alignment horizontal="center" vertical="center" wrapText="1"/>
    </xf>
    <xf numFmtId="3" fontId="16" fillId="0" borderId="10" xfId="42" applyNumberFormat="1" applyFont="1" applyFill="1" applyAlignment="1">
      <alignment horizontal="center" vertical="center"/>
    </xf>
    <xf numFmtId="176" fontId="16" fillId="0" borderId="10" xfId="42" applyNumberFormat="1" applyFont="1" applyFill="1" applyAlignment="1">
      <alignment horizontal="center" vertical="center"/>
    </xf>
    <xf numFmtId="0" fontId="16" fillId="6" borderId="14" xfId="42" applyFont="1" applyBorder="1" applyAlignment="1">
      <alignment horizontal="left" vertical="center" wrapText="1"/>
    </xf>
    <xf numFmtId="3" fontId="16" fillId="6" borderId="10" xfId="42" applyNumberFormat="1" applyFont="1" applyAlignment="1">
      <alignment horizontal="center" vertical="center" wrapText="1"/>
    </xf>
    <xf numFmtId="176" fontId="16" fillId="6" borderId="14" xfId="42" applyNumberFormat="1" applyFont="1" applyBorder="1" applyAlignment="1">
      <alignment horizontal="center" vertical="center" wrapText="1"/>
    </xf>
    <xf numFmtId="0" fontId="15" fillId="5" borderId="13" xfId="41" applyFont="1" applyBorder="1" applyAlignment="1">
      <alignment horizontal="center" vertical="center" wrapText="1"/>
    </xf>
    <xf numFmtId="177" fontId="15" fillId="5" borderId="13" xfId="41" applyNumberFormat="1" applyFont="1" applyBorder="1" applyAlignment="1">
      <alignment horizontal="center" vertical="center"/>
    </xf>
    <xf numFmtId="176" fontId="15" fillId="5" borderId="13" xfId="41" applyNumberFormat="1" applyFont="1" applyBorder="1" applyAlignment="1">
      <alignment horizontal="center" vertical="center" wrapText="1"/>
    </xf>
    <xf numFmtId="176" fontId="16" fillId="6" borderId="15" xfId="42" applyNumberFormat="1" applyFont="1" applyBorder="1" applyAlignment="1">
      <alignment horizontal="center" vertical="center" wrapText="1"/>
    </xf>
    <xf numFmtId="176" fontId="16" fillId="0" borderId="10" xfId="42" applyNumberFormat="1" applyFont="1" applyFill="1" applyAlignment="1">
      <alignment horizontal="right" vertical="center" wrapText="1"/>
    </xf>
    <xf numFmtId="0" fontId="16" fillId="6" borderId="10" xfId="42" applyFont="1" applyAlignment="1">
      <alignment horizontal="center" vertical="center" wrapText="1"/>
    </xf>
    <xf numFmtId="0" fontId="22" fillId="0" borderId="0" xfId="0" applyFont="1" applyFill="1" applyBorder="1" applyAlignment="1">
      <alignment vertical="center" wrapText="1"/>
    </xf>
    <xf numFmtId="0" fontId="21" fillId="0" borderId="0" xfId="0" applyFont="1" applyAlignment="1">
      <alignment horizontal="center" vertical="top"/>
    </xf>
    <xf numFmtId="3" fontId="21" fillId="0" borderId="0" xfId="0" applyNumberFormat="1" applyFont="1"/>
    <xf numFmtId="0" fontId="21" fillId="0" borderId="0" xfId="0" applyFont="1" applyAlignment="1">
      <alignment horizontal="center" vertical="top" wrapText="1"/>
    </xf>
    <xf numFmtId="0" fontId="21" fillId="0" borderId="0" xfId="0" applyFont="1" applyAlignment="1">
      <alignment vertical="top" wrapText="1"/>
    </xf>
    <xf numFmtId="0" fontId="21" fillId="0" borderId="0" xfId="0" applyFont="1" applyFill="1" applyAlignment="1">
      <alignment vertical="top" wrapText="1"/>
    </xf>
    <xf numFmtId="0" fontId="21" fillId="0" borderId="0" xfId="0" applyFont="1" applyFill="1"/>
    <xf numFmtId="0" fontId="21" fillId="0" borderId="0" xfId="0" applyFont="1" applyAlignment="1">
      <alignment vertical="center"/>
    </xf>
    <xf numFmtId="0" fontId="21" fillId="0" borderId="0" xfId="0" applyFont="1" applyFill="1" applyAlignment="1">
      <alignment vertical="center" wrapText="1"/>
    </xf>
    <xf numFmtId="0" fontId="21" fillId="0" borderId="0" xfId="0" applyFont="1" applyFill="1" applyAlignment="1">
      <alignment horizontal="justify" vertical="center" wrapText="1"/>
    </xf>
    <xf numFmtId="3" fontId="21" fillId="0" borderId="0" xfId="0" applyNumberFormat="1" applyFont="1" applyFill="1" applyAlignment="1">
      <alignment horizontal="justify" vertical="center" wrapText="1"/>
    </xf>
    <xf numFmtId="0" fontId="21" fillId="0" borderId="0" xfId="0" applyFont="1" applyFill="1" applyAlignment="1">
      <alignment vertical="center"/>
    </xf>
    <xf numFmtId="0" fontId="21" fillId="0" borderId="0" xfId="0" applyFont="1" applyAlignment="1">
      <alignment horizontal="justify" vertical="center" wrapText="1"/>
    </xf>
    <xf numFmtId="10" fontId="16" fillId="0" borderId="10" xfId="1" applyNumberFormat="1" applyFont="1" applyFill="1" applyBorder="1" applyAlignment="1">
      <alignment horizontal="center" vertical="center" wrapText="1"/>
    </xf>
    <xf numFmtId="10" fontId="18" fillId="0" borderId="10" xfId="42" applyNumberFormat="1" applyFont="1" applyFill="1" applyAlignment="1">
      <alignment horizontal="center" vertical="center"/>
    </xf>
    <xf numFmtId="0" fontId="18" fillId="15" borderId="10" xfId="42" applyFont="1" applyFill="1" applyAlignment="1">
      <alignment horizontal="center" vertical="center" wrapText="1"/>
    </xf>
    <xf numFmtId="176" fontId="18" fillId="15" borderId="10" xfId="42" applyNumberFormat="1" applyFont="1" applyFill="1" applyAlignment="1">
      <alignment horizontal="center" vertical="center"/>
    </xf>
    <xf numFmtId="176" fontId="23" fillId="15" borderId="10" xfId="42" applyNumberFormat="1" applyFont="1" applyFill="1" applyAlignment="1">
      <alignment horizontal="center" vertical="center"/>
    </xf>
    <xf numFmtId="9" fontId="16" fillId="6" borderId="10" xfId="42" applyNumberFormat="1" applyAlignment="1">
      <alignment horizontal="center" vertical="center"/>
    </xf>
    <xf numFmtId="0" fontId="16" fillId="16" borderId="10" xfId="42" applyFont="1" applyFill="1" applyAlignment="1">
      <alignment horizontal="center" vertical="center" wrapText="1"/>
    </xf>
    <xf numFmtId="0" fontId="16" fillId="16" borderId="10" xfId="42" applyFill="1" applyAlignment="1">
      <alignment horizontal="center" vertical="center" wrapText="1"/>
    </xf>
    <xf numFmtId="0" fontId="0" fillId="19" borderId="0" xfId="0" applyFill="1"/>
    <xf numFmtId="176" fontId="18" fillId="18" borderId="10" xfId="42" applyNumberFormat="1" applyFont="1" applyFill="1" applyAlignment="1">
      <alignment horizontal="center" vertical="center"/>
    </xf>
    <xf numFmtId="10" fontId="18" fillId="16" borderId="10" xfId="42" applyNumberFormat="1" applyFont="1" applyFill="1" applyAlignment="1">
      <alignment horizontal="center" vertical="center"/>
    </xf>
    <xf numFmtId="164" fontId="18" fillId="17" borderId="10" xfId="42" applyNumberFormat="1" applyFont="1" applyFill="1" applyAlignment="1">
      <alignment horizontal="center" vertical="center"/>
    </xf>
    <xf numFmtId="1" fontId="18" fillId="0" borderId="10" xfId="42" applyNumberFormat="1" applyFont="1" applyFill="1" applyAlignment="1">
      <alignment horizontal="center" vertical="center"/>
    </xf>
    <xf numFmtId="0" fontId="24" fillId="0" borderId="0" xfId="0" applyFont="1"/>
    <xf numFmtId="0" fontId="24" fillId="0" borderId="0" xfId="0" applyFont="1" applyBorder="1"/>
    <xf numFmtId="0" fontId="25" fillId="9" borderId="22" xfId="45" applyFont="1" applyBorder="1" applyAlignment="1">
      <alignment horizontal="center" vertical="center"/>
    </xf>
    <xf numFmtId="0" fontId="24" fillId="0" borderId="22" xfId="0" applyFont="1" applyBorder="1" applyAlignment="1">
      <alignment horizontal="center" vertical="center"/>
    </xf>
    <xf numFmtId="10" fontId="24" fillId="0" borderId="22" xfId="0" applyNumberFormat="1" applyFont="1" applyBorder="1" applyAlignment="1">
      <alignment horizontal="center" vertical="center"/>
    </xf>
    <xf numFmtId="5" fontId="24" fillId="0" borderId="22" xfId="40" applyNumberFormat="1" applyFont="1" applyBorder="1" applyAlignment="1">
      <alignment horizontal="center" vertical="center"/>
    </xf>
    <xf numFmtId="175" fontId="26" fillId="0" borderId="22" xfId="40" applyNumberFormat="1" applyFont="1" applyBorder="1" applyAlignment="1">
      <alignment horizontal="center" vertical="center"/>
    </xf>
    <xf numFmtId="0" fontId="27" fillId="5" borderId="22" xfId="41" applyFont="1" applyBorder="1" applyAlignment="1">
      <alignment horizontal="center" vertical="center"/>
    </xf>
    <xf numFmtId="0" fontId="28" fillId="7" borderId="22" xfId="43" applyFont="1" applyBorder="1" applyAlignment="1">
      <alignment horizontal="center" vertical="center"/>
    </xf>
    <xf numFmtId="0" fontId="29" fillId="8" borderId="22" xfId="44" applyFont="1" applyBorder="1" applyAlignment="1">
      <alignment horizontal="center" vertical="center"/>
    </xf>
    <xf numFmtId="0" fontId="30" fillId="10" borderId="22" xfId="46" applyFont="1" applyBorder="1" applyAlignment="1">
      <alignment horizontal="center" vertical="center" wrapText="1"/>
    </xf>
    <xf numFmtId="0" fontId="0" fillId="0" borderId="4" xfId="0" applyFill="1" applyBorder="1" applyAlignment="1">
      <alignment horizontal="center" vertical="center"/>
    </xf>
    <xf numFmtId="9" fontId="0" fillId="0" borderId="5" xfId="1" applyFont="1" applyFill="1" applyBorder="1" applyAlignment="1">
      <alignment horizontal="center" vertical="center"/>
    </xf>
    <xf numFmtId="9" fontId="0" fillId="0" borderId="21" xfId="1" applyFont="1" applyFill="1" applyBorder="1" applyAlignment="1">
      <alignment horizontal="center" vertical="center"/>
    </xf>
    <xf numFmtId="178" fontId="0" fillId="0" borderId="7" xfId="38" applyNumberFormat="1" applyFont="1" applyFill="1" applyBorder="1" applyAlignment="1">
      <alignment horizontal="center" vertical="center"/>
    </xf>
    <xf numFmtId="178" fontId="0" fillId="0" borderId="3" xfId="0" applyNumberFormat="1" applyFill="1" applyBorder="1" applyAlignment="1">
      <alignment horizontal="center" vertical="center"/>
    </xf>
    <xf numFmtId="178" fontId="0" fillId="0" borderId="8" xfId="38" applyNumberFormat="1" applyFont="1" applyFill="1" applyBorder="1" applyAlignment="1">
      <alignment horizontal="center" vertical="center"/>
    </xf>
    <xf numFmtId="178" fontId="0" fillId="0" borderId="2" xfId="38" applyNumberFormat="1" applyFont="1" applyFill="1" applyBorder="1" applyAlignment="1">
      <alignment horizontal="center" vertical="center"/>
    </xf>
    <xf numFmtId="178" fontId="0" fillId="0" borderId="9" xfId="0" applyNumberFormat="1" applyFill="1" applyBorder="1" applyAlignment="1">
      <alignment horizontal="center" vertical="center"/>
    </xf>
    <xf numFmtId="178" fontId="0" fillId="0" borderId="6" xfId="38" applyNumberFormat="1" applyFont="1" applyFill="1" applyBorder="1" applyAlignment="1">
      <alignment horizontal="center" vertical="center"/>
    </xf>
    <xf numFmtId="0" fontId="12" fillId="11" borderId="2" xfId="47" applyBorder="1" applyAlignment="1">
      <alignment horizontal="center" vertical="center"/>
    </xf>
    <xf numFmtId="0" fontId="12" fillId="11" borderId="6" xfId="47" applyBorder="1" applyAlignment="1">
      <alignment horizontal="center" vertical="center"/>
    </xf>
    <xf numFmtId="0" fontId="0" fillId="15" borderId="0" xfId="0" applyFill="1"/>
    <xf numFmtId="0" fontId="0" fillId="15" borderId="0" xfId="0" applyFill="1" applyAlignment="1">
      <alignment horizontal="center" vertical="center"/>
    </xf>
    <xf numFmtId="0" fontId="18" fillId="15" borderId="14" xfId="42" applyFont="1" applyFill="1" applyBorder="1" applyAlignment="1">
      <alignment horizontal="center" vertical="center" wrapText="1"/>
    </xf>
    <xf numFmtId="10" fontId="18" fillId="16" borderId="15" xfId="42" applyNumberFormat="1" applyFont="1" applyFill="1" applyBorder="1" applyAlignment="1">
      <alignment horizontal="center" vertical="center"/>
    </xf>
    <xf numFmtId="164" fontId="18" fillId="17" borderId="14" xfId="42" applyNumberFormat="1" applyFont="1" applyFill="1" applyBorder="1" applyAlignment="1">
      <alignment horizontal="center" vertical="center"/>
    </xf>
    <xf numFmtId="9" fontId="11" fillId="3" borderId="23" xfId="39" applyNumberFormat="1" applyFont="1" applyBorder="1" applyAlignment="1">
      <alignment horizontal="center" vertical="center"/>
    </xf>
    <xf numFmtId="0" fontId="11" fillId="3" borderId="23" xfId="39" applyFont="1" applyBorder="1" applyAlignment="1">
      <alignment horizontal="center" vertical="center"/>
    </xf>
    <xf numFmtId="0" fontId="18" fillId="20" borderId="10" xfId="42" applyFont="1" applyFill="1" applyAlignment="1">
      <alignment horizontal="center" vertical="center" wrapText="1"/>
    </xf>
    <xf numFmtId="0" fontId="18" fillId="16" borderId="10" xfId="42" applyFont="1" applyFill="1" applyAlignment="1">
      <alignment horizontal="center" vertical="center" wrapText="1"/>
    </xf>
    <xf numFmtId="0" fontId="18" fillId="20" borderId="14" xfId="42" applyFont="1" applyFill="1" applyBorder="1" applyAlignment="1">
      <alignment horizontal="center" vertical="center" wrapText="1"/>
    </xf>
    <xf numFmtId="176" fontId="18" fillId="15" borderId="24" xfId="42" applyNumberFormat="1" applyFont="1" applyFill="1" applyBorder="1" applyAlignment="1">
      <alignment horizontal="center" vertical="center"/>
    </xf>
    <xf numFmtId="0" fontId="30" fillId="14" borderId="23" xfId="50" applyFont="1" applyBorder="1" applyAlignment="1">
      <alignment horizontal="center" vertical="center" wrapText="1"/>
    </xf>
    <xf numFmtId="10" fontId="31" fillId="0" borderId="23" xfId="0" applyNumberFormat="1" applyFont="1" applyBorder="1" applyAlignment="1">
      <alignment horizontal="center" vertical="center" wrapText="1"/>
    </xf>
    <xf numFmtId="9" fontId="31" fillId="0" borderId="23" xfId="0" applyNumberFormat="1" applyFont="1" applyBorder="1" applyAlignment="1">
      <alignment horizontal="center" vertical="center" wrapText="1"/>
    </xf>
    <xf numFmtId="0" fontId="32" fillId="5" borderId="23" xfId="41" applyFont="1" applyBorder="1" applyAlignment="1">
      <alignment horizontal="center" vertical="center" wrapText="1"/>
    </xf>
    <xf numFmtId="0" fontId="33" fillId="7" borderId="23" xfId="43" applyFont="1" applyBorder="1" applyAlignment="1">
      <alignment horizontal="center" vertical="center" wrapText="1"/>
    </xf>
    <xf numFmtId="0" fontId="31" fillId="0" borderId="23" xfId="0" applyFont="1" applyBorder="1" applyAlignment="1">
      <alignment horizontal="center" vertical="center" wrapText="1"/>
    </xf>
    <xf numFmtId="0" fontId="16" fillId="0" borderId="11" xfId="42" applyFont="1" applyFill="1" applyBorder="1" applyAlignment="1">
      <alignment horizontal="center" vertical="center" wrapText="1"/>
    </xf>
    <xf numFmtId="0" fontId="16" fillId="0" borderId="16" xfId="42" applyFont="1" applyFill="1" applyBorder="1" applyAlignment="1">
      <alignment horizontal="center" vertical="center" wrapText="1"/>
    </xf>
    <xf numFmtId="0" fontId="16" fillId="0" borderId="12" xfId="42" applyFont="1" applyFill="1" applyBorder="1" applyAlignment="1">
      <alignment horizontal="center" vertical="center" wrapText="1"/>
    </xf>
    <xf numFmtId="0" fontId="18" fillId="6" borderId="11" xfId="42" applyFont="1" applyBorder="1" applyAlignment="1">
      <alignment horizontal="center" vertical="center" wrapText="1"/>
    </xf>
    <xf numFmtId="0" fontId="18" fillId="6" borderId="16" xfId="42" applyFont="1" applyBorder="1" applyAlignment="1">
      <alignment horizontal="center" vertical="center" wrapText="1"/>
    </xf>
    <xf numFmtId="0" fontId="18" fillId="6" borderId="12" xfId="42" applyFont="1" applyBorder="1" applyAlignment="1">
      <alignment horizontal="center" vertical="center" wrapText="1"/>
    </xf>
    <xf numFmtId="0" fontId="21" fillId="0" borderId="0" xfId="0" applyFont="1" applyAlignment="1">
      <alignment horizontal="left" vertical="center"/>
    </xf>
    <xf numFmtId="0" fontId="18" fillId="6" borderId="10" xfId="42" applyFont="1" applyAlignment="1">
      <alignment horizontal="center" vertical="center" wrapText="1"/>
    </xf>
    <xf numFmtId="0" fontId="16" fillId="6" borderId="11" xfId="42" applyFont="1" applyBorder="1" applyAlignment="1">
      <alignment horizontal="center" vertical="center" wrapText="1"/>
    </xf>
    <xf numFmtId="0" fontId="16" fillId="6" borderId="16" xfId="42" applyFont="1" applyBorder="1" applyAlignment="1">
      <alignment horizontal="center" vertical="center" wrapText="1"/>
    </xf>
    <xf numFmtId="0" fontId="16" fillId="6" borderId="12" xfId="42" applyFont="1" applyBorder="1" applyAlignment="1">
      <alignment horizontal="center" vertical="center" wrapText="1"/>
    </xf>
    <xf numFmtId="0" fontId="18" fillId="6" borderId="10" xfId="42" applyFont="1" applyAlignment="1">
      <alignment horizontal="center" vertical="center"/>
    </xf>
    <xf numFmtId="0" fontId="18" fillId="6" borderId="14" xfId="42" applyFont="1" applyBorder="1" applyAlignment="1">
      <alignment horizontal="center" vertical="center"/>
    </xf>
    <xf numFmtId="0" fontId="16" fillId="6" borderId="11" xfId="42" applyBorder="1" applyAlignment="1">
      <alignment horizontal="left" vertical="center"/>
    </xf>
    <xf numFmtId="0" fontId="16" fillId="6" borderId="12" xfId="42" applyBorder="1" applyAlignment="1">
      <alignment horizontal="left" vertical="center"/>
    </xf>
    <xf numFmtId="0" fontId="2" fillId="4" borderId="16" xfId="0" applyFont="1" applyFill="1" applyBorder="1" applyAlignment="1">
      <alignment horizontal="center" vertical="center"/>
    </xf>
    <xf numFmtId="0" fontId="0" fillId="0" borderId="0" xfId="0" applyAlignment="1">
      <alignment horizontal="left" vertical="center" wrapText="1"/>
    </xf>
    <xf numFmtId="0" fontId="25" fillId="9" borderId="22" xfId="45" applyFont="1" applyBorder="1" applyAlignment="1">
      <alignment horizontal="center" vertical="center"/>
    </xf>
    <xf numFmtId="0" fontId="16" fillId="6" borderId="16" xfId="42" applyBorder="1" applyAlignment="1">
      <alignment horizontal="left" vertical="center"/>
    </xf>
    <xf numFmtId="0" fontId="0" fillId="0" borderId="0" xfId="0" applyBorder="1" applyAlignment="1">
      <alignment horizontal="center" vertical="center" wrapText="1"/>
    </xf>
    <xf numFmtId="9" fontId="31" fillId="0" borderId="22" xfId="0" applyNumberFormat="1" applyFont="1" applyBorder="1" applyAlignment="1">
      <alignment horizontal="center" vertical="center"/>
    </xf>
    <xf numFmtId="0" fontId="0" fillId="0" borderId="0" xfId="0" applyAlignment="1">
      <alignment horizontal="center" vertical="center" wrapText="1"/>
    </xf>
    <xf numFmtId="0" fontId="16" fillId="6" borderId="10" xfId="42" applyAlignment="1">
      <alignment horizontal="left" vertical="center"/>
    </xf>
    <xf numFmtId="0" fontId="18" fillId="16" borderId="10" xfId="42" applyFont="1" applyFill="1" applyAlignment="1">
      <alignment horizontal="center" vertical="center"/>
    </xf>
    <xf numFmtId="0" fontId="31" fillId="13" borderId="23" xfId="49" applyFont="1" applyBorder="1" applyAlignment="1">
      <alignment horizontal="center" vertical="center" wrapText="1"/>
    </xf>
    <xf numFmtId="0" fontId="31" fillId="12" borderId="23" xfId="48" applyFont="1" applyBorder="1" applyAlignment="1">
      <alignment horizontal="center" vertical="center" wrapText="1"/>
    </xf>
    <xf numFmtId="0" fontId="18" fillId="17" borderId="14" xfId="42" applyFont="1" applyFill="1" applyBorder="1" applyAlignment="1">
      <alignment horizontal="center" vertical="center"/>
    </xf>
    <xf numFmtId="0" fontId="11" fillId="3" borderId="23" xfId="39" applyFont="1" applyBorder="1" applyAlignment="1">
      <alignment horizontal="center" vertical="center"/>
    </xf>
    <xf numFmtId="0" fontId="12" fillId="11" borderId="2" xfId="47" applyBorder="1" applyAlignment="1">
      <alignment horizontal="center" vertical="center"/>
    </xf>
    <xf numFmtId="0" fontId="18" fillId="17" borderId="10" xfId="42" applyFont="1" applyFill="1" applyAlignment="1">
      <alignment horizontal="center" vertical="center"/>
    </xf>
    <xf numFmtId="0" fontId="18" fillId="18" borderId="10" xfId="42" applyFont="1" applyFill="1" applyAlignment="1">
      <alignment horizontal="center" vertical="center"/>
    </xf>
    <xf numFmtId="0" fontId="12" fillId="10" borderId="25" xfId="46" applyBorder="1" applyAlignment="1">
      <alignment horizontal="center" vertical="center"/>
    </xf>
    <xf numFmtId="0" fontId="12" fillId="10" borderId="26" xfId="46" applyBorder="1" applyAlignment="1">
      <alignment horizontal="center" vertical="center"/>
    </xf>
    <xf numFmtId="0" fontId="12" fillId="10" borderId="27" xfId="46" applyBorder="1" applyAlignment="1">
      <alignment horizontal="center" vertical="center"/>
    </xf>
    <xf numFmtId="0" fontId="12" fillId="10" borderId="22" xfId="46" applyBorder="1" applyAlignment="1">
      <alignment horizontal="center" vertical="center"/>
    </xf>
  </cellXfs>
  <cellStyles count="51">
    <cellStyle name="0,0_x000a__x000a_NA_x000a__x000a_" xfId="3"/>
    <cellStyle name="20% - Énfasis4" xfId="48" builtinId="42"/>
    <cellStyle name="40% - Énfasis4" xfId="49" builtinId="43"/>
    <cellStyle name="60% - Énfasis1" xfId="46" builtinId="32"/>
    <cellStyle name="60% - Énfasis2" xfId="47" builtinId="36"/>
    <cellStyle name="60% - Énfasis4" xfId="50" builtinId="44"/>
    <cellStyle name="Buena" xfId="43" builtinId="26"/>
    <cellStyle name="ColumnHeader" xfId="4"/>
    <cellStyle name="Comma 2" xfId="5"/>
    <cellStyle name="Comma 2 2" xfId="6"/>
    <cellStyle name="Énfasis1" xfId="45" builtinId="29"/>
    <cellStyle name="Énfasis5" xfId="39" builtinId="45"/>
    <cellStyle name="Entrada" xfId="42" builtinId="20"/>
    <cellStyle name="Estilo 1" xfId="7"/>
    <cellStyle name="Euro" xfId="8"/>
    <cellStyle name="Hyperlink 2" xfId="9"/>
    <cellStyle name="Incorrecto" xfId="44" builtinId="27"/>
    <cellStyle name="Millares [0]" xfId="40" builtinId="6"/>
    <cellStyle name="Millares 2" xfId="11"/>
    <cellStyle name="Millares 2 2" xfId="12"/>
    <cellStyle name="Millares 2 2 2" xfId="13"/>
    <cellStyle name="Millares 2 3" xfId="14"/>
    <cellStyle name="Millares 3" xfId="15"/>
    <cellStyle name="Millares 3 2" xfId="16"/>
    <cellStyle name="Millares 4" xfId="17"/>
    <cellStyle name="Millares 5" xfId="18"/>
    <cellStyle name="Millares 6" xfId="19"/>
    <cellStyle name="Millares 7" xfId="10"/>
    <cellStyle name="Millares 9" xfId="20"/>
    <cellStyle name="Moneda" xfId="38" builtinId="4"/>
    <cellStyle name="Moneda 2" xfId="21"/>
    <cellStyle name="Moneda 2 2" xfId="22"/>
    <cellStyle name="Moneda 3" xfId="23"/>
    <cellStyle name="Moneda 4" xfId="24"/>
    <cellStyle name="Moneda 5" xfId="25"/>
    <cellStyle name="Neutral" xfId="41" builtinId="28"/>
    <cellStyle name="Normal" xfId="0" builtinId="0"/>
    <cellStyle name="Normal 2" xfId="26"/>
    <cellStyle name="Normal 3" xfId="27"/>
    <cellStyle name="Normal 4" xfId="28"/>
    <cellStyle name="Normal 5" xfId="29"/>
    <cellStyle name="Normal 6" xfId="2"/>
    <cellStyle name="Percent 2" xfId="30"/>
    <cellStyle name="Porcentaje" xfId="1" builtinId="5"/>
    <cellStyle name="Porcentaje 2" xfId="31"/>
    <cellStyle name="Porcentual 2" xfId="32"/>
    <cellStyle name="Porcentual 2 2" xfId="33"/>
    <cellStyle name="Porcentual 2 2 2" xfId="34"/>
    <cellStyle name="Porcentual 3" xfId="35"/>
    <cellStyle name="Style 1" xfId="36"/>
    <cellStyle name="Währung" xfId="37"/>
  </cellStyles>
  <dxfs count="53">
    <dxf>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alignment horizontal="center" vertical="center" textRotation="0" wrapText="0"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alignment horizontal="center" vertical="center" textRotation="0" indent="0" justifyLastLine="0" shrinkToFit="0" readingOrder="0"/>
    </dxf>
    <dxf>
      <font>
        <b/>
        <i val="0"/>
        <strike val="0"/>
        <condense val="0"/>
        <extend val="0"/>
        <outline val="0"/>
        <shadow val="0"/>
        <u val="none"/>
        <vertAlign val="baseline"/>
        <sz val="11"/>
        <color theme="1"/>
        <name val="Calibri"/>
        <scheme val="minor"/>
      </font>
      <alignment horizontal="center" vertical="bottom" textRotation="0" wrapText="1" indent="0" justifyLastLine="0" shrinkToFit="0" readingOrder="0"/>
    </dxf>
    <dxf>
      <alignment horizontal="center" vertical="center" textRotation="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border diagonalUp="0" diagonalDown="0" outline="0">
        <left style="thin">
          <color indexed="64"/>
        </left>
        <right/>
        <top/>
        <bottom style="thin">
          <color indexed="64"/>
        </bottom>
      </border>
    </dxf>
    <dxf>
      <numFmt numFmtId="178" formatCode="[$$-240A]\ #,##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style="thin">
          <color indexed="64"/>
        </bottom>
      </border>
    </dxf>
    <dxf>
      <numFmt numFmtId="178" formatCode="[$$-240A]\ #,##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style="thin">
          <color indexed="64"/>
        </bottom>
      </border>
    </dxf>
    <dxf>
      <numFmt numFmtId="178" formatCode="[$$-240A]\ #,##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style="thin">
          <color indexed="64"/>
        </bottom>
      </border>
    </dxf>
    <dxf>
      <numFmt numFmtId="178" formatCode="[$$-240A]\ #,##0"/>
      <fill>
        <patternFill patternType="none">
          <fgColor indexed="64"/>
          <bgColor auto="1"/>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border>
    </dxf>
    <dxf>
      <border diagonalUp="0" diagonalDown="0" outline="0">
        <left/>
        <right style="thin">
          <color indexed="64"/>
        </right>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center" textRotation="0" wrapText="0" indent="0" justifyLastLine="0" shrinkToFit="0" readingOrder="0"/>
    </dxf>
    <dxf>
      <border outline="0">
        <bottom style="thin">
          <color indexed="64"/>
        </bottom>
      </border>
    </dxf>
    <dxf>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color rgb="FF3F3F76"/>
      </font>
      <numFmt numFmtId="176" formatCode="&quot;$&quot;#,##0"/>
      <fill>
        <patternFill patternType="none">
          <fgColor indexed="64"/>
          <bgColor auto="1"/>
        </patternFill>
      </fill>
      <alignment horizontal="center" vertical="center" textRotation="0" wrapText="0" indent="0" justifyLastLine="0" shrinkToFit="0" readingOrder="0"/>
      <border diagonalUp="0" diagonalDown="0">
        <left style="thin">
          <color rgb="FF7F7F7F"/>
        </left>
        <right/>
        <top style="thin">
          <color rgb="FF7F7F7F"/>
        </top>
        <bottom style="thin">
          <color rgb="FF7F7F7F"/>
        </bottom>
        <vertical style="thin">
          <color rgb="FF7F7F7F"/>
        </vertical>
        <horizontal style="thin">
          <color rgb="FF7F7F7F"/>
        </horizontal>
      </border>
    </dxf>
    <dxf>
      <alignment horizontal="center" vertical="center" textRotation="0" wrapText="0" indent="0" justifyLastLine="0" shrinkToFit="0" readingOrder="0"/>
    </dxf>
    <dxf>
      <font>
        <b/>
        <color rgb="FF3F3F76"/>
      </font>
      <numFmt numFmtId="176" formatCode="&quot;$&quot;#,##0"/>
      <fill>
        <patternFill patternType="none">
          <fgColor indexed="64"/>
          <bgColor auto="1"/>
        </patternFill>
      </fill>
      <alignment horizontal="center" vertical="center" textRotation="0" wrapText="0" indent="0" justifyLastLine="0" shrinkToFit="0" readingOrder="0"/>
      <border diagonalUp="0" diagonalDown="0">
        <left style="thin">
          <color rgb="FF7F7F7F"/>
        </left>
        <right style="thin">
          <color rgb="FF7F7F7F"/>
        </right>
        <top style="thin">
          <color rgb="FF7F7F7F"/>
        </top>
        <bottom style="thin">
          <color rgb="FF7F7F7F"/>
        </bottom>
        <vertical style="thin">
          <color rgb="FF7F7F7F"/>
        </vertical>
        <horizontal style="thin">
          <color rgb="FF7F7F7F"/>
        </horizontal>
      </border>
    </dxf>
    <dxf>
      <alignment horizontal="center" vertical="center" textRotation="0" wrapText="0" indent="0" justifyLastLine="0" shrinkToFit="0" readingOrder="0"/>
    </dxf>
    <dxf>
      <font>
        <b/>
        <color rgb="FF3F3F76"/>
      </font>
      <numFmt numFmtId="176" formatCode="&quot;$&quot;#,##0"/>
      <fill>
        <patternFill patternType="none">
          <fgColor indexed="64"/>
          <bgColor auto="1"/>
        </patternFill>
      </fill>
      <alignment horizontal="center" vertical="center" textRotation="0" wrapText="0" indent="0" justifyLastLine="0" shrinkToFit="0" readingOrder="0"/>
      <border diagonalUp="0" diagonalDown="0">
        <left style="thin">
          <color rgb="FF7F7F7F"/>
        </left>
        <right style="thin">
          <color rgb="FF7F7F7F"/>
        </right>
        <top style="thin">
          <color rgb="FF7F7F7F"/>
        </top>
        <bottom style="thin">
          <color rgb="FF7F7F7F"/>
        </bottom>
        <vertical style="thin">
          <color rgb="FF7F7F7F"/>
        </vertical>
        <horizontal style="thin">
          <color rgb="FF7F7F7F"/>
        </horizontal>
      </border>
    </dxf>
    <dxf>
      <alignment horizontal="center" vertical="center" textRotation="0" wrapText="0" indent="0" justifyLastLine="0" shrinkToFit="0" readingOrder="0"/>
    </dxf>
    <dxf>
      <font>
        <b/>
        <color rgb="FF3F3F76"/>
      </font>
      <numFmt numFmtId="176" formatCode="&quot;$&quot;#,##0"/>
      <fill>
        <patternFill patternType="none">
          <fgColor indexed="64"/>
          <bgColor auto="1"/>
        </patternFill>
      </fill>
      <alignment horizontal="center" vertical="center" textRotation="0" wrapText="0" indent="0" justifyLastLine="0" shrinkToFit="0" readingOrder="0"/>
      <border diagonalUp="0" diagonalDown="0">
        <left style="thin">
          <color rgb="FF7F7F7F"/>
        </left>
        <right style="thin">
          <color rgb="FF7F7F7F"/>
        </right>
        <top style="thin">
          <color rgb="FF7F7F7F"/>
        </top>
        <bottom style="thin">
          <color rgb="FF7F7F7F"/>
        </bottom>
        <vertical style="thin">
          <color rgb="FF7F7F7F"/>
        </vertical>
        <horizontal style="thin">
          <color rgb="FF7F7F7F"/>
        </horizontal>
      </border>
    </dxf>
    <dxf>
      <alignment horizontal="center" vertical="center" textRotation="0" wrapText="0" indent="0" justifyLastLine="0" shrinkToFit="0" readingOrder="0"/>
    </dxf>
    <dxf>
      <font>
        <b/>
        <color rgb="FF3F3F76"/>
      </font>
      <numFmt numFmtId="176" formatCode="&quot;$&quot;#,##0"/>
      <fill>
        <patternFill patternType="none">
          <fgColor indexed="64"/>
          <bgColor auto="1"/>
        </patternFill>
      </fill>
      <alignment horizontal="center" vertical="center" textRotation="0" wrapText="0" indent="0" justifyLastLine="0" shrinkToFit="0" readingOrder="0"/>
      <border diagonalUp="0" diagonalDown="0">
        <left/>
        <right style="thin">
          <color rgb="FF7F7F7F"/>
        </right>
        <top style="thin">
          <color rgb="FF7F7F7F"/>
        </top>
        <bottom style="thin">
          <color rgb="FF7F7F7F"/>
        </bottom>
        <vertical style="thin">
          <color rgb="FF7F7F7F"/>
        </vertical>
        <horizontal style="thin">
          <color rgb="FF7F7F7F"/>
        </horizontal>
      </border>
    </dxf>
    <dxf>
      <alignment horizontal="center" vertical="center" textRotation="0" wrapText="0" indent="0" justifyLastLine="0" shrinkToFit="0" readingOrder="0"/>
    </dxf>
    <dxf>
      <border>
        <top style="thin">
          <color rgb="FF7F7F7F"/>
        </top>
      </border>
    </dxf>
    <dxf>
      <border diagonalUp="0" diagonalDown="0">
        <left style="thin">
          <color rgb="FF7F7F7F"/>
        </left>
        <right style="thin">
          <color rgb="FF7F7F7F"/>
        </right>
        <top style="thin">
          <color rgb="FF7F7F7F"/>
        </top>
        <bottom style="thin">
          <color rgb="FF7F7F7F"/>
        </bottom>
      </border>
    </dxf>
    <dxf>
      <numFmt numFmtId="176" formatCode="&quot;$&quot;#,##0"/>
      <fill>
        <patternFill patternType="none">
          <fgColor indexed="64"/>
          <bgColor auto="1"/>
        </patternFill>
      </fill>
    </dxf>
    <dxf>
      <numFmt numFmtId="176" formatCode="&quot;$&quot;#,##0"/>
      <fill>
        <patternFill patternType="none">
          <fgColor indexed="64"/>
          <bgColor auto="1"/>
        </patternFill>
      </fill>
      <alignment horizontal="center" vertical="center" textRotation="0" wrapText="0" indent="0" justifyLastLine="0" shrinkToFit="0" readingOrder="0"/>
      <border diagonalUp="0" diagonalDown="0">
        <left style="thin">
          <color rgb="FF7F7F7F"/>
        </left>
        <right style="thin">
          <color rgb="FF7F7F7F"/>
        </right>
        <top/>
        <bottom/>
        <vertical style="thin">
          <color rgb="FF7F7F7F"/>
        </vertical>
        <horizontal style="thin">
          <color rgb="FF7F7F7F"/>
        </horizontal>
      </border>
    </dxf>
    <dxf>
      <font>
        <b val="0"/>
        <i val="0"/>
        <strike val="0"/>
        <condense val="0"/>
        <extend val="0"/>
        <outline val="0"/>
        <shadow val="0"/>
        <u val="none"/>
        <vertAlign val="baseline"/>
        <sz val="10"/>
        <color theme="1"/>
        <name val="Calibri"/>
        <scheme val="minor"/>
      </font>
      <numFmt numFmtId="176" formatCode="&quot;$&quot;#,##0"/>
      <fill>
        <patternFill patternType="none">
          <fgColor indexed="64"/>
          <bgColor indexed="65"/>
        </patternFill>
      </fill>
      <alignment horizontal="right" vertical="center" textRotation="0" wrapText="1" indent="0" justifyLastLine="0" shrinkToFit="0" readingOrder="0"/>
    </dxf>
    <dxf>
      <font>
        <b val="0"/>
        <i val="0"/>
        <strike val="0"/>
        <condense val="0"/>
        <extend val="0"/>
        <outline val="0"/>
        <shadow val="0"/>
        <u val="none"/>
        <vertAlign val="baseline"/>
        <sz val="11"/>
        <color theme="1"/>
        <name val="Calibri"/>
        <scheme val="minor"/>
      </font>
    </dxf>
    <dxf>
      <font>
        <strike val="0"/>
        <outline val="0"/>
        <shadow val="0"/>
        <u val="none"/>
        <vertAlign val="baseline"/>
        <sz val="10"/>
        <name val="Calibri"/>
        <scheme val="minor"/>
      </font>
      <numFmt numFmtId="176" formatCode="&quot;$&quot;#,##0"/>
      <fill>
        <patternFill patternType="none">
          <fgColor indexed="64"/>
          <bgColor indexed="65"/>
        </patternFill>
      </fill>
      <alignment horizontal="right" vertical="center" textRotation="0" wrapText="1" indent="0" justifyLastLine="0" shrinkToFit="0" readingOrder="0"/>
    </dxf>
    <dxf>
      <font>
        <strike val="0"/>
        <outline val="0"/>
        <shadow val="0"/>
        <u val="none"/>
        <vertAlign val="baseline"/>
        <sz val="10"/>
        <name val="Calibri"/>
        <scheme val="minor"/>
      </font>
    </dxf>
    <dxf>
      <font>
        <strike val="0"/>
        <outline val="0"/>
        <shadow val="0"/>
        <u val="none"/>
        <vertAlign val="baseline"/>
        <sz val="10"/>
        <name val="Calibri"/>
        <scheme val="minor"/>
      </font>
    </dxf>
  </dxfs>
  <tableStyles count="0" defaultTableStyle="TableStyleMedium2" defaultPivotStyle="PivotStyleLight16"/>
  <colors>
    <mruColors>
      <color rgb="FFFFFF66"/>
      <color rgb="FFCC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Proyección de Ingresos del proyecto</a:t>
            </a:r>
          </a:p>
        </c:rich>
      </c:tx>
      <c:layout/>
      <c:overlay val="0"/>
    </c:title>
    <c:autoTitleDeleted val="0"/>
    <c:plotArea>
      <c:layout/>
      <c:lineChart>
        <c:grouping val="stacked"/>
        <c:varyColors val="0"/>
        <c:ser>
          <c:idx val="0"/>
          <c:order val="0"/>
          <c:tx>
            <c:v>Precios del proyecto</c:v>
          </c:tx>
          <c:cat>
            <c:numRef>
              <c:f>'Nomina y Costos'!$A$59:$A$63</c:f>
              <c:numCache>
                <c:formatCode>General</c:formatCode>
                <c:ptCount val="5"/>
                <c:pt idx="0">
                  <c:v>2018</c:v>
                </c:pt>
                <c:pt idx="1">
                  <c:v>2019</c:v>
                </c:pt>
                <c:pt idx="2">
                  <c:v>2020</c:v>
                </c:pt>
                <c:pt idx="3">
                  <c:v>2021</c:v>
                </c:pt>
                <c:pt idx="4">
                  <c:v>2022</c:v>
                </c:pt>
              </c:numCache>
            </c:numRef>
          </c:cat>
          <c:val>
            <c:numRef>
              <c:f>'Nomina y Costos'!$C$59:$C$63</c:f>
              <c:numCache>
                <c:formatCode>"$"#,##0</c:formatCode>
                <c:ptCount val="5"/>
                <c:pt idx="0">
                  <c:v>270136021.93130946</c:v>
                </c:pt>
                <c:pt idx="1">
                  <c:v>282070631.38023466</c:v>
                </c:pt>
                <c:pt idx="2">
                  <c:v>294532511.8746134</c:v>
                </c:pt>
                <c:pt idx="3">
                  <c:v>307544958.24923378</c:v>
                </c:pt>
                <c:pt idx="4">
                  <c:v>321132294.50468493</c:v>
                </c:pt>
              </c:numCache>
            </c:numRef>
          </c:val>
          <c:smooth val="0"/>
        </c:ser>
        <c:dLbls>
          <c:showLegendKey val="0"/>
          <c:showVal val="0"/>
          <c:showCatName val="0"/>
          <c:showSerName val="0"/>
          <c:showPercent val="0"/>
          <c:showBubbleSize val="0"/>
        </c:dLbls>
        <c:marker val="1"/>
        <c:smooth val="0"/>
        <c:axId val="-818530400"/>
        <c:axId val="-818527136"/>
      </c:lineChart>
      <c:catAx>
        <c:axId val="-818530400"/>
        <c:scaling>
          <c:orientation val="minMax"/>
        </c:scaling>
        <c:delete val="0"/>
        <c:axPos val="b"/>
        <c:numFmt formatCode="General" sourceLinked="1"/>
        <c:majorTickMark val="none"/>
        <c:minorTickMark val="none"/>
        <c:tickLblPos val="nextTo"/>
        <c:crossAx val="-818527136"/>
        <c:crosses val="autoZero"/>
        <c:auto val="1"/>
        <c:lblAlgn val="ctr"/>
        <c:lblOffset val="100"/>
        <c:noMultiLvlLbl val="0"/>
      </c:catAx>
      <c:valAx>
        <c:axId val="-818527136"/>
        <c:scaling>
          <c:orientation val="minMax"/>
          <c:max val="350000000"/>
          <c:min val="250000000"/>
        </c:scaling>
        <c:delete val="0"/>
        <c:axPos val="l"/>
        <c:majorGridlines/>
        <c:title>
          <c:tx>
            <c:rich>
              <a:bodyPr/>
              <a:lstStyle/>
              <a:p>
                <a:pPr>
                  <a:defRPr/>
                </a:pPr>
                <a:r>
                  <a:rPr lang="es-CO"/>
                  <a:t>Valor</a:t>
                </a:r>
                <a:r>
                  <a:rPr lang="es-CO" baseline="0"/>
                  <a:t> COP $</a:t>
                </a:r>
              </a:p>
            </c:rich>
          </c:tx>
          <c:layout/>
          <c:overlay val="0"/>
        </c:title>
        <c:numFmt formatCode="&quot;$&quot;#,##0" sourceLinked="1"/>
        <c:majorTickMark val="none"/>
        <c:minorTickMark val="none"/>
        <c:tickLblPos val="nextTo"/>
        <c:crossAx val="-818530400"/>
        <c:crosses val="autoZero"/>
        <c:crossBetween val="between"/>
        <c:majorUnit val="10000000"/>
      </c:valAx>
      <c:dTable>
        <c:showHorzBorder val="1"/>
        <c:showVertBorder val="1"/>
        <c:showOutline val="1"/>
        <c:showKeys val="1"/>
      </c:dTable>
    </c:plotArea>
    <c:plotVisOnly val="1"/>
    <c:dispBlanksAs val="zero"/>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a:pPr>
            <a:r>
              <a:rPr lang="es-CO"/>
              <a:t>Flujo De Caja Del Proyecto</a:t>
            </a:r>
          </a:p>
        </c:rich>
      </c:tx>
      <c:layout/>
      <c:overlay val="0"/>
    </c:title>
    <c:autoTitleDeleted val="0"/>
    <c:plotArea>
      <c:layout/>
      <c:lineChart>
        <c:grouping val="standard"/>
        <c:varyColors val="0"/>
        <c:ser>
          <c:idx val="0"/>
          <c:order val="0"/>
          <c:tx>
            <c:v>Sin financiación</c:v>
          </c:tx>
          <c:cat>
            <c:numRef>
              <c:f>Flujo_Caja!$C$27:$H$27</c:f>
              <c:numCache>
                <c:formatCode>General</c:formatCode>
                <c:ptCount val="6"/>
                <c:pt idx="0">
                  <c:v>2017</c:v>
                </c:pt>
                <c:pt idx="1">
                  <c:v>2018</c:v>
                </c:pt>
                <c:pt idx="2">
                  <c:v>2019</c:v>
                </c:pt>
                <c:pt idx="3">
                  <c:v>2020</c:v>
                </c:pt>
                <c:pt idx="4">
                  <c:v>2021</c:v>
                </c:pt>
                <c:pt idx="5">
                  <c:v>2022</c:v>
                </c:pt>
              </c:numCache>
            </c:numRef>
          </c:cat>
          <c:val>
            <c:numRef>
              <c:f>Flujo_Caja!$C$18:$H$18</c:f>
              <c:numCache>
                <c:formatCode>"$"#,##0</c:formatCode>
                <c:ptCount val="6"/>
                <c:pt idx="0">
                  <c:v>-270000000</c:v>
                </c:pt>
                <c:pt idx="1">
                  <c:v>36830795.307116613</c:v>
                </c:pt>
                <c:pt idx="2">
                  <c:v>238614683.19834581</c:v>
                </c:pt>
                <c:pt idx="3">
                  <c:v>251935412.99109888</c:v>
                </c:pt>
                <c:pt idx="4">
                  <c:v>265918011.17964679</c:v>
                </c:pt>
                <c:pt idx="5">
                  <c:v>109828254.0085118</c:v>
                </c:pt>
              </c:numCache>
            </c:numRef>
          </c:val>
          <c:smooth val="0"/>
        </c:ser>
        <c:ser>
          <c:idx val="1"/>
          <c:order val="1"/>
          <c:tx>
            <c:v>Con Financiación 170'</c:v>
          </c:tx>
          <c:cat>
            <c:numRef>
              <c:f>Flujo_Caja!$C$27:$H$27</c:f>
              <c:numCache>
                <c:formatCode>General</c:formatCode>
                <c:ptCount val="6"/>
                <c:pt idx="0">
                  <c:v>2017</c:v>
                </c:pt>
                <c:pt idx="1">
                  <c:v>2018</c:v>
                </c:pt>
                <c:pt idx="2">
                  <c:v>2019</c:v>
                </c:pt>
                <c:pt idx="3">
                  <c:v>2020</c:v>
                </c:pt>
                <c:pt idx="4">
                  <c:v>2021</c:v>
                </c:pt>
                <c:pt idx="5">
                  <c:v>2022</c:v>
                </c:pt>
              </c:numCache>
            </c:numRef>
          </c:cat>
          <c:val>
            <c:numRef>
              <c:f>Flujo_Caja!$C$41:$H$41</c:f>
              <c:numCache>
                <c:formatCode>"$"#,##0</c:formatCode>
                <c:ptCount val="6"/>
                <c:pt idx="0">
                  <c:v>-100000000</c:v>
                </c:pt>
                <c:pt idx="1">
                  <c:v>-13633150.433007132</c:v>
                </c:pt>
                <c:pt idx="2">
                  <c:v>186597191.52771276</c:v>
                </c:pt>
                <c:pt idx="3">
                  <c:v>197975988.90732926</c:v>
                </c:pt>
                <c:pt idx="4">
                  <c:v>209531171.57945639</c:v>
                </c:pt>
                <c:pt idx="5">
                  <c:v>50407145.012795471</c:v>
                </c:pt>
              </c:numCache>
            </c:numRef>
          </c:val>
          <c:smooth val="0"/>
        </c:ser>
        <c:dLbls>
          <c:showLegendKey val="0"/>
          <c:showVal val="0"/>
          <c:showCatName val="0"/>
          <c:showSerName val="0"/>
          <c:showPercent val="0"/>
          <c:showBubbleSize val="0"/>
        </c:dLbls>
        <c:marker val="1"/>
        <c:smooth val="0"/>
        <c:axId val="-734631136"/>
        <c:axId val="-734628416"/>
      </c:lineChart>
      <c:catAx>
        <c:axId val="-734631136"/>
        <c:scaling>
          <c:orientation val="minMax"/>
        </c:scaling>
        <c:delete val="0"/>
        <c:axPos val="b"/>
        <c:numFmt formatCode="General" sourceLinked="1"/>
        <c:majorTickMark val="none"/>
        <c:minorTickMark val="none"/>
        <c:tickLblPos val="nextTo"/>
        <c:crossAx val="-734628416"/>
        <c:crosses val="autoZero"/>
        <c:auto val="1"/>
        <c:lblAlgn val="ctr"/>
        <c:lblOffset val="100"/>
        <c:noMultiLvlLbl val="0"/>
      </c:catAx>
      <c:valAx>
        <c:axId val="-734628416"/>
        <c:scaling>
          <c:orientation val="minMax"/>
        </c:scaling>
        <c:delete val="0"/>
        <c:axPos val="l"/>
        <c:majorGridlines/>
        <c:title>
          <c:tx>
            <c:rich>
              <a:bodyPr/>
              <a:lstStyle/>
              <a:p>
                <a:pPr>
                  <a:defRPr/>
                </a:pPr>
                <a:r>
                  <a:rPr lang="es-CO"/>
                  <a:t>Valor $ </a:t>
                </a:r>
              </a:p>
              <a:p>
                <a:pPr>
                  <a:defRPr/>
                </a:pPr>
                <a:r>
                  <a:rPr lang="es-CO"/>
                  <a:t>COP</a:t>
                </a:r>
              </a:p>
            </c:rich>
          </c:tx>
          <c:layout/>
          <c:overlay val="0"/>
        </c:title>
        <c:numFmt formatCode="&quot;$&quot;#,##0" sourceLinked="1"/>
        <c:majorTickMark val="none"/>
        <c:minorTickMark val="none"/>
        <c:tickLblPos val="nextTo"/>
        <c:crossAx val="-734631136"/>
        <c:crosses val="autoZero"/>
        <c:crossBetween val="between"/>
      </c:valAx>
      <c:dTable>
        <c:showHorzBorder val="1"/>
        <c:showVertBorder val="1"/>
        <c:showOutline val="1"/>
        <c:showKeys val="1"/>
      </c:dTable>
    </c:plotArea>
    <c:plotVisOnly val="1"/>
    <c:dispBlanksAs val="gap"/>
    <c:showDLblsOverMax val="0"/>
  </c:chart>
  <c:spPr>
    <a:solidFill>
      <a:schemeClr val="lt1"/>
    </a:solidFill>
    <a:ln w="25400" cap="flat" cmpd="sng" algn="ctr">
      <a:solidFill>
        <a:schemeClr val="accent5"/>
      </a:solidFill>
      <a:prstDash val="solid"/>
    </a:ln>
    <a:effectLst>
      <a:glow rad="139700">
        <a:schemeClr val="accent5">
          <a:satMod val="175000"/>
          <a:alpha val="40000"/>
        </a:schemeClr>
      </a:glow>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Comportamiento de la Deuda</a:t>
            </a:r>
          </a:p>
        </c:rich>
      </c:tx>
      <c:layout/>
      <c:overlay val="0"/>
    </c:title>
    <c:autoTitleDeleted val="0"/>
    <c:plotArea>
      <c:layout/>
      <c:lineChart>
        <c:grouping val="standard"/>
        <c:varyColors val="0"/>
        <c:ser>
          <c:idx val="1"/>
          <c:order val="0"/>
          <c:tx>
            <c:strRef>
              <c:f>Flujo_Caja!$B$48</c:f>
              <c:strCache>
                <c:ptCount val="1"/>
                <c:pt idx="0">
                  <c:v>Saldo</c:v>
                </c:pt>
              </c:strCache>
            </c:strRef>
          </c:tx>
          <c:cat>
            <c:numRef>
              <c:f>Flujo_Caja!$A$49:$A$54</c:f>
              <c:numCache>
                <c:formatCode>General</c:formatCode>
                <c:ptCount val="6"/>
                <c:pt idx="0">
                  <c:v>2017</c:v>
                </c:pt>
                <c:pt idx="1">
                  <c:v>2018</c:v>
                </c:pt>
                <c:pt idx="2">
                  <c:v>2019</c:v>
                </c:pt>
                <c:pt idx="3">
                  <c:v>2020</c:v>
                </c:pt>
                <c:pt idx="4">
                  <c:v>2021</c:v>
                </c:pt>
                <c:pt idx="5">
                  <c:v>2022</c:v>
                </c:pt>
              </c:numCache>
            </c:numRef>
          </c:cat>
          <c:val>
            <c:numRef>
              <c:f>Flujo_Caja!$B$49:$B$54</c:f>
              <c:numCache>
                <c:formatCode>[$$-240A]\ #,##0</c:formatCode>
                <c:ptCount val="6"/>
                <c:pt idx="0">
                  <c:v>170000000</c:v>
                </c:pt>
                <c:pt idx="1">
                  <c:v>149286054.25987625</c:v>
                </c:pt>
                <c:pt idx="2">
                  <c:v>123393622.08472157</c:v>
                </c:pt>
                <c:pt idx="3">
                  <c:v>91028081.865778208</c:v>
                </c:pt>
                <c:pt idx="4">
                  <c:v>50571156.592099011</c:v>
                </c:pt>
                <c:pt idx="5">
                  <c:v>0</c:v>
                </c:pt>
              </c:numCache>
            </c:numRef>
          </c:val>
          <c:smooth val="0"/>
        </c:ser>
        <c:dLbls>
          <c:showLegendKey val="0"/>
          <c:showVal val="0"/>
          <c:showCatName val="0"/>
          <c:showSerName val="0"/>
          <c:showPercent val="0"/>
          <c:showBubbleSize val="0"/>
        </c:dLbls>
        <c:marker val="1"/>
        <c:smooth val="0"/>
        <c:axId val="-730338832"/>
        <c:axId val="-730340464"/>
      </c:lineChart>
      <c:catAx>
        <c:axId val="-730338832"/>
        <c:scaling>
          <c:orientation val="minMax"/>
        </c:scaling>
        <c:delete val="0"/>
        <c:axPos val="b"/>
        <c:numFmt formatCode="General" sourceLinked="1"/>
        <c:majorTickMark val="none"/>
        <c:minorTickMark val="none"/>
        <c:tickLblPos val="nextTo"/>
        <c:crossAx val="-730340464"/>
        <c:crosses val="autoZero"/>
        <c:auto val="1"/>
        <c:lblAlgn val="ctr"/>
        <c:lblOffset val="100"/>
        <c:noMultiLvlLbl val="0"/>
      </c:catAx>
      <c:valAx>
        <c:axId val="-730340464"/>
        <c:scaling>
          <c:orientation val="minMax"/>
        </c:scaling>
        <c:delete val="0"/>
        <c:axPos val="l"/>
        <c:majorGridlines/>
        <c:title>
          <c:tx>
            <c:rich>
              <a:bodyPr/>
              <a:lstStyle/>
              <a:p>
                <a:pPr>
                  <a:defRPr/>
                </a:pPr>
                <a:r>
                  <a:rPr lang="es-CO"/>
                  <a:t>$ COP</a:t>
                </a:r>
              </a:p>
            </c:rich>
          </c:tx>
          <c:layout/>
          <c:overlay val="0"/>
        </c:title>
        <c:numFmt formatCode="[$$-240A]\ #,##0" sourceLinked="1"/>
        <c:majorTickMark val="none"/>
        <c:minorTickMark val="none"/>
        <c:tickLblPos val="nextTo"/>
        <c:crossAx val="-730338832"/>
        <c:crosses val="autoZero"/>
        <c:crossBetween val="between"/>
      </c:valAx>
      <c:dTable>
        <c:showHorzBorder val="1"/>
        <c:showVertBorder val="1"/>
        <c:showOutline val="1"/>
        <c:showKeys val="1"/>
      </c:dTable>
    </c:plotArea>
    <c:plotVisOnly val="1"/>
    <c:dispBlanksAs val="gap"/>
    <c:showDLblsOverMax val="0"/>
  </c:chart>
  <c:spPr>
    <a:solidFill>
      <a:schemeClr val="lt1"/>
    </a:solidFill>
    <a:ln w="25400" cap="flat" cmpd="sng" algn="ctr">
      <a:solidFill>
        <a:schemeClr val="accent5"/>
      </a:solidFill>
      <a:prstDash val="solid"/>
    </a:ln>
    <a:effectLst>
      <a:glow rad="139700">
        <a:schemeClr val="accent5">
          <a:satMod val="175000"/>
          <a:alpha val="40000"/>
        </a:schemeClr>
      </a:glow>
    </a:effectLst>
    <a:scene3d>
      <a:camera prst="orthographicFront"/>
      <a:lightRig rig="threePt" dir="t"/>
    </a:scene3d>
    <a:sp3d>
      <a:bevelT w="165100" prst="coolSlant"/>
    </a:sp3d>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4</xdr:col>
      <xdr:colOff>38100</xdr:colOff>
      <xdr:row>56</xdr:row>
      <xdr:rowOff>157161</xdr:rowOff>
    </xdr:from>
    <xdr:to>
      <xdr:col>12</xdr:col>
      <xdr:colOff>333375</xdr:colOff>
      <xdr:row>71</xdr:row>
      <xdr:rowOff>76199</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28013</xdr:colOff>
      <xdr:row>56</xdr:row>
      <xdr:rowOff>23532</xdr:rowOff>
    </xdr:from>
    <xdr:to>
      <xdr:col>8</xdr:col>
      <xdr:colOff>750793</xdr:colOff>
      <xdr:row>80</xdr:row>
      <xdr:rowOff>100853</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28013</xdr:colOff>
      <xdr:row>82</xdr:row>
      <xdr:rowOff>12326</xdr:rowOff>
    </xdr:from>
    <xdr:to>
      <xdr:col>8</xdr:col>
      <xdr:colOff>773205</xdr:colOff>
      <xdr:row>102</xdr:row>
      <xdr:rowOff>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id="7" name="Tabla7" displayName="Tabla7" ref="B59:C63" headerRowCount="0" totalsRowShown="0" headerRowDxfId="52" dataDxfId="51">
  <tableColumns count="2">
    <tableColumn id="1" name="Columna1" dataDxfId="50" dataCellStyle="Entrada">
      <calculatedColumnFormula>B59*(1+$B$54)</calculatedColumnFormula>
    </tableColumn>
    <tableColumn id="2" name="Columna2" headerRowDxfId="49" dataDxfId="48" headerRowCellStyle="Moneda" dataCellStyle="Entrada">
      <calculatedColumnFormula>B59*3</calculatedColumnFormula>
    </tableColumn>
  </tableColumns>
  <tableStyleInfo name="TableStyleMedium1" showFirstColumn="0" showLastColumn="0" showRowStripes="1" showColumnStripes="0"/>
</table>
</file>

<file path=xl/tables/table2.xml><?xml version="1.0" encoding="utf-8"?>
<table xmlns="http://schemas.openxmlformats.org/spreadsheetml/2006/main" id="6" name="Tabla6" displayName="Tabla6" ref="B4:F9" headerRowCount="0" totalsRowShown="0" headerRowDxfId="47" dataDxfId="46" tableBorderDxfId="45" totalsRowBorderDxfId="44" headerRowCellStyle="Moneda">
  <tableColumns count="5">
    <tableColumn id="1" name="Columna1" headerRowDxfId="43" dataDxfId="42" dataCellStyle="Entrada">
      <calculatedColumnFormula>6*'Nomina y Costos'!F45</calculatedColumnFormula>
    </tableColumn>
    <tableColumn id="2" name="Columna2" headerRowDxfId="41" dataDxfId="40" dataCellStyle="Entrada">
      <calculatedColumnFormula>C4*1.0264</calculatedColumnFormula>
    </tableColumn>
    <tableColumn id="3" name="Columna3" headerRowDxfId="39" dataDxfId="38" dataCellStyle="Entrada">
      <calculatedColumnFormula>D4*1.0264</calculatedColumnFormula>
    </tableColumn>
    <tableColumn id="4" name="Columna4" headerRowDxfId="37" dataDxfId="36" dataCellStyle="Entrada">
      <calculatedColumnFormula>E4*1.0264</calculatedColumnFormula>
    </tableColumn>
    <tableColumn id="5" name="Columna5" headerRowDxfId="35" dataDxfId="34" dataCellStyle="Entrada">
      <calculatedColumnFormula>SUM(C4:E4)</calculatedColumnFormula>
    </tableColumn>
  </tableColumns>
  <tableStyleInfo name="TableStyleMedium1" showFirstColumn="0" showLastColumn="0" showRowStripes="1" showColumnStripes="0"/>
</table>
</file>

<file path=xl/tables/table3.xml><?xml version="1.0" encoding="utf-8"?>
<table xmlns="http://schemas.openxmlformats.org/spreadsheetml/2006/main" id="9" name="Tabla9" displayName="Tabla9" ref="B49:F54" headerRowCount="0" totalsRowShown="0" headerRowDxfId="33" dataDxfId="31" headerRowBorderDxfId="32" tableBorderDxfId="30" totalsRowBorderDxfId="29">
  <tableColumns count="5">
    <tableColumn id="1" name="Columna1" headerRowDxfId="28" dataDxfId="27">
      <calculatedColumnFormula>B49-E50</calculatedColumnFormula>
    </tableColumn>
    <tableColumn id="2" name="Columna2" headerRowDxfId="26" dataDxfId="25">
      <calculatedColumnFormula>B49*F50</calculatedColumnFormula>
    </tableColumn>
    <tableColumn id="3" name="Columna3" headerRowDxfId="24" dataDxfId="23">
      <calculatedColumnFormula>PMT(F50,5,$B$50:$B$50,,0)*-1</calculatedColumnFormula>
    </tableColumn>
    <tableColumn id="4" name="Columna4" headerRowDxfId="22" dataDxfId="21">
      <calculatedColumnFormula>D50-C50</calculatedColumnFormula>
    </tableColumn>
    <tableColumn id="5" name="Columna5" headerRowDxfId="20" dataDxfId="19" dataCellStyle="Porcentaje"/>
  </tableColumns>
  <tableStyleInfo name="TableStyleLight1" showFirstColumn="0" showLastColumn="0" showRowStripes="1" showColumnStripes="0"/>
</table>
</file>

<file path=xl/tables/table4.xml><?xml version="1.0" encoding="utf-8"?>
<table xmlns="http://schemas.openxmlformats.org/spreadsheetml/2006/main" id="10" name="Tabla10" displayName="Tabla10" ref="C3:C22" headerRowCount="0" totalsRowShown="0" headerRowDxfId="18" dataDxfId="17">
  <tableColumns count="1">
    <tableColumn id="2" name="Columna2" headerRowDxfId="16" dataDxfId="15"/>
  </tableColumns>
  <tableStyleInfo name="TableStyleLight1" showFirstColumn="0" showLastColumn="0" showRowStripes="1" showColumnStripes="0"/>
</table>
</file>

<file path=xl/tables/table5.xml><?xml version="1.0" encoding="utf-8"?>
<table xmlns="http://schemas.openxmlformats.org/spreadsheetml/2006/main" id="11" name="Tabla11" displayName="Tabla11" ref="C25:I45" headerRowCount="0" totalsRowShown="0" headerRowDxfId="14" dataDxfId="13" headerRowCellStyle="Moneda">
  <tableColumns count="7">
    <tableColumn id="1" name="Columna1" headerRowDxfId="12"/>
    <tableColumn id="2" name="Columna2" headerRowDxfId="11" dataDxfId="10"/>
    <tableColumn id="3" name="Columna3" headerRowDxfId="9" dataDxfId="8" headerRowCellStyle="Moneda"/>
    <tableColumn id="4" name="Columna4" headerRowDxfId="7" dataDxfId="6" headerRowCellStyle="Moneda"/>
    <tableColumn id="5" name="Columna5" headerRowDxfId="5" dataDxfId="4" headerRowCellStyle="Moneda"/>
    <tableColumn id="6" name="Columna6" headerRowDxfId="3" dataDxfId="2" headerRowCellStyle="Moneda"/>
    <tableColumn id="7" name="Columna7" headerRowDxfId="1" dataDxfId="0" headerRowCellStyle="Moneda"/>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3"/>
  <sheetViews>
    <sheetView showGridLines="0" workbookViewId="0">
      <selection activeCell="D51" sqref="D51"/>
    </sheetView>
  </sheetViews>
  <sheetFormatPr baseColWidth="10" defaultRowHeight="12.75" x14ac:dyDescent="0.2"/>
  <cols>
    <col min="1" max="1" width="32.140625" style="19" customWidth="1"/>
    <col min="2" max="2" width="13.28515625" style="19" bestFit="1" customWidth="1"/>
    <col min="3" max="3" width="14.140625" style="19" bestFit="1" customWidth="1"/>
    <col min="4" max="4" width="13.42578125" style="19" customWidth="1"/>
    <col min="5" max="5" width="12.140625" style="19" customWidth="1"/>
    <col min="6" max="6" width="12.140625" style="19" bestFit="1" customWidth="1"/>
    <col min="7" max="7" width="13" style="19" customWidth="1"/>
    <col min="8" max="8" width="17.42578125" style="19" bestFit="1" customWidth="1"/>
    <col min="9" max="9" width="11.42578125" style="19"/>
    <col min="10" max="10" width="11.85546875" style="19" bestFit="1" customWidth="1"/>
    <col min="11" max="16384" width="11.42578125" style="19"/>
  </cols>
  <sheetData>
    <row r="1" spans="1:10" ht="21.75" customHeight="1" x14ac:dyDescent="0.2">
      <c r="A1" s="122" t="s">
        <v>0</v>
      </c>
      <c r="B1" s="122"/>
      <c r="C1" s="122"/>
      <c r="D1" s="122"/>
      <c r="E1" s="122"/>
      <c r="F1" s="122"/>
      <c r="G1" s="122"/>
      <c r="H1" s="50"/>
    </row>
    <row r="2" spans="1:10" ht="30" x14ac:dyDescent="0.2">
      <c r="A2" s="11" t="s">
        <v>1</v>
      </c>
      <c r="B2" s="11" t="s">
        <v>36</v>
      </c>
      <c r="C2" s="11" t="s">
        <v>41</v>
      </c>
      <c r="D2" s="11" t="s">
        <v>3</v>
      </c>
      <c r="E2" s="11" t="s">
        <v>4</v>
      </c>
      <c r="F2" s="11" t="s">
        <v>5</v>
      </c>
      <c r="G2" s="11" t="s">
        <v>6</v>
      </c>
    </row>
    <row r="3" spans="1:10" ht="15" x14ac:dyDescent="0.2">
      <c r="A3" s="35" t="s">
        <v>7</v>
      </c>
      <c r="B3" s="36">
        <v>1</v>
      </c>
      <c r="C3" s="37">
        <v>1</v>
      </c>
      <c r="D3" s="38">
        <v>4500000</v>
      </c>
      <c r="E3" s="38">
        <f>D3*0.52</f>
        <v>2340000</v>
      </c>
      <c r="F3" s="38">
        <f t="shared" ref="F3:F8" si="0">SUM(D3:E3)</f>
        <v>6840000</v>
      </c>
      <c r="G3" s="38">
        <f t="shared" ref="G3:G8" si="1">F3*C3*B3</f>
        <v>6840000</v>
      </c>
    </row>
    <row r="4" spans="1:10" ht="15" x14ac:dyDescent="0.2">
      <c r="A4" s="35" t="s">
        <v>107</v>
      </c>
      <c r="B4" s="36">
        <v>1</v>
      </c>
      <c r="C4" s="37">
        <v>1</v>
      </c>
      <c r="D4" s="38">
        <v>3000000</v>
      </c>
      <c r="E4" s="38">
        <f t="shared" ref="E4:E8" si="2">D4*0.52</f>
        <v>1560000</v>
      </c>
      <c r="F4" s="38">
        <f t="shared" si="0"/>
        <v>4560000</v>
      </c>
      <c r="G4" s="38">
        <f t="shared" si="1"/>
        <v>4560000</v>
      </c>
    </row>
    <row r="5" spans="1:10" ht="30" x14ac:dyDescent="0.2">
      <c r="A5" s="35" t="s">
        <v>83</v>
      </c>
      <c r="B5" s="36">
        <v>1</v>
      </c>
      <c r="C5" s="37">
        <v>1</v>
      </c>
      <c r="D5" s="38">
        <v>2800000</v>
      </c>
      <c r="E5" s="38">
        <f t="shared" si="2"/>
        <v>1456000</v>
      </c>
      <c r="F5" s="38">
        <f t="shared" si="0"/>
        <v>4256000</v>
      </c>
      <c r="G5" s="38">
        <f t="shared" si="1"/>
        <v>4256000</v>
      </c>
    </row>
    <row r="6" spans="1:10" ht="30" x14ac:dyDescent="0.2">
      <c r="A6" s="35" t="s">
        <v>106</v>
      </c>
      <c r="B6" s="36">
        <v>1</v>
      </c>
      <c r="C6" s="37">
        <v>1</v>
      </c>
      <c r="D6" s="38">
        <v>2800000</v>
      </c>
      <c r="E6" s="38">
        <f t="shared" si="2"/>
        <v>1456000</v>
      </c>
      <c r="F6" s="38">
        <f t="shared" si="0"/>
        <v>4256000</v>
      </c>
      <c r="G6" s="38">
        <f t="shared" si="1"/>
        <v>4256000</v>
      </c>
    </row>
    <row r="7" spans="1:10" ht="15" x14ac:dyDescent="0.2">
      <c r="A7" s="35" t="s">
        <v>84</v>
      </c>
      <c r="B7" s="36">
        <v>1</v>
      </c>
      <c r="C7" s="37">
        <v>1</v>
      </c>
      <c r="D7" s="38">
        <v>3000000</v>
      </c>
      <c r="E7" s="38">
        <f t="shared" si="2"/>
        <v>1560000</v>
      </c>
      <c r="F7" s="38">
        <f t="shared" si="0"/>
        <v>4560000</v>
      </c>
      <c r="G7" s="38">
        <f t="shared" si="1"/>
        <v>4560000</v>
      </c>
    </row>
    <row r="8" spans="1:10" ht="15" x14ac:dyDescent="0.2">
      <c r="A8" s="35" t="s">
        <v>85</v>
      </c>
      <c r="B8" s="36">
        <v>1</v>
      </c>
      <c r="C8" s="39">
        <v>1</v>
      </c>
      <c r="D8" s="40">
        <v>2200000</v>
      </c>
      <c r="E8" s="38">
        <f t="shared" si="2"/>
        <v>1144000</v>
      </c>
      <c r="F8" s="38">
        <f t="shared" si="0"/>
        <v>3344000</v>
      </c>
      <c r="G8" s="38">
        <f t="shared" si="1"/>
        <v>3344000</v>
      </c>
    </row>
    <row r="9" spans="1:10" ht="27.75" customHeight="1" x14ac:dyDescent="0.2">
      <c r="A9" s="41" t="s">
        <v>8</v>
      </c>
      <c r="C9" s="42">
        <f>SUM(C3:C8)</f>
        <v>6</v>
      </c>
      <c r="D9" s="51"/>
      <c r="E9" s="123" t="s">
        <v>9</v>
      </c>
      <c r="F9" s="125"/>
      <c r="G9" s="43">
        <f>SUM(G3:G8)</f>
        <v>27816000</v>
      </c>
      <c r="I9" s="52"/>
    </row>
    <row r="10" spans="1:10" ht="15" x14ac:dyDescent="0.2">
      <c r="A10" s="44" t="s">
        <v>10</v>
      </c>
      <c r="B10" s="45">
        <v>0.03</v>
      </c>
      <c r="C10" s="51"/>
      <c r="D10" s="51"/>
      <c r="E10" s="51"/>
      <c r="F10" s="51"/>
      <c r="G10" s="46">
        <f>G9*0.03</f>
        <v>834480</v>
      </c>
      <c r="J10" s="52"/>
    </row>
    <row r="11" spans="1:10" ht="18.75" customHeight="1" x14ac:dyDescent="0.2">
      <c r="A11" s="44" t="s">
        <v>11</v>
      </c>
      <c r="B11" s="45">
        <v>0.03</v>
      </c>
      <c r="C11" s="51"/>
      <c r="D11" s="51"/>
      <c r="E11" s="51"/>
      <c r="F11" s="51"/>
      <c r="G11" s="46">
        <f>G9*0.03</f>
        <v>834480</v>
      </c>
    </row>
    <row r="12" spans="1:10" ht="30.75" customHeight="1" x14ac:dyDescent="0.2">
      <c r="A12" s="53"/>
      <c r="B12" s="54"/>
      <c r="C12" s="53"/>
      <c r="D12" s="53"/>
      <c r="E12" s="123" t="s">
        <v>9</v>
      </c>
      <c r="F12" s="125"/>
      <c r="G12" s="47">
        <f>SUM(G9:G11)</f>
        <v>29484960</v>
      </c>
    </row>
    <row r="13" spans="1:10" ht="15" x14ac:dyDescent="0.2">
      <c r="A13" s="35" t="s">
        <v>12</v>
      </c>
      <c r="B13" s="39">
        <v>6</v>
      </c>
      <c r="C13" s="123" t="s">
        <v>13</v>
      </c>
      <c r="D13" s="124"/>
      <c r="E13" s="124"/>
      <c r="F13" s="125"/>
      <c r="G13" s="10">
        <v>0.2</v>
      </c>
    </row>
    <row r="14" spans="1:10" ht="15" x14ac:dyDescent="0.2">
      <c r="A14" s="35" t="s">
        <v>14</v>
      </c>
      <c r="B14" s="39">
        <v>1</v>
      </c>
      <c r="C14" s="53"/>
      <c r="D14" s="53"/>
      <c r="E14" s="54"/>
      <c r="F14" s="54"/>
      <c r="G14" s="54"/>
    </row>
    <row r="15" spans="1:10" ht="30" customHeight="1" x14ac:dyDescent="0.2">
      <c r="A15" s="55"/>
      <c r="E15" s="123" t="s">
        <v>86</v>
      </c>
      <c r="F15" s="125"/>
      <c r="G15" s="12">
        <f>G12*(1+G13)*B13</f>
        <v>212291712</v>
      </c>
    </row>
    <row r="16" spans="1:10" s="56" customFormat="1" x14ac:dyDescent="0.2">
      <c r="A16" s="55"/>
      <c r="B16" s="55"/>
      <c r="C16" s="55"/>
      <c r="D16" s="55"/>
      <c r="E16" s="55"/>
      <c r="F16" s="55"/>
      <c r="G16" s="55"/>
      <c r="H16" s="19"/>
    </row>
    <row r="17" spans="1:7" ht="17.25" customHeight="1" x14ac:dyDescent="0.2">
      <c r="A17" s="118" t="s">
        <v>15</v>
      </c>
      <c r="B17" s="119"/>
      <c r="C17" s="119"/>
      <c r="D17" s="119"/>
      <c r="E17" s="119"/>
      <c r="F17" s="120"/>
    </row>
    <row r="18" spans="1:7" s="57" customFormat="1" ht="30" x14ac:dyDescent="0.25">
      <c r="A18" s="11" t="s">
        <v>16</v>
      </c>
      <c r="B18" s="11" t="s">
        <v>2</v>
      </c>
      <c r="C18" s="11" t="s">
        <v>17</v>
      </c>
      <c r="D18" s="11" t="s">
        <v>18</v>
      </c>
      <c r="E18" s="11" t="s">
        <v>108</v>
      </c>
      <c r="F18" s="11" t="s">
        <v>6</v>
      </c>
    </row>
    <row r="19" spans="1:7" s="57" customFormat="1" ht="15" x14ac:dyDescent="0.25">
      <c r="A19" s="35" t="s">
        <v>19</v>
      </c>
      <c r="B19" s="13">
        <v>6</v>
      </c>
      <c r="C19" s="48">
        <v>1800000</v>
      </c>
      <c r="D19" s="48">
        <f>B19*C19</f>
        <v>10800000</v>
      </c>
      <c r="E19" s="13"/>
      <c r="F19" s="48">
        <f t="shared" ref="F19:F27" si="3">D19/6</f>
        <v>1800000</v>
      </c>
    </row>
    <row r="20" spans="1:7" s="57" customFormat="1" ht="15" x14ac:dyDescent="0.25">
      <c r="A20" s="35" t="s">
        <v>20</v>
      </c>
      <c r="B20" s="13">
        <v>1</v>
      </c>
      <c r="C20" s="48">
        <v>380000</v>
      </c>
      <c r="D20" s="48">
        <v>380000</v>
      </c>
      <c r="E20" s="13">
        <v>1</v>
      </c>
      <c r="F20" s="48">
        <f t="shared" si="3"/>
        <v>63333.333333333336</v>
      </c>
    </row>
    <row r="21" spans="1:7" s="57" customFormat="1" ht="15" x14ac:dyDescent="0.25">
      <c r="A21" s="35" t="s">
        <v>21</v>
      </c>
      <c r="B21" s="13">
        <v>1</v>
      </c>
      <c r="C21" s="48">
        <v>300000</v>
      </c>
      <c r="D21" s="48">
        <v>300000</v>
      </c>
      <c r="E21" s="13"/>
      <c r="F21" s="48">
        <f t="shared" si="3"/>
        <v>50000</v>
      </c>
    </row>
    <row r="22" spans="1:7" s="57" customFormat="1" ht="15" x14ac:dyDescent="0.25">
      <c r="A22" s="35" t="s">
        <v>22</v>
      </c>
      <c r="B22" s="13">
        <v>1</v>
      </c>
      <c r="C22" s="48">
        <v>300000</v>
      </c>
      <c r="D22" s="48">
        <v>300000</v>
      </c>
      <c r="E22" s="13"/>
      <c r="F22" s="48">
        <f t="shared" si="3"/>
        <v>50000</v>
      </c>
    </row>
    <row r="23" spans="1:7" s="57" customFormat="1" ht="30" x14ac:dyDescent="0.25">
      <c r="A23" s="35" t="s">
        <v>90</v>
      </c>
      <c r="B23" s="13">
        <v>1</v>
      </c>
      <c r="C23" s="48">
        <v>9000000</v>
      </c>
      <c r="D23" s="48">
        <v>9000000</v>
      </c>
      <c r="E23" s="13"/>
      <c r="F23" s="48">
        <f t="shared" si="3"/>
        <v>1500000</v>
      </c>
    </row>
    <row r="24" spans="1:7" s="57" customFormat="1" ht="15" x14ac:dyDescent="0.25">
      <c r="A24" s="35" t="s">
        <v>23</v>
      </c>
      <c r="B24" s="13">
        <v>1</v>
      </c>
      <c r="C24" s="48">
        <v>400000</v>
      </c>
      <c r="D24" s="48">
        <v>400000</v>
      </c>
      <c r="E24" s="13"/>
      <c r="F24" s="48">
        <f t="shared" si="3"/>
        <v>66666.666666666672</v>
      </c>
    </row>
    <row r="25" spans="1:7" s="57" customFormat="1" ht="15" x14ac:dyDescent="0.25">
      <c r="A25" s="35" t="s">
        <v>24</v>
      </c>
      <c r="B25" s="13">
        <v>1</v>
      </c>
      <c r="C25" s="48">
        <v>200000</v>
      </c>
      <c r="D25" s="48">
        <v>200000</v>
      </c>
      <c r="E25" s="13"/>
      <c r="F25" s="48">
        <f t="shared" si="3"/>
        <v>33333.333333333336</v>
      </c>
    </row>
    <row r="26" spans="1:7" s="57" customFormat="1" ht="15" x14ac:dyDescent="0.25">
      <c r="A26" s="35" t="s">
        <v>25</v>
      </c>
      <c r="B26" s="13">
        <v>1</v>
      </c>
      <c r="C26" s="48">
        <v>100000</v>
      </c>
      <c r="D26" s="48">
        <v>100000</v>
      </c>
      <c r="E26" s="13"/>
      <c r="F26" s="48">
        <f t="shared" si="3"/>
        <v>16666.666666666668</v>
      </c>
    </row>
    <row r="27" spans="1:7" s="57" customFormat="1" ht="15" x14ac:dyDescent="0.25">
      <c r="A27" s="35" t="s">
        <v>26</v>
      </c>
      <c r="B27" s="13">
        <v>1</v>
      </c>
      <c r="C27" s="48">
        <v>200000</v>
      </c>
      <c r="D27" s="48">
        <v>200000</v>
      </c>
      <c r="E27" s="13"/>
      <c r="F27" s="48">
        <f t="shared" si="3"/>
        <v>33333.333333333336</v>
      </c>
    </row>
    <row r="28" spans="1:7" s="57" customFormat="1" ht="15.75" customHeight="1" x14ac:dyDescent="0.25">
      <c r="A28" s="58"/>
      <c r="B28" s="58"/>
      <c r="C28" s="118" t="s">
        <v>27</v>
      </c>
      <c r="D28" s="119"/>
      <c r="E28" s="120"/>
      <c r="F28" s="48">
        <f>SUM(F19:F27)</f>
        <v>3613333.333333333</v>
      </c>
    </row>
    <row r="29" spans="1:7" s="57" customFormat="1" ht="15.75" customHeight="1" x14ac:dyDescent="0.25">
      <c r="A29" s="58"/>
      <c r="B29" s="58"/>
      <c r="C29" s="118" t="s">
        <v>13</v>
      </c>
      <c r="D29" s="119"/>
      <c r="E29" s="120"/>
      <c r="F29" s="15">
        <v>0.2</v>
      </c>
    </row>
    <row r="30" spans="1:7" s="57" customFormat="1" ht="15.75" customHeight="1" x14ac:dyDescent="0.25">
      <c r="A30" s="58"/>
      <c r="B30" s="58"/>
      <c r="C30" s="118" t="s">
        <v>89</v>
      </c>
      <c r="D30" s="119"/>
      <c r="E30" s="120"/>
      <c r="F30" s="48">
        <f>6*1.2*F28</f>
        <v>26015999.999999996</v>
      </c>
    </row>
    <row r="31" spans="1:7" s="56" customFormat="1" x14ac:dyDescent="0.2">
      <c r="A31" s="55"/>
      <c r="B31" s="55"/>
      <c r="C31" s="55"/>
      <c r="D31" s="59"/>
      <c r="E31" s="59"/>
      <c r="F31" s="59"/>
      <c r="G31" s="60"/>
    </row>
    <row r="32" spans="1:7" s="56" customFormat="1" x14ac:dyDescent="0.2">
      <c r="A32" s="55"/>
      <c r="B32" s="55"/>
      <c r="C32" s="55"/>
      <c r="D32" s="55"/>
      <c r="E32" s="55"/>
      <c r="F32" s="55"/>
      <c r="G32" s="55"/>
    </row>
    <row r="33" spans="1:7" s="57" customFormat="1" ht="17.25" customHeight="1" x14ac:dyDescent="0.25">
      <c r="A33" s="118" t="s">
        <v>28</v>
      </c>
      <c r="B33" s="119"/>
      <c r="C33" s="119"/>
      <c r="D33" s="119"/>
      <c r="E33" s="119"/>
      <c r="F33" s="120"/>
    </row>
    <row r="34" spans="1:7" s="57" customFormat="1" ht="12.75" customHeight="1" x14ac:dyDescent="0.25">
      <c r="A34" s="116" t="s">
        <v>88</v>
      </c>
      <c r="B34" s="116"/>
      <c r="C34" s="116"/>
      <c r="D34" s="116"/>
      <c r="E34" s="117"/>
      <c r="F34" s="48">
        <f>F30+G15</f>
        <v>238307712</v>
      </c>
    </row>
    <row r="35" spans="1:7" s="57" customFormat="1" ht="15" x14ac:dyDescent="0.25">
      <c r="A35" s="35" t="s">
        <v>87</v>
      </c>
      <c r="F35" s="48">
        <f>1500000*6</f>
        <v>9000000</v>
      </c>
    </row>
    <row r="36" spans="1:7" s="57" customFormat="1" ht="15" x14ac:dyDescent="0.25">
      <c r="A36" s="35" t="s">
        <v>29</v>
      </c>
      <c r="B36" s="17">
        <v>0.03</v>
      </c>
      <c r="F36" s="48">
        <f>F34*B36</f>
        <v>7149231.3599999994</v>
      </c>
    </row>
    <row r="37" spans="1:7" s="57" customFormat="1" ht="12.75" customHeight="1" x14ac:dyDescent="0.25">
      <c r="A37" s="115" t="s">
        <v>88</v>
      </c>
      <c r="B37" s="116"/>
      <c r="C37" s="116"/>
      <c r="D37" s="116"/>
      <c r="E37" s="117"/>
      <c r="F37" s="48">
        <f>SUM(F34:F36)</f>
        <v>254456943.36000001</v>
      </c>
    </row>
    <row r="38" spans="1:7" s="57" customFormat="1" ht="15" x14ac:dyDescent="0.25">
      <c r="A38" s="35" t="s">
        <v>30</v>
      </c>
      <c r="B38" s="17">
        <v>7.0000000000000001E-3</v>
      </c>
      <c r="F38" s="48">
        <f>F37*B38</f>
        <v>1781198.6035200001</v>
      </c>
    </row>
    <row r="39" spans="1:7" s="57" customFormat="1" ht="15" x14ac:dyDescent="0.25">
      <c r="A39" s="35" t="s">
        <v>31</v>
      </c>
      <c r="B39" s="17">
        <v>9.7000000000000003E-3</v>
      </c>
      <c r="F39" s="48">
        <f>F37*B39</f>
        <v>2468232.3505920004</v>
      </c>
    </row>
    <row r="40" spans="1:7" s="57" customFormat="1" ht="15" x14ac:dyDescent="0.25">
      <c r="A40" s="35" t="s">
        <v>32</v>
      </c>
      <c r="B40" s="16"/>
      <c r="F40" s="48" t="s">
        <v>33</v>
      </c>
    </row>
    <row r="41" spans="1:7" s="57" customFormat="1" ht="15" x14ac:dyDescent="0.25">
      <c r="A41" s="35" t="s">
        <v>34</v>
      </c>
      <c r="B41" s="17">
        <v>0</v>
      </c>
      <c r="F41" s="48" t="s">
        <v>33</v>
      </c>
    </row>
    <row r="42" spans="1:7" s="57" customFormat="1" ht="12.75" customHeight="1" x14ac:dyDescent="0.25">
      <c r="A42" s="115" t="s">
        <v>91</v>
      </c>
      <c r="B42" s="116"/>
      <c r="C42" s="116"/>
      <c r="D42" s="116"/>
      <c r="E42" s="117"/>
      <c r="F42" s="48">
        <f>SUM(F37:F41)</f>
        <v>258706374.31411201</v>
      </c>
    </row>
    <row r="43" spans="1:7" s="61" customFormat="1" x14ac:dyDescent="0.25">
      <c r="B43" s="58"/>
      <c r="C43" s="58"/>
      <c r="D43" s="58"/>
      <c r="E43" s="57"/>
      <c r="F43" s="57"/>
      <c r="G43" s="57"/>
    </row>
    <row r="44" spans="1:7" s="57" customFormat="1" ht="12.75" customHeight="1" x14ac:dyDescent="0.25">
      <c r="A44" s="115" t="s">
        <v>92</v>
      </c>
      <c r="B44" s="116"/>
      <c r="C44" s="116"/>
      <c r="D44" s="116"/>
      <c r="E44" s="117"/>
      <c r="F44" s="48">
        <f>F42</f>
        <v>258706374.31411201</v>
      </c>
    </row>
    <row r="45" spans="1:7" s="57" customFormat="1" ht="13.5" customHeight="1" x14ac:dyDescent="0.25">
      <c r="A45" s="115" t="s">
        <v>35</v>
      </c>
      <c r="B45" s="116"/>
      <c r="C45" s="116"/>
      <c r="D45" s="116"/>
      <c r="E45" s="117"/>
      <c r="F45" s="48">
        <f>F44/6</f>
        <v>43117729.052352004</v>
      </c>
    </row>
    <row r="48" spans="1:7" ht="15" x14ac:dyDescent="0.2">
      <c r="A48" s="11" t="s">
        <v>39</v>
      </c>
      <c r="B48" s="11" t="s">
        <v>40</v>
      </c>
      <c r="C48" s="62"/>
    </row>
    <row r="49" spans="1:13" ht="15" x14ac:dyDescent="0.2">
      <c r="A49" s="49">
        <v>2013</v>
      </c>
      <c r="B49" s="63">
        <v>1.9400000000000001E-2</v>
      </c>
      <c r="D49" s="19" t="s">
        <v>37</v>
      </c>
    </row>
    <row r="50" spans="1:13" ht="15" x14ac:dyDescent="0.2">
      <c r="A50" s="49">
        <v>2014</v>
      </c>
      <c r="B50" s="63">
        <v>3.6600000000000001E-2</v>
      </c>
    </row>
    <row r="51" spans="1:13" ht="15" x14ac:dyDescent="0.2">
      <c r="A51" s="49">
        <v>2015</v>
      </c>
      <c r="B51" s="63">
        <v>6.7699999999999996E-2</v>
      </c>
    </row>
    <row r="52" spans="1:13" ht="15" x14ac:dyDescent="0.2">
      <c r="A52" s="49">
        <v>2016</v>
      </c>
      <c r="B52" s="63">
        <v>5.7500000000000002E-2</v>
      </c>
    </row>
    <row r="53" spans="1:13" ht="15" x14ac:dyDescent="0.2">
      <c r="A53" s="49">
        <v>2017</v>
      </c>
      <c r="B53" s="63">
        <v>3.9699999999999999E-2</v>
      </c>
    </row>
    <row r="54" spans="1:13" ht="15" x14ac:dyDescent="0.2">
      <c r="A54" s="11" t="s">
        <v>38</v>
      </c>
      <c r="B54" s="18">
        <f>AVERAGE(B49:B53)</f>
        <v>4.4179999999999997E-2</v>
      </c>
    </row>
    <row r="56" spans="1:13" s="20" customFormat="1" x14ac:dyDescent="0.25">
      <c r="A56" s="121" t="s">
        <v>82</v>
      </c>
      <c r="B56" s="121"/>
      <c r="C56" s="121"/>
      <c r="D56" s="121"/>
      <c r="E56" s="121"/>
      <c r="F56" s="121"/>
      <c r="G56" s="121"/>
      <c r="H56" s="121"/>
      <c r="I56" s="121"/>
      <c r="J56" s="121"/>
      <c r="K56" s="121"/>
      <c r="L56" s="121"/>
      <c r="M56" s="121"/>
    </row>
    <row r="58" spans="1:13" ht="75" x14ac:dyDescent="0.2">
      <c r="A58" s="11" t="s">
        <v>39</v>
      </c>
      <c r="B58" s="11" t="s">
        <v>73</v>
      </c>
      <c r="C58" s="11" t="s">
        <v>74</v>
      </c>
    </row>
    <row r="59" spans="1:13" ht="15" x14ac:dyDescent="0.2">
      <c r="A59" s="49">
        <v>2018</v>
      </c>
      <c r="B59" s="48">
        <f>F45*(1+B54)</f>
        <v>45022670.321884908</v>
      </c>
      <c r="C59" s="48">
        <f>B59*6</f>
        <v>270136021.93130946</v>
      </c>
    </row>
    <row r="60" spans="1:13" ht="15" x14ac:dyDescent="0.2">
      <c r="A60" s="49">
        <v>2019</v>
      </c>
      <c r="B60" s="48">
        <f>B59*(1+$B$54)</f>
        <v>47011771.896705776</v>
      </c>
      <c r="C60" s="48">
        <f>B60*6</f>
        <v>282070631.38023466</v>
      </c>
    </row>
    <row r="61" spans="1:13" ht="15" x14ac:dyDescent="0.2">
      <c r="A61" s="49">
        <v>2020</v>
      </c>
      <c r="B61" s="48">
        <f t="shared" ref="B61:B63" si="4">B60*(1+$B$54)</f>
        <v>49088751.979102232</v>
      </c>
      <c r="C61" s="48">
        <f>B61*6</f>
        <v>294532511.8746134</v>
      </c>
    </row>
    <row r="62" spans="1:13" ht="15" x14ac:dyDescent="0.2">
      <c r="A62" s="49">
        <v>2021</v>
      </c>
      <c r="B62" s="48">
        <f t="shared" si="4"/>
        <v>51257493.041538961</v>
      </c>
      <c r="C62" s="48">
        <f>B62*6</f>
        <v>307544958.24923378</v>
      </c>
    </row>
    <row r="63" spans="1:13" ht="15" x14ac:dyDescent="0.2">
      <c r="A63" s="49">
        <v>2022</v>
      </c>
      <c r="B63" s="48">
        <f t="shared" si="4"/>
        <v>53522049.084114149</v>
      </c>
      <c r="C63" s="48">
        <f>B63*6</f>
        <v>321132294.50468493</v>
      </c>
    </row>
  </sheetData>
  <mergeCells count="16">
    <mergeCell ref="A33:F33"/>
    <mergeCell ref="A56:M56"/>
    <mergeCell ref="A1:G1"/>
    <mergeCell ref="C13:F13"/>
    <mergeCell ref="A17:F17"/>
    <mergeCell ref="E9:F9"/>
    <mergeCell ref="E12:F12"/>
    <mergeCell ref="E15:F15"/>
    <mergeCell ref="C28:E28"/>
    <mergeCell ref="C29:E29"/>
    <mergeCell ref="C30:E30"/>
    <mergeCell ref="A37:E37"/>
    <mergeCell ref="A34:E34"/>
    <mergeCell ref="A42:E42"/>
    <mergeCell ref="A44:E44"/>
    <mergeCell ref="A45:E45"/>
  </mergeCells>
  <pageMargins left="0.7" right="0.7" top="0.75" bottom="0.75" header="0.3" footer="0.3"/>
  <pageSetup paperSize="9" orientation="portrait" r:id="rId1"/>
  <ignoredErrors>
    <ignoredError sqref="B59:C63" calculatedColumn="1"/>
  </ignoredErrors>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
  <sheetViews>
    <sheetView showGridLines="0" workbookViewId="0">
      <selection activeCell="D23" sqref="D23"/>
    </sheetView>
  </sheetViews>
  <sheetFormatPr baseColWidth="10" defaultRowHeight="15" x14ac:dyDescent="0.25"/>
  <cols>
    <col min="1" max="1" width="7.140625" customWidth="1"/>
    <col min="2" max="3" width="16.7109375" bestFit="1" customWidth="1"/>
    <col min="4" max="4" width="15.5703125" bestFit="1" customWidth="1"/>
    <col min="5" max="5" width="16.85546875" bestFit="1" customWidth="1"/>
    <col min="6" max="6" width="12.7109375" bestFit="1" customWidth="1"/>
  </cols>
  <sheetData>
    <row r="1" spans="1:6" s="14" customFormat="1" ht="18" customHeight="1" x14ac:dyDescent="0.25">
      <c r="A1" s="118" t="s">
        <v>68</v>
      </c>
      <c r="B1" s="119"/>
      <c r="C1" s="119"/>
      <c r="D1" s="119"/>
      <c r="E1" s="119"/>
      <c r="F1" s="120"/>
    </row>
    <row r="2" spans="1:6" ht="18" customHeight="1" x14ac:dyDescent="0.25">
      <c r="A2" s="126" t="s">
        <v>39</v>
      </c>
      <c r="B2" s="126" t="s">
        <v>65</v>
      </c>
      <c r="C2" s="126" t="s">
        <v>43</v>
      </c>
      <c r="D2" s="126"/>
      <c r="E2" s="126"/>
      <c r="F2" s="126"/>
    </row>
    <row r="3" spans="1:6" ht="18" customHeight="1" x14ac:dyDescent="0.25">
      <c r="A3" s="126"/>
      <c r="B3" s="127"/>
      <c r="C3" s="24" t="s">
        <v>66</v>
      </c>
      <c r="D3" s="24" t="s">
        <v>67</v>
      </c>
      <c r="E3" s="24" t="s">
        <v>93</v>
      </c>
      <c r="F3" s="24" t="s">
        <v>69</v>
      </c>
    </row>
    <row r="4" spans="1:6" x14ac:dyDescent="0.25">
      <c r="A4" s="23">
        <v>2017</v>
      </c>
      <c r="B4" s="26">
        <f>6*'Nomina y Costos'!F45</f>
        <v>258706374.31411201</v>
      </c>
      <c r="C4" s="27">
        <f>6*'Nomina y Costos'!G12</f>
        <v>176909760</v>
      </c>
      <c r="D4" s="27">
        <f>'Nomina y Costos'!F30</f>
        <v>26015999.999999996</v>
      </c>
      <c r="E4" s="27">
        <f>'Nomina y Costos'!F35</f>
        <v>9000000</v>
      </c>
      <c r="F4" s="28">
        <f>SUM(C4:E4)</f>
        <v>211925760</v>
      </c>
    </row>
    <row r="5" spans="1:6" x14ac:dyDescent="0.25">
      <c r="A5" s="23">
        <v>2018</v>
      </c>
      <c r="B5" s="29">
        <f>'Nomina y Costos'!C59</f>
        <v>270136021.93130946</v>
      </c>
      <c r="C5" s="30">
        <f>C4*1.0264</f>
        <v>181580177.664</v>
      </c>
      <c r="D5" s="30">
        <f t="shared" ref="D5:E9" si="0">D4*1.0264</f>
        <v>26702822.399999995</v>
      </c>
      <c r="E5" s="30">
        <f t="shared" si="0"/>
        <v>9237600</v>
      </c>
      <c r="F5" s="31">
        <f t="shared" ref="F5:F9" si="1">SUM(C5:E5)</f>
        <v>217520600.06400001</v>
      </c>
    </row>
    <row r="6" spans="1:6" x14ac:dyDescent="0.25">
      <c r="A6" s="23">
        <v>2019</v>
      </c>
      <c r="B6" s="29">
        <f>'Nomina y Costos'!C60</f>
        <v>282070631.38023466</v>
      </c>
      <c r="C6" s="30">
        <f t="shared" ref="C6:C9" si="2">C5*1.0264</f>
        <v>186373894.35432959</v>
      </c>
      <c r="D6" s="30">
        <f t="shared" si="0"/>
        <v>27407776.911359996</v>
      </c>
      <c r="E6" s="30">
        <f t="shared" si="0"/>
        <v>9481472.6400000006</v>
      </c>
      <c r="F6" s="31">
        <f t="shared" si="1"/>
        <v>223263143.9056896</v>
      </c>
    </row>
    <row r="7" spans="1:6" x14ac:dyDescent="0.25">
      <c r="A7" s="23">
        <v>2020</v>
      </c>
      <c r="B7" s="29">
        <f>'Nomina y Costos'!C61</f>
        <v>294532511.8746134</v>
      </c>
      <c r="C7" s="30">
        <f t="shared" si="2"/>
        <v>191294165.16528389</v>
      </c>
      <c r="D7" s="30">
        <f t="shared" si="0"/>
        <v>28131342.2218199</v>
      </c>
      <c r="E7" s="30">
        <f t="shared" si="0"/>
        <v>9731783.5176960006</v>
      </c>
      <c r="F7" s="31">
        <f t="shared" si="1"/>
        <v>229157290.90479979</v>
      </c>
    </row>
    <row r="8" spans="1:6" x14ac:dyDescent="0.25">
      <c r="A8" s="23">
        <v>2021</v>
      </c>
      <c r="B8" s="29">
        <f>'Nomina y Costos'!C62</f>
        <v>307544958.24923378</v>
      </c>
      <c r="C8" s="30">
        <f t="shared" si="2"/>
        <v>196344331.12564737</v>
      </c>
      <c r="D8" s="30">
        <f t="shared" si="0"/>
        <v>28874009.656475946</v>
      </c>
      <c r="E8" s="30">
        <f t="shared" si="0"/>
        <v>9988702.6025631744</v>
      </c>
      <c r="F8" s="31">
        <f t="shared" si="1"/>
        <v>235207043.3846865</v>
      </c>
    </row>
    <row r="9" spans="1:6" x14ac:dyDescent="0.25">
      <c r="A9" s="23">
        <v>2022</v>
      </c>
      <c r="B9" s="32">
        <f>'Nomina y Costos'!C63</f>
        <v>321132294.50468493</v>
      </c>
      <c r="C9" s="33">
        <f t="shared" si="2"/>
        <v>201527821.46736446</v>
      </c>
      <c r="D9" s="33">
        <f t="shared" si="0"/>
        <v>29636283.51140691</v>
      </c>
      <c r="E9" s="33">
        <f t="shared" si="0"/>
        <v>10252404.351270841</v>
      </c>
      <c r="F9" s="34">
        <f t="shared" si="1"/>
        <v>241416509.33004221</v>
      </c>
    </row>
  </sheetData>
  <mergeCells count="4">
    <mergeCell ref="B2:B3"/>
    <mergeCell ref="C2:F2"/>
    <mergeCell ref="A2:A3"/>
    <mergeCell ref="A1:F1"/>
  </mergeCells>
  <pageMargins left="0.7" right="0.7" top="0.75" bottom="0.75" header="0.3" footer="0.3"/>
  <pageSetup paperSize="9" orientation="portrait" r:id="rId1"/>
  <ignoredErrors>
    <ignoredError sqref="C4:C9" calculatedColumn="1"/>
  </ignoredErrors>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110"/>
  <sheetViews>
    <sheetView showGridLines="0" tabSelected="1" zoomScale="85" zoomScaleNormal="85" workbookViewId="0">
      <selection activeCell="I17" sqref="I17"/>
    </sheetView>
  </sheetViews>
  <sheetFormatPr baseColWidth="10" defaultRowHeight="15" x14ac:dyDescent="0.25"/>
  <cols>
    <col min="1" max="1" width="22.7109375" style="4" customWidth="1"/>
    <col min="2" max="2" width="19.7109375" style="4" customWidth="1"/>
    <col min="3" max="3" width="18.42578125" style="4" customWidth="1"/>
    <col min="4" max="4" width="18.28515625" style="4" customWidth="1"/>
    <col min="5" max="6" width="16.7109375" style="4" customWidth="1"/>
    <col min="7" max="9" width="18.28515625" style="4" bestFit="1" customWidth="1"/>
    <col min="10" max="10" width="23.28515625" bestFit="1" customWidth="1"/>
    <col min="11" max="11" width="24.28515625" bestFit="1" customWidth="1"/>
    <col min="12" max="13" width="14.28515625" bestFit="1" customWidth="1"/>
    <col min="14" max="14" width="17.5703125" customWidth="1"/>
    <col min="15" max="15" width="8" customWidth="1"/>
    <col min="16" max="16" width="2.85546875" customWidth="1"/>
    <col min="17" max="17" width="24.28515625" bestFit="1" customWidth="1"/>
    <col min="18" max="19" width="14.28515625" bestFit="1" customWidth="1"/>
    <col min="20" max="20" width="16.42578125" bestFit="1" customWidth="1"/>
  </cols>
  <sheetData>
    <row r="1" spans="1:21" ht="108.75" customHeight="1" x14ac:dyDescent="0.25">
      <c r="A1" s="134" t="s">
        <v>94</v>
      </c>
      <c r="B1" s="134"/>
      <c r="C1" s="134"/>
      <c r="D1" s="134"/>
      <c r="E1" s="134"/>
      <c r="F1" s="134"/>
      <c r="G1" s="134"/>
      <c r="H1" s="134"/>
      <c r="I1" s="134"/>
      <c r="J1" s="8"/>
    </row>
    <row r="2" spans="1:21" ht="22.5" customHeight="1" x14ac:dyDescent="0.25">
      <c r="A2" s="126" t="s">
        <v>109</v>
      </c>
      <c r="B2" s="126"/>
      <c r="C2" s="126"/>
      <c r="D2" s="126"/>
      <c r="E2" s="126"/>
      <c r="F2" s="126"/>
      <c r="G2" s="126"/>
      <c r="H2" s="126"/>
      <c r="I2"/>
      <c r="L2" s="2"/>
    </row>
    <row r="3" spans="1:21" ht="24" customHeight="1" x14ac:dyDescent="0.25">
      <c r="A3" s="22" t="s">
        <v>110</v>
      </c>
      <c r="B3" s="64">
        <f>'Nomina y Costos'!B54</f>
        <v>4.4179999999999997E-2</v>
      </c>
      <c r="C3" s="11" t="s">
        <v>71</v>
      </c>
      <c r="D3" s="66">
        <f>'Nomina y Costos'!B59*6</f>
        <v>270136021.93130946</v>
      </c>
      <c r="E3" s="66">
        <f>D3*(1+$B$3)</f>
        <v>282070631.38023466</v>
      </c>
      <c r="F3" s="66">
        <f t="shared" ref="F3:H3" si="0">E3*(1+$B$3)</f>
        <v>294532511.8746134</v>
      </c>
      <c r="G3" s="66">
        <f t="shared" si="0"/>
        <v>307544958.24923378</v>
      </c>
      <c r="H3" s="66">
        <f t="shared" si="0"/>
        <v>321132294.50468493</v>
      </c>
      <c r="I3"/>
      <c r="K3" s="2"/>
    </row>
    <row r="4" spans="1:21" ht="30" x14ac:dyDescent="0.25">
      <c r="A4" s="11" t="s">
        <v>64</v>
      </c>
      <c r="B4" s="75">
        <v>1</v>
      </c>
      <c r="C4" s="69" t="s">
        <v>70</v>
      </c>
      <c r="D4" s="65">
        <v>1</v>
      </c>
      <c r="E4" s="70">
        <v>2</v>
      </c>
      <c r="F4" s="65">
        <v>2</v>
      </c>
      <c r="G4" s="70">
        <v>2</v>
      </c>
      <c r="H4" s="65">
        <v>1</v>
      </c>
      <c r="I4"/>
      <c r="K4" s="2"/>
    </row>
    <row r="5" spans="1:21" ht="19.5" customHeight="1" x14ac:dyDescent="0.25">
      <c r="A5" s="130" t="s">
        <v>111</v>
      </c>
      <c r="B5" s="130"/>
      <c r="C5" s="105">
        <v>2017</v>
      </c>
      <c r="D5" s="65">
        <v>2018</v>
      </c>
      <c r="E5" s="105">
        <v>2019</v>
      </c>
      <c r="F5" s="65">
        <v>2020</v>
      </c>
      <c r="G5" s="105">
        <v>2021</v>
      </c>
      <c r="H5" s="65">
        <v>2022</v>
      </c>
      <c r="I5"/>
      <c r="K5" s="2"/>
    </row>
    <row r="6" spans="1:21" x14ac:dyDescent="0.25">
      <c r="A6" s="128" t="s">
        <v>42</v>
      </c>
      <c r="B6" s="129"/>
      <c r="C6" s="66"/>
      <c r="D6" s="66">
        <f>D3*D4</f>
        <v>270136021.93130946</v>
      </c>
      <c r="E6" s="66">
        <f t="shared" ref="E6:H6" si="1">E3*E4</f>
        <v>564141262.76046932</v>
      </c>
      <c r="F6" s="66">
        <f t="shared" si="1"/>
        <v>589065023.74922681</v>
      </c>
      <c r="G6" s="66">
        <f t="shared" si="1"/>
        <v>615089916.49846756</v>
      </c>
      <c r="H6" s="66">
        <f t="shared" si="1"/>
        <v>321132294.50468493</v>
      </c>
      <c r="I6"/>
      <c r="K6" s="2"/>
    </row>
    <row r="7" spans="1:21" x14ac:dyDescent="0.25">
      <c r="A7" s="137" t="s">
        <v>43</v>
      </c>
      <c r="B7" s="137"/>
      <c r="C7" s="66"/>
      <c r="D7" s="66">
        <f>Ing_egre!F5</f>
        <v>217520600.06400001</v>
      </c>
      <c r="E7" s="66">
        <f>Ing_egre!F6</f>
        <v>223263143.9056896</v>
      </c>
      <c r="F7" s="66">
        <f>Ing_egre!F7</f>
        <v>229157290.90479979</v>
      </c>
      <c r="G7" s="66">
        <f>Ing_egre!F8</f>
        <v>235207043.3846865</v>
      </c>
      <c r="H7" s="66">
        <f>Ing_egre!F9</f>
        <v>241416509.33004221</v>
      </c>
      <c r="I7"/>
      <c r="K7" s="2"/>
    </row>
    <row r="8" spans="1:21" x14ac:dyDescent="0.25">
      <c r="A8" s="137" t="s">
        <v>44</v>
      </c>
      <c r="B8" s="137"/>
      <c r="C8" s="66"/>
      <c r="D8" s="66">
        <v>0</v>
      </c>
      <c r="E8" s="66">
        <v>0</v>
      </c>
      <c r="F8" s="66">
        <v>0</v>
      </c>
      <c r="G8" s="66">
        <v>0</v>
      </c>
      <c r="H8" s="66">
        <v>0</v>
      </c>
      <c r="I8"/>
      <c r="J8" s="4"/>
      <c r="K8" s="4"/>
      <c r="L8" s="4"/>
      <c r="M8" s="4"/>
    </row>
    <row r="9" spans="1:21" x14ac:dyDescent="0.25">
      <c r="A9" s="137" t="s">
        <v>45</v>
      </c>
      <c r="B9" s="137"/>
      <c r="C9" s="66"/>
      <c r="D9" s="66"/>
      <c r="E9" s="66"/>
      <c r="F9" s="66"/>
      <c r="G9" s="66"/>
      <c r="H9" s="66"/>
      <c r="I9"/>
    </row>
    <row r="10" spans="1:21" ht="15" customHeight="1" x14ac:dyDescent="0.25">
      <c r="A10" s="137" t="s">
        <v>46</v>
      </c>
      <c r="B10" s="137"/>
      <c r="C10" s="66"/>
      <c r="D10" s="66">
        <f>D6-D7-D8</f>
        <v>52615421.867309451</v>
      </c>
      <c r="E10" s="66">
        <f>E6-E7-E8</f>
        <v>340878118.85477972</v>
      </c>
      <c r="F10" s="66">
        <f>F6-F7-F8</f>
        <v>359907732.84442699</v>
      </c>
      <c r="G10" s="66">
        <f>G6-G7-G8</f>
        <v>379882873.11378109</v>
      </c>
      <c r="H10" s="66">
        <f>H6-H7-H8</f>
        <v>79715785.174642712</v>
      </c>
      <c r="I10"/>
    </row>
    <row r="11" spans="1:21" x14ac:dyDescent="0.25">
      <c r="A11" s="68">
        <v>0.3</v>
      </c>
      <c r="B11" s="21" t="s">
        <v>47</v>
      </c>
      <c r="C11" s="66"/>
      <c r="D11" s="66">
        <f>D10*0.3</f>
        <v>15784626.560192835</v>
      </c>
      <c r="E11" s="66">
        <f t="shared" ref="E11:H11" si="2">E10*0.3</f>
        <v>102263435.65643391</v>
      </c>
      <c r="F11" s="66">
        <f t="shared" si="2"/>
        <v>107972319.85332809</v>
      </c>
      <c r="G11" s="66">
        <f t="shared" si="2"/>
        <v>113964861.93413432</v>
      </c>
      <c r="H11" s="66">
        <f t="shared" si="2"/>
        <v>23914735.552392814</v>
      </c>
      <c r="I11"/>
    </row>
    <row r="12" spans="1:21" x14ac:dyDescent="0.25">
      <c r="A12" s="137" t="s">
        <v>48</v>
      </c>
      <c r="B12" s="137"/>
      <c r="C12" s="66"/>
      <c r="D12" s="66">
        <f>D10-D11</f>
        <v>36830795.307116613</v>
      </c>
      <c r="E12" s="66">
        <f t="shared" ref="E12:H12" si="3">E10-E11</f>
        <v>238614683.19834581</v>
      </c>
      <c r="F12" s="66">
        <f t="shared" si="3"/>
        <v>251935412.99109888</v>
      </c>
      <c r="G12" s="66">
        <f t="shared" si="3"/>
        <v>265918011.17964679</v>
      </c>
      <c r="H12" s="66">
        <f t="shared" si="3"/>
        <v>55801049.622249901</v>
      </c>
      <c r="I12"/>
    </row>
    <row r="13" spans="1:21" x14ac:dyDescent="0.25">
      <c r="A13" s="137" t="s">
        <v>49</v>
      </c>
      <c r="B13" s="137"/>
      <c r="C13" s="66"/>
      <c r="D13" s="66">
        <v>0</v>
      </c>
      <c r="E13" s="66">
        <v>0</v>
      </c>
      <c r="F13" s="66">
        <v>0</v>
      </c>
      <c r="G13" s="66">
        <v>0</v>
      </c>
      <c r="H13" s="66">
        <v>0</v>
      </c>
      <c r="I13"/>
    </row>
    <row r="14" spans="1:21" x14ac:dyDescent="0.25">
      <c r="A14" s="137" t="s">
        <v>50</v>
      </c>
      <c r="B14" s="137"/>
      <c r="C14" s="66"/>
      <c r="D14" s="66"/>
      <c r="E14" s="66"/>
      <c r="F14" s="66"/>
      <c r="G14" s="66"/>
      <c r="H14" s="66"/>
      <c r="I14"/>
    </row>
    <row r="15" spans="1:21" x14ac:dyDescent="0.25">
      <c r="A15" s="137" t="s">
        <v>51</v>
      </c>
      <c r="B15" s="137"/>
      <c r="C15" s="66">
        <v>270000000</v>
      </c>
      <c r="D15" s="66"/>
      <c r="E15" s="66"/>
      <c r="F15" s="66"/>
      <c r="G15" s="66"/>
      <c r="H15" s="66"/>
      <c r="I15"/>
    </row>
    <row r="16" spans="1:21" ht="22.5" customHeight="1" x14ac:dyDescent="0.25">
      <c r="A16" s="137" t="s">
        <v>52</v>
      </c>
      <c r="B16" s="137"/>
      <c r="C16" s="66"/>
      <c r="D16" s="66"/>
      <c r="E16" s="66"/>
      <c r="F16" s="66"/>
      <c r="G16" s="66"/>
      <c r="H16" s="66">
        <v>0</v>
      </c>
      <c r="I16"/>
      <c r="K16" s="76"/>
      <c r="L16" s="132" t="s">
        <v>105</v>
      </c>
      <c r="M16" s="132"/>
      <c r="N16" s="132"/>
      <c r="O16" s="132"/>
      <c r="R16" s="146" t="s">
        <v>104</v>
      </c>
      <c r="S16" s="147"/>
      <c r="T16" s="147"/>
      <c r="U16" s="148"/>
    </row>
    <row r="17" spans="1:21" ht="22.5" customHeight="1" x14ac:dyDescent="0.25">
      <c r="A17" s="137" t="s">
        <v>53</v>
      </c>
      <c r="B17" s="137"/>
      <c r="C17" s="66"/>
      <c r="D17" s="66"/>
      <c r="E17" s="66"/>
      <c r="F17" s="66"/>
      <c r="G17" s="66"/>
      <c r="H17" s="66">
        <f>D6*0.2</f>
        <v>54027204.386261895</v>
      </c>
      <c r="I17"/>
      <c r="K17" s="77"/>
      <c r="L17" s="78" t="s">
        <v>98</v>
      </c>
      <c r="M17" s="78" t="s">
        <v>99</v>
      </c>
      <c r="N17" s="78" t="s">
        <v>100</v>
      </c>
      <c r="O17" s="86" t="s">
        <v>58</v>
      </c>
      <c r="Q17" s="77"/>
      <c r="R17" s="149" t="s">
        <v>98</v>
      </c>
      <c r="S17" s="149" t="s">
        <v>99</v>
      </c>
      <c r="T17" s="149" t="s">
        <v>100</v>
      </c>
      <c r="U17" s="86" t="s">
        <v>58</v>
      </c>
    </row>
    <row r="18" spans="1:21" ht="22.5" customHeight="1" x14ac:dyDescent="0.25">
      <c r="A18" s="137" t="s">
        <v>54</v>
      </c>
      <c r="B18" s="137"/>
      <c r="C18" s="67">
        <f>C6-C15</f>
        <v>-270000000</v>
      </c>
      <c r="D18" s="66">
        <f>D12+D13-D14+D15+D16+D17</f>
        <v>36830795.307116613</v>
      </c>
      <c r="E18" s="66">
        <f>E12+E13-E14+E15+E16+E17</f>
        <v>238614683.19834581</v>
      </c>
      <c r="F18" s="66">
        <f t="shared" ref="F18:H18" si="4">F12+F13-F14+F15+F16+F17</f>
        <v>251935412.99109888</v>
      </c>
      <c r="G18" s="66">
        <f t="shared" si="4"/>
        <v>265918011.17964679</v>
      </c>
      <c r="H18" s="66">
        <f t="shared" si="4"/>
        <v>109828254.0085118</v>
      </c>
      <c r="I18"/>
      <c r="K18" s="78" t="s">
        <v>101</v>
      </c>
      <c r="L18" s="79">
        <v>8</v>
      </c>
      <c r="M18" s="79">
        <v>12</v>
      </c>
      <c r="N18" s="79">
        <v>5</v>
      </c>
      <c r="O18" s="135">
        <f>A22</f>
        <v>0.28000000000000003</v>
      </c>
      <c r="Q18" s="149" t="s">
        <v>101</v>
      </c>
      <c r="R18" s="79">
        <v>8</v>
      </c>
      <c r="S18" s="79">
        <v>12</v>
      </c>
      <c r="T18" s="79">
        <v>5</v>
      </c>
      <c r="U18" s="135">
        <f>A45</f>
        <v>0.28000000000000003</v>
      </c>
    </row>
    <row r="19" spans="1:21" ht="22.5" customHeight="1" x14ac:dyDescent="0.25">
      <c r="A19" s="138" t="s">
        <v>55</v>
      </c>
      <c r="B19" s="138"/>
      <c r="C19" s="73">
        <f>IRR(C18:H18)</f>
        <v>0.50455522040422407</v>
      </c>
      <c r="D19" s="71"/>
      <c r="E19" s="71"/>
      <c r="F19" s="71"/>
      <c r="G19" s="71"/>
      <c r="H19" s="71"/>
      <c r="I19"/>
      <c r="J19" s="1"/>
      <c r="K19" s="78" t="s">
        <v>55</v>
      </c>
      <c r="L19" s="80">
        <v>0.50455522040422407</v>
      </c>
      <c r="M19" s="80">
        <v>1.1987841215081882</v>
      </c>
      <c r="N19" s="80">
        <v>1.4642517702309954E-2</v>
      </c>
      <c r="O19" s="135"/>
      <c r="Q19" s="149" t="s">
        <v>55</v>
      </c>
      <c r="R19" s="80">
        <v>0.841015138999754</v>
      </c>
      <c r="S19" s="80">
        <v>2.4434097144754561</v>
      </c>
      <c r="T19" s="80">
        <v>-0.21263358205099803</v>
      </c>
      <c r="U19" s="135"/>
    </row>
    <row r="20" spans="1:21" ht="22.5" customHeight="1" x14ac:dyDescent="0.25">
      <c r="A20" s="144" t="s">
        <v>56</v>
      </c>
      <c r="B20" s="144"/>
      <c r="C20" s="74">
        <f>NPV(C19,C18:H18)</f>
        <v>9.904030767208536E-9</v>
      </c>
      <c r="D20" s="71"/>
      <c r="E20" s="71"/>
      <c r="F20" s="71"/>
      <c r="G20" s="71"/>
      <c r="H20" s="71"/>
      <c r="I20"/>
      <c r="J20" s="1"/>
      <c r="K20" s="78" t="s">
        <v>56</v>
      </c>
      <c r="L20" s="81">
        <v>121540216.800199</v>
      </c>
      <c r="M20" s="81">
        <v>497001047.05221701</v>
      </c>
      <c r="N20" s="82">
        <v>-112071505.88947046</v>
      </c>
      <c r="O20" s="135"/>
      <c r="Q20" s="149" t="s">
        <v>56</v>
      </c>
      <c r="R20" s="81">
        <v>148725117.70931509</v>
      </c>
      <c r="S20" s="81">
        <v>524185947.96133322</v>
      </c>
      <c r="T20" s="82">
        <v>-84886604.980354205</v>
      </c>
      <c r="U20" s="135"/>
    </row>
    <row r="21" spans="1:21" ht="22.5" customHeight="1" x14ac:dyDescent="0.25">
      <c r="A21" s="145" t="s">
        <v>57</v>
      </c>
      <c r="B21" s="145"/>
      <c r="C21" s="72">
        <f>NPV(A22,C18:H18)</f>
        <v>121540216.80019887</v>
      </c>
      <c r="D21" s="71"/>
      <c r="E21" s="71"/>
      <c r="F21" s="71"/>
      <c r="G21" s="71"/>
      <c r="H21" s="71"/>
      <c r="I21"/>
      <c r="K21" s="78" t="s">
        <v>81</v>
      </c>
      <c r="L21" s="83" t="s">
        <v>79</v>
      </c>
      <c r="M21" s="84" t="s">
        <v>102</v>
      </c>
      <c r="N21" s="85" t="s">
        <v>103</v>
      </c>
      <c r="O21" s="135"/>
      <c r="Q21" s="149" t="s">
        <v>81</v>
      </c>
      <c r="R21" s="83" t="s">
        <v>79</v>
      </c>
      <c r="S21" s="84" t="s">
        <v>102</v>
      </c>
      <c r="T21" s="85" t="s">
        <v>103</v>
      </c>
      <c r="U21" s="135"/>
    </row>
    <row r="22" spans="1:21" ht="22.5" customHeight="1" x14ac:dyDescent="0.25">
      <c r="A22" s="5">
        <v>0.28000000000000003</v>
      </c>
      <c r="B22" s="9" t="s">
        <v>58</v>
      </c>
      <c r="C22" s="7"/>
      <c r="D22" s="7"/>
      <c r="E22" s="7"/>
      <c r="F22" s="7"/>
      <c r="G22" s="7"/>
      <c r="H22" s="7"/>
      <c r="I22"/>
      <c r="K22" s="2"/>
    </row>
    <row r="23" spans="1:21" x14ac:dyDescent="0.25">
      <c r="C23" s="7"/>
      <c r="D23" s="7"/>
      <c r="E23" s="7"/>
      <c r="F23" s="7"/>
      <c r="G23" s="7"/>
      <c r="H23" s="7"/>
    </row>
    <row r="24" spans="1:21" ht="25.5" customHeight="1" x14ac:dyDescent="0.25">
      <c r="A24" s="126" t="s">
        <v>112</v>
      </c>
      <c r="B24" s="126"/>
      <c r="C24" s="126"/>
      <c r="D24" s="126"/>
      <c r="E24" s="126"/>
      <c r="F24" s="126"/>
      <c r="G24" s="126"/>
      <c r="H24" s="126"/>
      <c r="I24" s="99"/>
    </row>
    <row r="25" spans="1:21" ht="27" customHeight="1" x14ac:dyDescent="0.25">
      <c r="A25" s="22" t="s">
        <v>63</v>
      </c>
      <c r="B25" s="64">
        <f>'Nomina y Costos'!B54</f>
        <v>4.4179999999999997E-2</v>
      </c>
      <c r="C25" s="11" t="s">
        <v>71</v>
      </c>
      <c r="D25" s="66">
        <f>'Nomina y Costos'!B59*6</f>
        <v>270136021.93130946</v>
      </c>
      <c r="E25" s="66">
        <f>D25*(1+$B$3)</f>
        <v>282070631.38023466</v>
      </c>
      <c r="F25" s="66">
        <f>E25*(1+$B$3)</f>
        <v>294532511.8746134</v>
      </c>
      <c r="G25" s="66">
        <f>F25*(1+$B$3)</f>
        <v>307544958.24923378</v>
      </c>
      <c r="H25" s="66">
        <f>G25*(1+$B$3)</f>
        <v>321132294.50468493</v>
      </c>
      <c r="I25" s="99"/>
    </row>
    <row r="26" spans="1:21" ht="34.5" customHeight="1" x14ac:dyDescent="0.25">
      <c r="A26" s="11" t="s">
        <v>64</v>
      </c>
      <c r="B26" s="75">
        <v>2</v>
      </c>
      <c r="C26" s="106" t="s">
        <v>70</v>
      </c>
      <c r="D26" s="65">
        <v>1</v>
      </c>
      <c r="E26" s="106">
        <v>2</v>
      </c>
      <c r="F26" s="65">
        <v>2</v>
      </c>
      <c r="G26" s="106">
        <v>2</v>
      </c>
      <c r="H26" s="65">
        <v>1</v>
      </c>
      <c r="I26" s="99"/>
    </row>
    <row r="27" spans="1:21" ht="21" customHeight="1" x14ac:dyDescent="0.25">
      <c r="A27" s="130" t="s">
        <v>111</v>
      </c>
      <c r="B27" s="130"/>
      <c r="C27" s="107">
        <v>2017</v>
      </c>
      <c r="D27" s="100">
        <v>2018</v>
      </c>
      <c r="E27" s="107">
        <v>2019</v>
      </c>
      <c r="F27" s="100">
        <v>2020</v>
      </c>
      <c r="G27" s="107">
        <v>2021</v>
      </c>
      <c r="H27" s="100">
        <v>2022</v>
      </c>
      <c r="I27" s="99"/>
    </row>
    <row r="28" spans="1:21" x14ac:dyDescent="0.25">
      <c r="A28" s="128" t="s">
        <v>42</v>
      </c>
      <c r="B28" s="133"/>
      <c r="C28" s="66"/>
      <c r="D28" s="66">
        <f>D25*D26</f>
        <v>270136021.93130946</v>
      </c>
      <c r="E28" s="66">
        <f>E25*E26</f>
        <v>564141262.76046932</v>
      </c>
      <c r="F28" s="66">
        <f>F25*F26</f>
        <v>589065023.74922681</v>
      </c>
      <c r="G28" s="66">
        <f>G25*G26</f>
        <v>615089916.49846756</v>
      </c>
      <c r="H28" s="66">
        <f>H25*H26</f>
        <v>321132294.50468493</v>
      </c>
      <c r="I28" s="99"/>
    </row>
    <row r="29" spans="1:21" x14ac:dyDescent="0.25">
      <c r="A29" s="128" t="s">
        <v>97</v>
      </c>
      <c r="B29" s="133"/>
      <c r="C29" s="66">
        <v>170000000</v>
      </c>
      <c r="D29" s="66"/>
      <c r="E29" s="66"/>
      <c r="F29" s="66"/>
      <c r="G29" s="66"/>
      <c r="H29" s="66"/>
      <c r="I29" s="98"/>
    </row>
    <row r="30" spans="1:21" x14ac:dyDescent="0.25">
      <c r="A30" s="128" t="s">
        <v>43</v>
      </c>
      <c r="B30" s="133"/>
      <c r="C30" s="66"/>
      <c r="D30" s="66">
        <f>Ing_egre!F5</f>
        <v>217520600.06400001</v>
      </c>
      <c r="E30" s="66">
        <f>Ing_egre!F6</f>
        <v>223263143.9056896</v>
      </c>
      <c r="F30" s="66">
        <f>Ing_egre!F7</f>
        <v>229157290.90479979</v>
      </c>
      <c r="G30" s="66">
        <f>Ing_egre!F8</f>
        <v>235207043.3846865</v>
      </c>
      <c r="H30" s="66">
        <f>Ing_egre!F9</f>
        <v>241416509.33004221</v>
      </c>
      <c r="I30" s="98"/>
      <c r="K30" s="1"/>
    </row>
    <row r="31" spans="1:21" x14ac:dyDescent="0.25">
      <c r="A31" s="128" t="s">
        <v>44</v>
      </c>
      <c r="B31" s="133"/>
      <c r="C31" s="66"/>
      <c r="D31" s="66">
        <v>0</v>
      </c>
      <c r="E31" s="66">
        <v>0</v>
      </c>
      <c r="F31" s="66">
        <v>0</v>
      </c>
      <c r="G31" s="66">
        <v>0</v>
      </c>
      <c r="H31" s="66">
        <v>0</v>
      </c>
      <c r="I31" s="98"/>
    </row>
    <row r="32" spans="1:21" ht="20.25" customHeight="1" x14ac:dyDescent="0.25">
      <c r="A32" s="128" t="s">
        <v>45</v>
      </c>
      <c r="B32" s="133"/>
      <c r="C32" s="66"/>
      <c r="D32" s="66">
        <f>C50</f>
        <v>42500000</v>
      </c>
      <c r="E32" s="66">
        <f>C51</f>
        <v>37321513.564969063</v>
      </c>
      <c r="F32" s="66">
        <f>C52</f>
        <v>30848405.521180391</v>
      </c>
      <c r="G32" s="66">
        <f>C53</f>
        <v>22757020.466444552</v>
      </c>
      <c r="H32" s="66">
        <f>C54</f>
        <v>12642789.148024753</v>
      </c>
      <c r="I32" s="98"/>
    </row>
    <row r="33" spans="1:14" ht="20.25" customHeight="1" x14ac:dyDescent="0.25">
      <c r="A33" s="128" t="s">
        <v>46</v>
      </c>
      <c r="B33" s="133"/>
      <c r="C33" s="66"/>
      <c r="D33" s="66">
        <f>D28-D30-D31-D32</f>
        <v>10115421.867309451</v>
      </c>
      <c r="E33" s="66">
        <f>E28-E30-E31-E32</f>
        <v>303556605.28981066</v>
      </c>
      <c r="F33" s="66">
        <f>F28-F30-F31-F32</f>
        <v>329059327.3232466</v>
      </c>
      <c r="G33" s="66">
        <f>G28-G30-G31-G32</f>
        <v>357125852.64733654</v>
      </c>
      <c r="H33" s="66">
        <f>H28-H30-H31-H32</f>
        <v>67072996.026617959</v>
      </c>
      <c r="I33" s="98"/>
    </row>
    <row r="34" spans="1:14" ht="20.25" customHeight="1" x14ac:dyDescent="0.25">
      <c r="A34" s="68">
        <v>0.3</v>
      </c>
      <c r="B34" s="25" t="s">
        <v>47</v>
      </c>
      <c r="C34" s="66"/>
      <c r="D34" s="66">
        <f>D33*0.3</f>
        <v>3034626.5601928351</v>
      </c>
      <c r="E34" s="66">
        <f>E33*0.3</f>
        <v>91066981.586943194</v>
      </c>
      <c r="F34" s="66">
        <f>F33*0.3</f>
        <v>98717798.196973979</v>
      </c>
      <c r="G34" s="66">
        <f>G33*0.3</f>
        <v>107137755.79420096</v>
      </c>
      <c r="H34" s="66">
        <f>H33*0.3</f>
        <v>20121898.807985388</v>
      </c>
      <c r="I34" s="98"/>
      <c r="J34" s="136" t="s">
        <v>77</v>
      </c>
      <c r="K34" s="136"/>
      <c r="L34" s="136"/>
      <c r="M34" s="136"/>
      <c r="N34" s="136"/>
    </row>
    <row r="35" spans="1:14" ht="20.25" customHeight="1" x14ac:dyDescent="0.25">
      <c r="A35" s="128" t="s">
        <v>48</v>
      </c>
      <c r="B35" s="133"/>
      <c r="C35" s="66"/>
      <c r="D35" s="66">
        <f>D33-D34</f>
        <v>7080795.3071166165</v>
      </c>
      <c r="E35" s="66">
        <f>E33-E34</f>
        <v>212489623.70286745</v>
      </c>
      <c r="F35" s="66">
        <f>F33-F34</f>
        <v>230341529.12627262</v>
      </c>
      <c r="G35" s="66">
        <f>G33-G34</f>
        <v>249988096.85313559</v>
      </c>
      <c r="H35" s="66">
        <f>H33-H34</f>
        <v>46951097.218632571</v>
      </c>
      <c r="I35" s="98"/>
      <c r="J35" s="136"/>
      <c r="K35" s="136"/>
      <c r="L35" s="136"/>
      <c r="M35" s="136"/>
      <c r="N35" s="136"/>
    </row>
    <row r="36" spans="1:14" ht="20.25" customHeight="1" x14ac:dyDescent="0.25">
      <c r="A36" s="128" t="s">
        <v>49</v>
      </c>
      <c r="B36" s="133"/>
      <c r="C36" s="66"/>
      <c r="D36" s="66">
        <v>0</v>
      </c>
      <c r="E36" s="66">
        <v>0</v>
      </c>
      <c r="F36" s="66">
        <v>0</v>
      </c>
      <c r="G36" s="66">
        <v>0</v>
      </c>
      <c r="H36" s="66">
        <v>0</v>
      </c>
      <c r="I36" s="98"/>
      <c r="J36" s="136"/>
      <c r="K36" s="136"/>
      <c r="L36" s="136"/>
      <c r="M36" s="136"/>
      <c r="N36" s="136"/>
    </row>
    <row r="37" spans="1:14" ht="20.25" customHeight="1" x14ac:dyDescent="0.25">
      <c r="A37" s="128" t="s">
        <v>50</v>
      </c>
      <c r="B37" s="133"/>
      <c r="C37" s="66"/>
      <c r="D37" s="66">
        <f>E50</f>
        <v>20713945.740123749</v>
      </c>
      <c r="E37" s="66">
        <f>E51</f>
        <v>25892432.175154686</v>
      </c>
      <c r="F37" s="66">
        <f>E52</f>
        <v>32365540.218943357</v>
      </c>
      <c r="G37" s="66">
        <f>E53</f>
        <v>40456925.273679197</v>
      </c>
      <c r="H37" s="66">
        <f>E54</f>
        <v>50571156.592098996</v>
      </c>
      <c r="I37" s="98"/>
      <c r="J37" s="136"/>
      <c r="K37" s="136"/>
      <c r="L37" s="136"/>
      <c r="M37" s="136"/>
      <c r="N37" s="136"/>
    </row>
    <row r="38" spans="1:14" ht="20.25" customHeight="1" x14ac:dyDescent="0.25">
      <c r="A38" s="128" t="s">
        <v>51</v>
      </c>
      <c r="B38" s="133"/>
      <c r="C38" s="66">
        <v>270000000</v>
      </c>
      <c r="D38" s="66"/>
      <c r="E38" s="66"/>
      <c r="F38" s="66"/>
      <c r="G38" s="66"/>
      <c r="H38" s="66"/>
      <c r="I38" s="98"/>
      <c r="J38" s="136"/>
      <c r="K38" s="136"/>
      <c r="L38" s="136"/>
      <c r="M38" s="136"/>
      <c r="N38" s="136"/>
    </row>
    <row r="39" spans="1:14" x14ac:dyDescent="0.25">
      <c r="A39" s="128" t="s">
        <v>52</v>
      </c>
      <c r="B39" s="133"/>
      <c r="C39" s="66"/>
      <c r="D39" s="66"/>
      <c r="E39" s="66"/>
      <c r="F39" s="66"/>
      <c r="G39" s="66"/>
      <c r="H39" s="66">
        <v>0</v>
      </c>
      <c r="I39" s="98"/>
      <c r="J39" s="136"/>
      <c r="K39" s="136"/>
      <c r="L39" s="136"/>
      <c r="M39" s="136"/>
      <c r="N39" s="136"/>
    </row>
    <row r="40" spans="1:14" x14ac:dyDescent="0.25">
      <c r="A40" s="128" t="s">
        <v>53</v>
      </c>
      <c r="B40" s="133"/>
      <c r="C40" s="108"/>
      <c r="D40" s="108"/>
      <c r="E40" s="108"/>
      <c r="F40" s="108"/>
      <c r="G40" s="108"/>
      <c r="H40" s="108">
        <f>D28*0.2</f>
        <v>54027204.386261895</v>
      </c>
      <c r="I40" s="98"/>
    </row>
    <row r="41" spans="1:14" x14ac:dyDescent="0.25">
      <c r="A41" s="128" t="s">
        <v>54</v>
      </c>
      <c r="B41" s="133"/>
      <c r="C41" s="66">
        <f>C29-C38</f>
        <v>-100000000</v>
      </c>
      <c r="D41" s="66">
        <f>D35+D36-D37+D38+D39+D40</f>
        <v>-13633150.433007132</v>
      </c>
      <c r="E41" s="66">
        <f>E35+E36-E37+E38+E39+E40</f>
        <v>186597191.52771276</v>
      </c>
      <c r="F41" s="66">
        <f>F35+F36-F37+F38+F39+F40</f>
        <v>197975988.90732926</v>
      </c>
      <c r="G41" s="66">
        <f>G35+G36-G37+G38+G39+G40</f>
        <v>209531171.57945639</v>
      </c>
      <c r="H41" s="66">
        <f>H35+H36-H37+H38+H39+H40</f>
        <v>50407145.012795471</v>
      </c>
      <c r="I41" s="98"/>
    </row>
    <row r="42" spans="1:14" ht="19.5" customHeight="1" x14ac:dyDescent="0.25">
      <c r="A42" s="138" t="s">
        <v>55</v>
      </c>
      <c r="B42" s="138"/>
      <c r="C42" s="101">
        <f>IRR(C41:H41)</f>
        <v>0.841015138999754</v>
      </c>
      <c r="D42" s="98"/>
      <c r="E42" s="98"/>
      <c r="F42" s="98"/>
      <c r="G42" s="98"/>
      <c r="H42" s="98"/>
      <c r="I42" s="98"/>
    </row>
    <row r="43" spans="1:14" ht="19.5" customHeight="1" x14ac:dyDescent="0.25">
      <c r="A43" s="141" t="s">
        <v>56</v>
      </c>
      <c r="B43" s="141"/>
      <c r="C43" s="102">
        <f>NPV(C42,C41:H41)</f>
        <v>-1.5176234375587113E-8</v>
      </c>
      <c r="D43" s="98"/>
      <c r="E43" s="98"/>
      <c r="F43" s="98"/>
      <c r="G43" s="98"/>
      <c r="H43" s="98"/>
      <c r="I43" s="98"/>
    </row>
    <row r="44" spans="1:14" ht="19.5" customHeight="1" x14ac:dyDescent="0.25">
      <c r="A44" s="142" t="s">
        <v>57</v>
      </c>
      <c r="B44" s="142"/>
      <c r="C44" s="72">
        <f>NPV(A45,C41:H41)</f>
        <v>148725117.70931509</v>
      </c>
      <c r="D44" s="98"/>
      <c r="E44" s="98"/>
      <c r="F44" s="98"/>
      <c r="G44" s="98"/>
      <c r="H44" s="98"/>
      <c r="I44" s="98"/>
    </row>
    <row r="45" spans="1:14" ht="19.5" customHeight="1" x14ac:dyDescent="0.25">
      <c r="A45" s="103">
        <v>0.28000000000000003</v>
      </c>
      <c r="B45" s="104" t="s">
        <v>58</v>
      </c>
      <c r="C45" s="98"/>
      <c r="D45" s="98"/>
      <c r="E45" s="98"/>
      <c r="F45" s="98"/>
      <c r="G45" s="98"/>
      <c r="H45" s="98"/>
      <c r="I45" s="98"/>
      <c r="J45" s="98"/>
    </row>
    <row r="47" spans="1:14" ht="15.75" customHeight="1" x14ac:dyDescent="0.25">
      <c r="A47" s="143" t="s">
        <v>75</v>
      </c>
      <c r="B47" s="143"/>
      <c r="C47" s="143"/>
      <c r="D47" s="143"/>
      <c r="E47" s="143"/>
      <c r="F47" s="143"/>
      <c r="H47" s="131" t="s">
        <v>72</v>
      </c>
      <c r="I47" s="131"/>
      <c r="J47" s="131"/>
      <c r="K47" s="131"/>
      <c r="L47" s="131"/>
    </row>
    <row r="48" spans="1:14" x14ac:dyDescent="0.25">
      <c r="A48" s="96" t="s">
        <v>113</v>
      </c>
      <c r="B48" s="97" t="s">
        <v>59</v>
      </c>
      <c r="C48" s="97" t="s">
        <v>76</v>
      </c>
      <c r="D48" s="97" t="s">
        <v>60</v>
      </c>
      <c r="E48" s="97" t="s">
        <v>61</v>
      </c>
      <c r="F48" s="97" t="s">
        <v>62</v>
      </c>
      <c r="H48" s="131"/>
      <c r="I48" s="131"/>
      <c r="J48" s="131"/>
      <c r="K48" s="131"/>
      <c r="L48" s="131"/>
    </row>
    <row r="49" spans="1:8" x14ac:dyDescent="0.25">
      <c r="A49" s="96">
        <v>2017</v>
      </c>
      <c r="B49" s="90">
        <f>170000000</f>
        <v>170000000</v>
      </c>
      <c r="C49" s="91"/>
      <c r="D49" s="91"/>
      <c r="E49" s="91"/>
      <c r="F49" s="87"/>
      <c r="H49" s="6">
        <f>D50</f>
        <v>63213945.740123749</v>
      </c>
    </row>
    <row r="50" spans="1:8" x14ac:dyDescent="0.25">
      <c r="A50" s="96">
        <v>2018</v>
      </c>
      <c r="B50" s="92">
        <f>B49-E50</f>
        <v>149286054.25987625</v>
      </c>
      <c r="C50" s="93">
        <f>B49*F50</f>
        <v>42500000</v>
      </c>
      <c r="D50" s="93">
        <f>PMT(F50,5,$B$49:$B$49,,0)*-1</f>
        <v>63213945.740123749</v>
      </c>
      <c r="E50" s="93">
        <f>D50-C50</f>
        <v>20713945.740123749</v>
      </c>
      <c r="F50" s="88">
        <v>0.25</v>
      </c>
    </row>
    <row r="51" spans="1:8" x14ac:dyDescent="0.25">
      <c r="A51" s="96">
        <v>2019</v>
      </c>
      <c r="B51" s="92">
        <f t="shared" ref="B51:B54" si="5">B50-E51</f>
        <v>123393622.08472157</v>
      </c>
      <c r="C51" s="93">
        <f t="shared" ref="C51:C54" si="6">B50*F51</f>
        <v>37321513.564969063</v>
      </c>
      <c r="D51" s="93">
        <f>PMT(F51,5,$B$49:$B$49,,0)*-1</f>
        <v>63213945.740123749</v>
      </c>
      <c r="E51" s="93">
        <f t="shared" ref="E51:E54" si="7">D51-C51</f>
        <v>25892432.175154686</v>
      </c>
      <c r="F51" s="88">
        <v>0.25</v>
      </c>
    </row>
    <row r="52" spans="1:8" x14ac:dyDescent="0.25">
      <c r="A52" s="96">
        <v>2020</v>
      </c>
      <c r="B52" s="92">
        <f t="shared" si="5"/>
        <v>91028081.865778208</v>
      </c>
      <c r="C52" s="93">
        <f t="shared" si="6"/>
        <v>30848405.521180391</v>
      </c>
      <c r="D52" s="93">
        <f>PMT(F52,5,$B$49:$B$49,,0)*-1</f>
        <v>63213945.740123749</v>
      </c>
      <c r="E52" s="93">
        <f t="shared" si="7"/>
        <v>32365540.218943357</v>
      </c>
      <c r="F52" s="88">
        <v>0.25</v>
      </c>
    </row>
    <row r="53" spans="1:8" x14ac:dyDescent="0.25">
      <c r="A53" s="96">
        <v>2021</v>
      </c>
      <c r="B53" s="92">
        <f t="shared" si="5"/>
        <v>50571156.592099011</v>
      </c>
      <c r="C53" s="93">
        <f t="shared" si="6"/>
        <v>22757020.466444552</v>
      </c>
      <c r="D53" s="93">
        <f>PMT(F53,5,$B$49:$B$49,,0)*-1</f>
        <v>63213945.740123749</v>
      </c>
      <c r="E53" s="93">
        <f t="shared" si="7"/>
        <v>40456925.273679197</v>
      </c>
      <c r="F53" s="88">
        <v>0.25</v>
      </c>
    </row>
    <row r="54" spans="1:8" x14ac:dyDescent="0.25">
      <c r="A54" s="96">
        <v>2022</v>
      </c>
      <c r="B54" s="94">
        <f t="shared" si="5"/>
        <v>0</v>
      </c>
      <c r="C54" s="95">
        <f t="shared" si="6"/>
        <v>12642789.148024753</v>
      </c>
      <c r="D54" s="95">
        <f>PMT(F54,5,$B$49:$B$49,,0)*-1</f>
        <v>63213945.740123749</v>
      </c>
      <c r="E54" s="95">
        <f t="shared" si="7"/>
        <v>50571156.592098996</v>
      </c>
      <c r="F54" s="89">
        <v>0.25</v>
      </c>
    </row>
    <row r="105" spans="2:6" ht="21.75" customHeight="1" x14ac:dyDescent="0.25">
      <c r="B105" s="139" t="s">
        <v>80</v>
      </c>
      <c r="C105" s="139"/>
      <c r="D105" s="139"/>
      <c r="E105" s="139"/>
      <c r="F105" s="3"/>
    </row>
    <row r="106" spans="2:6" ht="21.75" customHeight="1" x14ac:dyDescent="0.25">
      <c r="B106" s="139" t="s">
        <v>114</v>
      </c>
      <c r="C106" s="140" t="s">
        <v>55</v>
      </c>
      <c r="D106" s="140"/>
      <c r="E106" s="139" t="s">
        <v>58</v>
      </c>
    </row>
    <row r="107" spans="2:6" ht="35.25" customHeight="1" x14ac:dyDescent="0.25">
      <c r="B107" s="139"/>
      <c r="C107" s="109" t="s">
        <v>95</v>
      </c>
      <c r="D107" s="109" t="s">
        <v>96</v>
      </c>
      <c r="E107" s="139"/>
    </row>
    <row r="108" spans="2:6" ht="21.75" customHeight="1" x14ac:dyDescent="0.25">
      <c r="B108" s="139"/>
      <c r="C108" s="110">
        <f>C19</f>
        <v>0.50455522040422407</v>
      </c>
      <c r="D108" s="110">
        <f>C42</f>
        <v>0.841015138999754</v>
      </c>
      <c r="E108" s="111">
        <f>A22</f>
        <v>0.28000000000000003</v>
      </c>
    </row>
    <row r="109" spans="2:6" ht="21.75" customHeight="1" x14ac:dyDescent="0.25">
      <c r="B109" s="139"/>
      <c r="C109" s="112" t="s">
        <v>79</v>
      </c>
      <c r="D109" s="113" t="s">
        <v>78</v>
      </c>
      <c r="E109" s="114" t="s">
        <v>33</v>
      </c>
    </row>
    <row r="110" spans="2:6" ht="30" customHeight="1" x14ac:dyDescent="0.25"/>
  </sheetData>
  <mergeCells count="47">
    <mergeCell ref="A29:B29"/>
    <mergeCell ref="R16:U16"/>
    <mergeCell ref="J34:N39"/>
    <mergeCell ref="A40:B40"/>
    <mergeCell ref="A30:B30"/>
    <mergeCell ref="A31:B31"/>
    <mergeCell ref="A32:B32"/>
    <mergeCell ref="A33:B33"/>
    <mergeCell ref="B105:E105"/>
    <mergeCell ref="E106:E107"/>
    <mergeCell ref="C106:D106"/>
    <mergeCell ref="B106:B109"/>
    <mergeCell ref="A41:B41"/>
    <mergeCell ref="A42:B42"/>
    <mergeCell ref="A43:B43"/>
    <mergeCell ref="A44:B44"/>
    <mergeCell ref="A47:F47"/>
    <mergeCell ref="A1:I1"/>
    <mergeCell ref="A2:H2"/>
    <mergeCell ref="U18:U21"/>
    <mergeCell ref="O18:O21"/>
    <mergeCell ref="A16:B16"/>
    <mergeCell ref="A17:B17"/>
    <mergeCell ref="A18:B18"/>
    <mergeCell ref="A19:B19"/>
    <mergeCell ref="A9:B9"/>
    <mergeCell ref="A10:B10"/>
    <mergeCell ref="A12:B12"/>
    <mergeCell ref="A13:B13"/>
    <mergeCell ref="A35:B35"/>
    <mergeCell ref="A36:B36"/>
    <mergeCell ref="A37:B37"/>
    <mergeCell ref="A6:B6"/>
    <mergeCell ref="A5:B5"/>
    <mergeCell ref="H47:L48"/>
    <mergeCell ref="L16:O16"/>
    <mergeCell ref="A24:H24"/>
    <mergeCell ref="A27:B27"/>
    <mergeCell ref="A28:B28"/>
    <mergeCell ref="A38:B38"/>
    <mergeCell ref="A39:B39"/>
    <mergeCell ref="A14:B14"/>
    <mergeCell ref="A15:B15"/>
    <mergeCell ref="A7:B7"/>
    <mergeCell ref="A8:B8"/>
    <mergeCell ref="A20:B20"/>
    <mergeCell ref="A21:B21"/>
  </mergeCells>
  <pageMargins left="0.7" right="0.7" top="0.75" bottom="0.75" header="0.3" footer="0.3"/>
  <pageSetup orientation="portrait" r:id="rId1"/>
  <drawing r:id="rId2"/>
  <legacyDrawing r:id="rId3"/>
  <tableParts count="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Nomina y Costos</vt:lpstr>
      <vt:lpstr>Ing_egre</vt:lpstr>
      <vt:lpstr>Flujo_Caja</vt:lpstr>
    </vt:vector>
  </TitlesOfParts>
  <Company>Personal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Beltrán</dc:creator>
  <cp:lastModifiedBy>María Cruz Avila</cp:lastModifiedBy>
  <cp:lastPrinted>2017-11-29T06:05:34Z</cp:lastPrinted>
  <dcterms:created xsi:type="dcterms:W3CDTF">2013-11-29T02:42:37Z</dcterms:created>
  <dcterms:modified xsi:type="dcterms:W3CDTF">2017-11-29T22:27:33Z</dcterms:modified>
</cp:coreProperties>
</file>